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718/PLAN DE ACCIÓN/"/>
    </mc:Choice>
  </mc:AlternateContent>
  <xr:revisionPtr revIDLastSave="0" documentId="8_{9036D7E4-1128-40A5-B4B9-AC16188C11B6}" xr6:coauthVersionLast="47" xr6:coauthVersionMax="47" xr10:uidLastSave="{00000000-0000-0000-0000-000000000000}"/>
  <bookViews>
    <workbookView xWindow="-120" yWindow="-120" windowWidth="20730" windowHeight="11160" tabRatio="819" firstSheet="1" activeTab="2" xr2:uid="{00000000-000D-0000-FFFF-FFFF00000000}"/>
  </bookViews>
  <sheets>
    <sheet name="VALIDACION" sheetId="25" state="hidden" r:id="rId1"/>
    <sheet name="Indicadores PA" sheetId="17" r:id="rId2"/>
    <sheet name="Metas 1" sheetId="1" r:id="rId3"/>
    <sheet name="Meta 1..n" sheetId="2" state="hidden" r:id="rId4"/>
    <sheet name="Metas 2" sheetId="3" r:id="rId5"/>
    <sheet name="Metas 3" sheetId="4" r:id="rId6"/>
    <sheet name="Metas 4 (Contrato relevos)" sheetId="5" r:id="rId7"/>
    <sheet name="Metas 5" sheetId="6" r:id="rId8"/>
    <sheet name="Ptto2022" sheetId="16" state="hidden" r:id="rId9"/>
    <sheet name="Indic Gestión SPI" sheetId="15" state="hidden" r:id="rId10"/>
    <sheet name="ejec31may" sheetId="23" state="hidden" r:id="rId11"/>
    <sheet name="Metas 6 (ONU Mujeres)" sheetId="7" r:id="rId12"/>
    <sheet name="Metas 7 (Unidades Moviles)" sheetId="8" r:id="rId13"/>
    <sheet name="Relevos 2021-2022" sheetId="18" state="hidden" r:id="rId14"/>
    <sheet name="Manzanas2020-2022" sheetId="19" state="hidden" r:id="rId15"/>
    <sheet name="Formación 2020-2022" sheetId="20" state="hidden" r:id="rId16"/>
    <sheet name="Instructivo" sheetId="11" state="hidden" r:id="rId17"/>
    <sheet name="Generalidades" sheetId="12" state="hidden" r:id="rId18"/>
    <sheet name="Hoja13" sheetId="13" state="hidden" r:id="rId19"/>
    <sheet name="Hoja1" sheetId="14" state="hidden" r:id="rId20"/>
    <sheet name="Territorialización PA - PMR" sheetId="21" r:id="rId21"/>
  </sheets>
  <externalReferences>
    <externalReference r:id="rId22"/>
    <externalReference r:id="rId23"/>
    <externalReference r:id="rId24"/>
    <externalReference r:id="rId25"/>
  </externalReferences>
  <definedNames>
    <definedName name="_xlnm._FilterDatabase" localSheetId="1" hidden="1">'Indicadores PA'!$A$12:$BB$25</definedName>
    <definedName name="_xlnm._FilterDatabase" localSheetId="0" hidden="1">VALIDACION!$A$72:$AP$111</definedName>
    <definedName name="_xlnm.Print_Area" localSheetId="9">'Indic Gestión SPI'!$A$1:$L$111</definedName>
    <definedName name="_xlnm.Print_Area" localSheetId="1">'Indicadores PA'!$A$1:$AZ$32</definedName>
    <definedName name="_xlnm.Print_Area" localSheetId="2">'Metas 1'!$A$1:$AD$43</definedName>
    <definedName name="_xlnm.Print_Area" localSheetId="4">'Metas 2'!$A$1:$AD$43</definedName>
    <definedName name="_xlnm.Print_Area" localSheetId="5">'Metas 3'!$A$1:$AD$43</definedName>
    <definedName name="_xlnm.Print_Area" localSheetId="6">'Metas 4 (Contrato relevos)'!$A$1:$AD$43</definedName>
    <definedName name="_xlnm.Print_Area" localSheetId="7">'Metas 5'!$A$1:$AD$41</definedName>
    <definedName name="_xlnm.Print_Area" localSheetId="11">'Metas 6 (ONU Mujeres)'!$A$1:$AD$45</definedName>
    <definedName name="_xlnm.Print_Area" localSheetId="12">'Metas 7 (Unidades Moviles)'!$A$1:$AD$43</definedName>
    <definedName name="_xlnm.Print_Area" localSheetId="8">Ptto2022!$A$1:$K$15</definedName>
    <definedName name="_xlnm.Print_Area" localSheetId="20">'Territorialización PA - PMR'!$A$1:$BZ$89</definedName>
    <definedName name="PROGRAMAS" localSheetId="0">'[1]Sectores y Programas'!$C$4:$D$175</definedName>
    <definedName name="PROGRAMAS">'[2]Sectores y Programas'!$C$4:$D$175</definedName>
    <definedName name="sectores" localSheetId="0">'[1]Sectores y Programas'!$H$5:$I$37</definedName>
    <definedName name="sectores">'[2]Sectores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1" i="1" l="1"/>
  <c r="P35" i="1"/>
  <c r="P35" i="4"/>
  <c r="P35" i="5"/>
  <c r="P35" i="6"/>
  <c r="P35" i="7"/>
  <c r="P34" i="7"/>
  <c r="P34" i="8"/>
  <c r="N35" i="8"/>
  <c r="N35" i="6"/>
  <c r="N35" i="7"/>
  <c r="M35" i="7"/>
  <c r="N35" i="1"/>
  <c r="P39" i="3"/>
  <c r="P34" i="5"/>
  <c r="AT19" i="17"/>
  <c r="AR15" i="17"/>
  <c r="AV18" i="17"/>
  <c r="AT13" i="17"/>
  <c r="P38" i="6"/>
  <c r="AE34" i="5"/>
  <c r="F24" i="1"/>
  <c r="BB25" i="17"/>
  <c r="BB24" i="17"/>
  <c r="BA24" i="17"/>
  <c r="BA25" i="17" s="1"/>
  <c r="AC23" i="1"/>
  <c r="AW14" i="17"/>
  <c r="AX15" i="17"/>
  <c r="AQ14" i="17"/>
  <c r="AP14" i="17"/>
  <c r="AC23" i="8"/>
  <c r="AE39" i="5"/>
  <c r="AX19" i="17"/>
  <c r="AX13" i="17"/>
  <c r="AE35" i="5"/>
  <c r="M34" i="8"/>
  <c r="N34" i="8"/>
  <c r="P41" i="8"/>
  <c r="AE41" i="4"/>
  <c r="AE42" i="4"/>
  <c r="AE39" i="4"/>
  <c r="AE42" i="3"/>
  <c r="AE38" i="3"/>
  <c r="AE40" i="3"/>
  <c r="AE34" i="3"/>
  <c r="P34" i="3"/>
  <c r="P40" i="1"/>
  <c r="AP13" i="17"/>
  <c r="L46" i="1"/>
  <c r="L45" i="1"/>
  <c r="AX20" i="17"/>
  <c r="AV20" i="17"/>
  <c r="Y23" i="8"/>
  <c r="F24" i="8"/>
  <c r="F24" i="7"/>
  <c r="Y23" i="5"/>
  <c r="G24" i="5"/>
  <c r="Y23" i="4"/>
  <c r="E24" i="4"/>
  <c r="O24" i="3"/>
  <c r="AE34" i="8"/>
  <c r="AE34" i="6"/>
  <c r="L35" i="1"/>
  <c r="K35" i="1"/>
  <c r="AT17" i="17"/>
  <c r="AU17" i="17" s="1"/>
  <c r="AC23" i="7"/>
  <c r="BE32" i="21" l="1"/>
  <c r="BE30" i="21"/>
  <c r="AE38" i="8"/>
  <c r="BM11" i="21"/>
  <c r="AO20" i="17"/>
  <c r="L48" i="8"/>
  <c r="L35" i="8" s="1"/>
  <c r="AE40" i="7"/>
  <c r="L35" i="6"/>
  <c r="N46" i="3"/>
  <c r="K47" i="3"/>
  <c r="L47" i="3"/>
  <c r="AT16" i="17"/>
  <c r="AU16" i="17" s="1"/>
  <c r="S74" i="25"/>
  <c r="S75" i="25"/>
  <c r="S76" i="25"/>
  <c r="S77" i="25"/>
  <c r="S78" i="25"/>
  <c r="S79" i="25"/>
  <c r="S81" i="25"/>
  <c r="S82" i="25"/>
  <c r="S83" i="25"/>
  <c r="S85" i="25"/>
  <c r="S87" i="25"/>
  <c r="S89" i="25"/>
  <c r="S91" i="25"/>
  <c r="S93" i="25"/>
  <c r="S95" i="25"/>
  <c r="S97" i="25"/>
  <c r="S98" i="25"/>
  <c r="S99" i="25"/>
  <c r="S101" i="25"/>
  <c r="S102" i="25"/>
  <c r="S103" i="25"/>
  <c r="S105" i="25"/>
  <c r="S107" i="25"/>
  <c r="S108" i="25"/>
  <c r="S109" i="25"/>
  <c r="S111" i="25"/>
  <c r="S73" i="25"/>
  <c r="T73" i="25" s="1"/>
  <c r="E5" i="25"/>
  <c r="E3" i="25"/>
  <c r="Q112" i="25"/>
  <c r="P112" i="25"/>
  <c r="O112" i="25"/>
  <c r="N112" i="25"/>
  <c r="M112" i="25"/>
  <c r="S112" i="25" s="1"/>
  <c r="L112" i="25"/>
  <c r="K112" i="25"/>
  <c r="J112" i="25"/>
  <c r="I112" i="25"/>
  <c r="H112" i="25"/>
  <c r="G112" i="25"/>
  <c r="F112" i="25"/>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G110" i="25"/>
  <c r="S110" i="25" s="1"/>
  <c r="F110" i="25"/>
  <c r="Q109" i="25"/>
  <c r="P109" i="25"/>
  <c r="O109" i="25"/>
  <c r="N109" i="25"/>
  <c r="M109" i="25"/>
  <c r="L109" i="25"/>
  <c r="K109" i="25"/>
  <c r="J109" i="25"/>
  <c r="I109" i="25"/>
  <c r="H109" i="25"/>
  <c r="G109" i="25"/>
  <c r="F109" i="25"/>
  <c r="D109" i="25"/>
  <c r="B109" i="25"/>
  <c r="Q108" i="25"/>
  <c r="P108" i="25"/>
  <c r="O108" i="25"/>
  <c r="N108" i="25"/>
  <c r="M108" i="25"/>
  <c r="L108" i="25"/>
  <c r="K108" i="25"/>
  <c r="J108" i="25"/>
  <c r="I108" i="25"/>
  <c r="H108" i="25"/>
  <c r="G108" i="25"/>
  <c r="F108" i="25"/>
  <c r="Q107" i="25"/>
  <c r="P107" i="25"/>
  <c r="O107" i="25"/>
  <c r="N107" i="25"/>
  <c r="M107" i="25"/>
  <c r="L107" i="25"/>
  <c r="K107" i="25"/>
  <c r="J107" i="25"/>
  <c r="I107" i="25"/>
  <c r="H107" i="25"/>
  <c r="G107" i="25"/>
  <c r="F107" i="25"/>
  <c r="D107" i="25"/>
  <c r="B107" i="25"/>
  <c r="Q106" i="25"/>
  <c r="P106" i="25"/>
  <c r="O106" i="25"/>
  <c r="N106" i="25"/>
  <c r="M106" i="25"/>
  <c r="S106" i="25" s="1"/>
  <c r="L106" i="25"/>
  <c r="K106" i="25"/>
  <c r="J106" i="25"/>
  <c r="I106" i="25"/>
  <c r="H106" i="25"/>
  <c r="G106" i="25"/>
  <c r="F106" i="25"/>
  <c r="Q105" i="25"/>
  <c r="P105" i="25"/>
  <c r="O105" i="25"/>
  <c r="N105" i="25"/>
  <c r="M105" i="25"/>
  <c r="L105" i="25"/>
  <c r="K105" i="25"/>
  <c r="J105" i="25"/>
  <c r="I105" i="25"/>
  <c r="H105" i="25"/>
  <c r="G105" i="25"/>
  <c r="F105" i="25"/>
  <c r="D105" i="25"/>
  <c r="B105" i="25"/>
  <c r="Q104" i="25"/>
  <c r="P104" i="25"/>
  <c r="O104" i="25"/>
  <c r="N104" i="25"/>
  <c r="M104" i="25"/>
  <c r="S104" i="25" s="1"/>
  <c r="L104" i="25"/>
  <c r="K104" i="25"/>
  <c r="J104" i="25"/>
  <c r="I104" i="25"/>
  <c r="H104" i="25"/>
  <c r="G104" i="25"/>
  <c r="F104" i="25"/>
  <c r="Q103" i="25"/>
  <c r="P103" i="25"/>
  <c r="O103" i="25"/>
  <c r="N103" i="25"/>
  <c r="M103" i="25"/>
  <c r="L103" i="25"/>
  <c r="K103" i="25"/>
  <c r="J103" i="25"/>
  <c r="I103" i="25"/>
  <c r="H103" i="25"/>
  <c r="G103" i="25"/>
  <c r="F103" i="25"/>
  <c r="D103" i="25"/>
  <c r="B103" i="25"/>
  <c r="Q102" i="25"/>
  <c r="P102" i="25"/>
  <c r="O102" i="25"/>
  <c r="N102" i="25"/>
  <c r="M102" i="25"/>
  <c r="L102" i="25"/>
  <c r="K102" i="25"/>
  <c r="J102" i="25"/>
  <c r="I102" i="25"/>
  <c r="H102" i="25"/>
  <c r="G102" i="25"/>
  <c r="F102" i="25"/>
  <c r="Q101" i="25"/>
  <c r="P101" i="25"/>
  <c r="O101" i="25"/>
  <c r="N101" i="25"/>
  <c r="M101" i="25"/>
  <c r="L101" i="25"/>
  <c r="K101" i="25"/>
  <c r="J101" i="25"/>
  <c r="I101" i="25"/>
  <c r="H101" i="25"/>
  <c r="G101" i="25"/>
  <c r="F101" i="25"/>
  <c r="D101" i="25"/>
  <c r="B101" i="25"/>
  <c r="Q100" i="25"/>
  <c r="P100" i="25"/>
  <c r="O100" i="25"/>
  <c r="N100" i="25"/>
  <c r="M100" i="25"/>
  <c r="L100" i="25"/>
  <c r="K100" i="25"/>
  <c r="J100" i="25"/>
  <c r="S100" i="25" s="1"/>
  <c r="I100" i="25"/>
  <c r="H100" i="25"/>
  <c r="G100" i="25"/>
  <c r="F100" i="25"/>
  <c r="Q99" i="25"/>
  <c r="P99" i="25"/>
  <c r="O99" i="25"/>
  <c r="N99" i="25"/>
  <c r="M99" i="25"/>
  <c r="L99" i="25"/>
  <c r="K99" i="25"/>
  <c r="J99" i="25"/>
  <c r="I99" i="25"/>
  <c r="H99" i="25"/>
  <c r="G99" i="25"/>
  <c r="F99" i="25"/>
  <c r="D99" i="25"/>
  <c r="B99" i="25"/>
  <c r="Q98" i="25"/>
  <c r="P98" i="25"/>
  <c r="O98" i="25"/>
  <c r="N98" i="25"/>
  <c r="M98" i="25"/>
  <c r="L98" i="25"/>
  <c r="K98" i="25"/>
  <c r="J98" i="25"/>
  <c r="I98" i="25"/>
  <c r="H98" i="25"/>
  <c r="G98" i="25"/>
  <c r="F98" i="25"/>
  <c r="Q97" i="25"/>
  <c r="P97" i="25"/>
  <c r="O97" i="25"/>
  <c r="N97" i="25"/>
  <c r="M97" i="25"/>
  <c r="L97" i="25"/>
  <c r="K97" i="25"/>
  <c r="J97" i="25"/>
  <c r="I97" i="25"/>
  <c r="H97" i="25"/>
  <c r="R97" i="25" s="1"/>
  <c r="G97" i="25"/>
  <c r="F97" i="25"/>
  <c r="D97" i="25"/>
  <c r="B97" i="25"/>
  <c r="Q96" i="25"/>
  <c r="P96" i="25"/>
  <c r="O96" i="25"/>
  <c r="N96" i="25"/>
  <c r="M96" i="25"/>
  <c r="L96" i="25"/>
  <c r="K96" i="25"/>
  <c r="J96" i="25"/>
  <c r="S96" i="25" s="1"/>
  <c r="I96" i="25"/>
  <c r="H96" i="25"/>
  <c r="G96" i="25"/>
  <c r="F96" i="25"/>
  <c r="Q95" i="25"/>
  <c r="P95" i="25"/>
  <c r="O95" i="25"/>
  <c r="N95" i="25"/>
  <c r="M95" i="25"/>
  <c r="L95" i="25"/>
  <c r="K95" i="25"/>
  <c r="J95" i="25"/>
  <c r="I95" i="25"/>
  <c r="H95" i="25"/>
  <c r="G95" i="25"/>
  <c r="F95" i="25"/>
  <c r="R95" i="25" s="1"/>
  <c r="D95" i="25"/>
  <c r="B95" i="25"/>
  <c r="Q94" i="25"/>
  <c r="P94" i="25"/>
  <c r="O94" i="25"/>
  <c r="N94" i="25"/>
  <c r="M94" i="25"/>
  <c r="L94" i="25"/>
  <c r="K94" i="25"/>
  <c r="J94" i="25"/>
  <c r="I94" i="25"/>
  <c r="H94" i="25"/>
  <c r="G94" i="25"/>
  <c r="F94" i="25"/>
  <c r="Q93" i="25"/>
  <c r="P93" i="25"/>
  <c r="O93" i="25"/>
  <c r="N93" i="25"/>
  <c r="M93" i="25"/>
  <c r="L93" i="25"/>
  <c r="K93" i="25"/>
  <c r="J93" i="25"/>
  <c r="I93" i="25"/>
  <c r="H93" i="25"/>
  <c r="G93" i="25"/>
  <c r="F93" i="25"/>
  <c r="D93" i="25"/>
  <c r="B93" i="25"/>
  <c r="Q92" i="25"/>
  <c r="P92" i="25"/>
  <c r="O92" i="25"/>
  <c r="N92" i="25"/>
  <c r="M92" i="25"/>
  <c r="L92" i="25"/>
  <c r="K92" i="25"/>
  <c r="J92" i="25"/>
  <c r="I92" i="25"/>
  <c r="H92" i="25"/>
  <c r="G92" i="25"/>
  <c r="F92" i="25"/>
  <c r="S92" i="25" s="1"/>
  <c r="Q91" i="25"/>
  <c r="P91" i="25"/>
  <c r="O91" i="25"/>
  <c r="N91" i="25"/>
  <c r="M91" i="25"/>
  <c r="L91" i="25"/>
  <c r="K91" i="25"/>
  <c r="J91" i="25"/>
  <c r="I91" i="25"/>
  <c r="H91" i="25"/>
  <c r="G91" i="25"/>
  <c r="F91" i="25"/>
  <c r="D91" i="25"/>
  <c r="B91" i="25"/>
  <c r="Q90" i="25"/>
  <c r="P90" i="25"/>
  <c r="O90" i="25"/>
  <c r="N90" i="25"/>
  <c r="M90" i="25"/>
  <c r="L90" i="25"/>
  <c r="K90" i="25"/>
  <c r="J90" i="25"/>
  <c r="I90" i="25"/>
  <c r="H90" i="25"/>
  <c r="G90" i="25"/>
  <c r="F90" i="25"/>
  <c r="S90" i="25" s="1"/>
  <c r="Q89" i="25"/>
  <c r="P89" i="25"/>
  <c r="O89" i="25"/>
  <c r="N89" i="25"/>
  <c r="M89" i="25"/>
  <c r="L89" i="25"/>
  <c r="K89" i="25"/>
  <c r="J89" i="25"/>
  <c r="I89" i="25"/>
  <c r="H89" i="25"/>
  <c r="G89" i="25"/>
  <c r="F89" i="25"/>
  <c r="D89" i="25"/>
  <c r="B89" i="25"/>
  <c r="Q88" i="25"/>
  <c r="P88" i="25"/>
  <c r="O88" i="25"/>
  <c r="N88" i="25"/>
  <c r="M88" i="25"/>
  <c r="S88" i="25" s="1"/>
  <c r="L88" i="25"/>
  <c r="K88" i="25"/>
  <c r="J88" i="25"/>
  <c r="I88" i="25"/>
  <c r="H88" i="25"/>
  <c r="G88" i="25"/>
  <c r="F88" i="25"/>
  <c r="Q87" i="25"/>
  <c r="P87" i="25"/>
  <c r="O87" i="25"/>
  <c r="N87" i="25"/>
  <c r="M87" i="25"/>
  <c r="L87" i="25"/>
  <c r="K87" i="25"/>
  <c r="J87" i="25"/>
  <c r="I87" i="25"/>
  <c r="H87" i="25"/>
  <c r="G87" i="25"/>
  <c r="F87" i="25"/>
  <c r="D87" i="25"/>
  <c r="B87" i="25"/>
  <c r="Q86" i="25"/>
  <c r="P86" i="25"/>
  <c r="O86" i="25"/>
  <c r="N86" i="25"/>
  <c r="M86" i="25"/>
  <c r="S86" i="25" s="1"/>
  <c r="L86" i="25"/>
  <c r="K86" i="25"/>
  <c r="J86" i="25"/>
  <c r="I86" i="25"/>
  <c r="H86" i="25"/>
  <c r="G86" i="25"/>
  <c r="F86" i="25"/>
  <c r="Q85" i="25"/>
  <c r="P85" i="25"/>
  <c r="O85" i="25"/>
  <c r="N85" i="25"/>
  <c r="M85" i="25"/>
  <c r="L85" i="25"/>
  <c r="K85" i="25"/>
  <c r="J85" i="25"/>
  <c r="I85" i="25"/>
  <c r="H85" i="25"/>
  <c r="G85" i="25"/>
  <c r="F85" i="25"/>
  <c r="D85" i="25"/>
  <c r="B85" i="25"/>
  <c r="Q84" i="25"/>
  <c r="P84" i="25"/>
  <c r="O84" i="25"/>
  <c r="N84" i="25"/>
  <c r="M84" i="25"/>
  <c r="L84" i="25"/>
  <c r="S84" i="25" s="1"/>
  <c r="K84" i="25"/>
  <c r="J84" i="25"/>
  <c r="I84" i="25"/>
  <c r="H84" i="25"/>
  <c r="G84" i="25"/>
  <c r="F84" i="25"/>
  <c r="Q83" i="25"/>
  <c r="P83" i="25"/>
  <c r="O83" i="25"/>
  <c r="N83" i="25"/>
  <c r="M83" i="25"/>
  <c r="L83" i="25"/>
  <c r="K83" i="25"/>
  <c r="J83" i="25"/>
  <c r="I83" i="25"/>
  <c r="H83" i="25"/>
  <c r="G83" i="25"/>
  <c r="F83" i="25"/>
  <c r="D83" i="25"/>
  <c r="B83" i="25"/>
  <c r="Q82" i="25"/>
  <c r="P82" i="25"/>
  <c r="O82" i="25"/>
  <c r="N82" i="25"/>
  <c r="M82" i="25"/>
  <c r="L82" i="25"/>
  <c r="K82" i="25"/>
  <c r="J82" i="25"/>
  <c r="I82" i="25"/>
  <c r="H82" i="25"/>
  <c r="G82" i="25"/>
  <c r="F82" i="25"/>
  <c r="R81" i="25"/>
  <c r="Q81" i="25"/>
  <c r="P81" i="25"/>
  <c r="O81" i="25"/>
  <c r="N81" i="25"/>
  <c r="M81" i="25"/>
  <c r="L81" i="25"/>
  <c r="K81" i="25"/>
  <c r="J81" i="25"/>
  <c r="I81" i="25"/>
  <c r="H81" i="25"/>
  <c r="G81" i="25"/>
  <c r="F81" i="25"/>
  <c r="D81" i="25"/>
  <c r="B81" i="25"/>
  <c r="Q80" i="25"/>
  <c r="P80" i="25"/>
  <c r="O80" i="25"/>
  <c r="N80" i="25"/>
  <c r="M80" i="25"/>
  <c r="S80" i="25" s="1"/>
  <c r="L80" i="25"/>
  <c r="K80" i="25"/>
  <c r="J80" i="25"/>
  <c r="I80" i="25"/>
  <c r="H80" i="25"/>
  <c r="G80" i="25"/>
  <c r="F80" i="25"/>
  <c r="R79" i="25"/>
  <c r="Q79" i="25"/>
  <c r="P79" i="25"/>
  <c r="O79" i="25"/>
  <c r="N79" i="25"/>
  <c r="M79" i="25"/>
  <c r="L79" i="25"/>
  <c r="K79" i="25"/>
  <c r="J79" i="25"/>
  <c r="I79" i="25"/>
  <c r="H79" i="25"/>
  <c r="G79" i="25"/>
  <c r="F79" i="25"/>
  <c r="D79" i="25"/>
  <c r="B79" i="25"/>
  <c r="Q78" i="25"/>
  <c r="P78" i="25"/>
  <c r="O78" i="25"/>
  <c r="N78" i="25"/>
  <c r="M78" i="25"/>
  <c r="L78" i="25"/>
  <c r="K78" i="25"/>
  <c r="J78" i="25"/>
  <c r="I78" i="25"/>
  <c r="H78" i="25"/>
  <c r="G78" i="25"/>
  <c r="F78" i="25"/>
  <c r="R77" i="25"/>
  <c r="Q77" i="25"/>
  <c r="P77" i="25"/>
  <c r="O77" i="25"/>
  <c r="N77" i="25"/>
  <c r="M77" i="25"/>
  <c r="L77" i="25"/>
  <c r="K77" i="25"/>
  <c r="J77" i="25"/>
  <c r="I77" i="25"/>
  <c r="H77" i="25"/>
  <c r="G77" i="25"/>
  <c r="F77" i="25"/>
  <c r="D77" i="25"/>
  <c r="B77" i="25"/>
  <c r="Q76" i="25"/>
  <c r="P76" i="25"/>
  <c r="O76" i="25"/>
  <c r="N76" i="25"/>
  <c r="M76" i="25"/>
  <c r="L76" i="25"/>
  <c r="K76" i="25"/>
  <c r="J76" i="25"/>
  <c r="I76" i="25"/>
  <c r="H76" i="25"/>
  <c r="G76" i="25"/>
  <c r="F76" i="25"/>
  <c r="Q75" i="25"/>
  <c r="P75" i="25"/>
  <c r="O75" i="25"/>
  <c r="N75" i="25"/>
  <c r="M75" i="25"/>
  <c r="L75" i="25"/>
  <c r="K75" i="25"/>
  <c r="J75" i="25"/>
  <c r="I75" i="25"/>
  <c r="H75" i="25"/>
  <c r="G75" i="25"/>
  <c r="F75" i="25"/>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R51" i="25"/>
  <c r="P51" i="25"/>
  <c r="H51" i="25"/>
  <c r="S50" i="25"/>
  <c r="R50" i="25"/>
  <c r="Q50" i="25"/>
  <c r="P50" i="25"/>
  <c r="O50" i="25"/>
  <c r="N50" i="25"/>
  <c r="M50" i="25"/>
  <c r="L50" i="25"/>
  <c r="K50" i="25"/>
  <c r="J50" i="25"/>
  <c r="I50" i="25"/>
  <c r="H50" i="25"/>
  <c r="F50" i="25"/>
  <c r="E50" i="25"/>
  <c r="G50" i="25" s="1"/>
  <c r="AI49" i="25"/>
  <c r="AH49" i="25"/>
  <c r="AG49" i="25"/>
  <c r="AF49" i="25"/>
  <c r="AE49" i="25"/>
  <c r="AD49" i="25"/>
  <c r="AC49" i="25"/>
  <c r="AB49" i="25"/>
  <c r="AA49" i="25"/>
  <c r="Z49" i="25"/>
  <c r="Y49" i="25"/>
  <c r="X49" i="25"/>
  <c r="S49" i="25"/>
  <c r="R49" i="25"/>
  <c r="Q49" i="25"/>
  <c r="P49" i="25"/>
  <c r="O49" i="25"/>
  <c r="N49" i="25"/>
  <c r="M49" i="25"/>
  <c r="L49" i="25"/>
  <c r="K49" i="25"/>
  <c r="J49" i="25"/>
  <c r="I49" i="25"/>
  <c r="H49" i="25"/>
  <c r="AK48" i="25"/>
  <c r="AI48" i="25"/>
  <c r="AH48" i="25"/>
  <c r="AG48" i="25"/>
  <c r="AF48" i="25"/>
  <c r="AE48" i="25"/>
  <c r="AD48" i="25"/>
  <c r="AC48" i="25"/>
  <c r="AB48" i="25"/>
  <c r="AA48" i="25"/>
  <c r="Z48" i="25"/>
  <c r="Y48" i="25"/>
  <c r="X48" i="25"/>
  <c r="U48" i="25"/>
  <c r="T48" i="25"/>
  <c r="F48" i="25" s="1"/>
  <c r="G48" i="25" s="1"/>
  <c r="S48" i="25"/>
  <c r="R48" i="25"/>
  <c r="Q48" i="25"/>
  <c r="P48" i="25"/>
  <c r="O48" i="25"/>
  <c r="N48" i="25"/>
  <c r="M48" i="25"/>
  <c r="L48" i="25"/>
  <c r="K48" i="25"/>
  <c r="J48" i="25"/>
  <c r="I48" i="25"/>
  <c r="H48" i="25"/>
  <c r="AI47" i="25"/>
  <c r="AH47" i="25"/>
  <c r="AG47" i="25"/>
  <c r="AF47" i="25"/>
  <c r="AE47" i="25"/>
  <c r="AD47" i="25"/>
  <c r="AC47" i="25"/>
  <c r="AB47" i="25"/>
  <c r="AA47" i="25"/>
  <c r="Z47" i="25"/>
  <c r="Y47" i="25"/>
  <c r="X47" i="25"/>
  <c r="S47" i="25"/>
  <c r="R47" i="25"/>
  <c r="Q47" i="25"/>
  <c r="P47" i="25"/>
  <c r="O47" i="25"/>
  <c r="N47" i="25"/>
  <c r="M47" i="25"/>
  <c r="L47" i="25"/>
  <c r="K47" i="25"/>
  <c r="J47" i="25"/>
  <c r="I47" i="25"/>
  <c r="H47" i="25"/>
  <c r="AK46" i="25"/>
  <c r="AJ46" i="25"/>
  <c r="AI46" i="25"/>
  <c r="AH46" i="25"/>
  <c r="AG46" i="25"/>
  <c r="AF46" i="25"/>
  <c r="AE46" i="25"/>
  <c r="AD46" i="25"/>
  <c r="AC46" i="25"/>
  <c r="AB46" i="25"/>
  <c r="AA46" i="25"/>
  <c r="Z46" i="25"/>
  <c r="Y46" i="25"/>
  <c r="X46" i="25"/>
  <c r="U46" i="25"/>
  <c r="S46" i="25"/>
  <c r="R46" i="25"/>
  <c r="Q46" i="25"/>
  <c r="P46" i="25"/>
  <c r="O46" i="25"/>
  <c r="N46" i="25"/>
  <c r="M46" i="25"/>
  <c r="L46" i="25"/>
  <c r="K46" i="25"/>
  <c r="J46" i="25"/>
  <c r="I46" i="25"/>
  <c r="H46" i="25"/>
  <c r="C46" i="25"/>
  <c r="B46" i="25"/>
  <c r="S45" i="25"/>
  <c r="R45" i="25"/>
  <c r="Q45" i="25"/>
  <c r="K45" i="25"/>
  <c r="J45" i="25"/>
  <c r="I45" i="25"/>
  <c r="H45" i="25"/>
  <c r="P44" i="25"/>
  <c r="O44" i="25"/>
  <c r="N44" i="25"/>
  <c r="M44" i="25"/>
  <c r="L44" i="25"/>
  <c r="K44" i="25"/>
  <c r="J44" i="25"/>
  <c r="I44" i="25"/>
  <c r="H44" i="25"/>
  <c r="F44" i="25"/>
  <c r="E44" i="25"/>
  <c r="G44" i="25" s="1"/>
  <c r="AI43" i="25"/>
  <c r="AH43" i="25"/>
  <c r="AG43" i="25"/>
  <c r="AF43" i="25"/>
  <c r="AE43" i="25"/>
  <c r="AD43" i="25"/>
  <c r="AC43" i="25"/>
  <c r="AB43" i="25"/>
  <c r="AA43" i="25"/>
  <c r="Z43" i="25"/>
  <c r="Y43" i="25"/>
  <c r="X43" i="25"/>
  <c r="S43" i="25"/>
  <c r="R43" i="25"/>
  <c r="Q43" i="25"/>
  <c r="P43" i="25"/>
  <c r="O43" i="25"/>
  <c r="N43" i="25"/>
  <c r="M43" i="25"/>
  <c r="L43" i="25"/>
  <c r="K43" i="25"/>
  <c r="J43" i="25"/>
  <c r="I43" i="25"/>
  <c r="H43" i="25"/>
  <c r="AK42" i="25"/>
  <c r="AI42" i="25"/>
  <c r="AH42" i="25"/>
  <c r="AG42" i="25"/>
  <c r="AF42" i="25"/>
  <c r="AE42" i="25"/>
  <c r="AD42" i="25"/>
  <c r="AC42" i="25"/>
  <c r="AB42" i="25"/>
  <c r="AA42" i="25"/>
  <c r="Z42" i="25"/>
  <c r="Y42" i="25"/>
  <c r="X42" i="25"/>
  <c r="U42" i="25"/>
  <c r="S42" i="25"/>
  <c r="R42" i="25"/>
  <c r="Q42" i="25"/>
  <c r="P42" i="25"/>
  <c r="O42" i="25"/>
  <c r="N42" i="25"/>
  <c r="M42" i="25"/>
  <c r="L42" i="25"/>
  <c r="K42" i="25"/>
  <c r="J42" i="25"/>
  <c r="I42" i="25"/>
  <c r="H42" i="25"/>
  <c r="AI41" i="25"/>
  <c r="AH41" i="25"/>
  <c r="AG41" i="25"/>
  <c r="AF41" i="25"/>
  <c r="AE41" i="25"/>
  <c r="AD41" i="25"/>
  <c r="AC41" i="25"/>
  <c r="AB41" i="25"/>
  <c r="AA41" i="25"/>
  <c r="Z41" i="25"/>
  <c r="Y41" i="25"/>
  <c r="X41" i="25"/>
  <c r="S41" i="25"/>
  <c r="R41" i="25"/>
  <c r="Q41" i="25"/>
  <c r="P41" i="25"/>
  <c r="O41" i="25"/>
  <c r="N41" i="25"/>
  <c r="M41" i="25"/>
  <c r="L41" i="25"/>
  <c r="K41" i="25"/>
  <c r="J41" i="25"/>
  <c r="I41" i="25"/>
  <c r="H41" i="25"/>
  <c r="AK40" i="25"/>
  <c r="AJ40" i="25"/>
  <c r="AI40" i="25"/>
  <c r="AH40" i="25"/>
  <c r="AG40" i="25"/>
  <c r="AF40" i="25"/>
  <c r="AE40" i="25"/>
  <c r="AD40" i="25"/>
  <c r="AC40" i="25"/>
  <c r="AB40" i="25"/>
  <c r="AA40" i="25"/>
  <c r="Z40" i="25"/>
  <c r="Y40" i="25"/>
  <c r="X40" i="25"/>
  <c r="U40" i="25"/>
  <c r="S40" i="25"/>
  <c r="R40" i="25"/>
  <c r="Q40" i="25"/>
  <c r="P40" i="25"/>
  <c r="O40" i="25"/>
  <c r="N40" i="25"/>
  <c r="M40" i="25"/>
  <c r="L40" i="25"/>
  <c r="K40" i="25"/>
  <c r="J40" i="25"/>
  <c r="I40" i="25"/>
  <c r="H40" i="25"/>
  <c r="C40" i="25"/>
  <c r="B40" i="25"/>
  <c r="K39" i="25"/>
  <c r="J39" i="25"/>
  <c r="I39" i="25"/>
  <c r="H39" i="25"/>
  <c r="U38" i="25"/>
  <c r="T38" i="25"/>
  <c r="S38" i="25"/>
  <c r="R38" i="25"/>
  <c r="Q38" i="25"/>
  <c r="P38" i="25"/>
  <c r="O38" i="25"/>
  <c r="N38" i="25"/>
  <c r="M38" i="25"/>
  <c r="L38" i="25"/>
  <c r="K38" i="25"/>
  <c r="J38" i="25"/>
  <c r="I38" i="25"/>
  <c r="H38" i="25"/>
  <c r="F38" i="25"/>
  <c r="E38" i="25"/>
  <c r="G38" i="25" s="1"/>
  <c r="AI37" i="25"/>
  <c r="AH37" i="25"/>
  <c r="AG37" i="25"/>
  <c r="AF37" i="25"/>
  <c r="AE37" i="25"/>
  <c r="AD37" i="25"/>
  <c r="AC37" i="25"/>
  <c r="AB37" i="25"/>
  <c r="AA37" i="25"/>
  <c r="Z37" i="25"/>
  <c r="Y37" i="25"/>
  <c r="X37" i="25"/>
  <c r="S37" i="25"/>
  <c r="R37" i="25"/>
  <c r="Q37" i="25"/>
  <c r="P37" i="25"/>
  <c r="O37" i="25"/>
  <c r="N37" i="25"/>
  <c r="M37" i="25"/>
  <c r="L37" i="25"/>
  <c r="K37" i="25"/>
  <c r="J37" i="25"/>
  <c r="I37" i="25"/>
  <c r="H37" i="25"/>
  <c r="AK36" i="25"/>
  <c r="AI36" i="25"/>
  <c r="AH36" i="25"/>
  <c r="AG36" i="25"/>
  <c r="AF36" i="25"/>
  <c r="AE36" i="25"/>
  <c r="AD36" i="25"/>
  <c r="AC36" i="25"/>
  <c r="AB36" i="25"/>
  <c r="AA36" i="25"/>
  <c r="Z36" i="25"/>
  <c r="Y36" i="25"/>
  <c r="X36" i="25"/>
  <c r="U36" i="25"/>
  <c r="T36" i="25"/>
  <c r="F36" i="25" s="1"/>
  <c r="G36" i="25" s="1"/>
  <c r="S36" i="25"/>
  <c r="R36" i="25"/>
  <c r="Q36" i="25"/>
  <c r="P36" i="25"/>
  <c r="O36" i="25"/>
  <c r="N36" i="25"/>
  <c r="M36" i="25"/>
  <c r="L36" i="25"/>
  <c r="K36" i="25"/>
  <c r="J36" i="25"/>
  <c r="I36" i="25"/>
  <c r="H36" i="25"/>
  <c r="AI35" i="25"/>
  <c r="AH35" i="25"/>
  <c r="AG35" i="25"/>
  <c r="AF35" i="25"/>
  <c r="AE35" i="25"/>
  <c r="AD35" i="25"/>
  <c r="AC35" i="25"/>
  <c r="AB35" i="25"/>
  <c r="AA35" i="25"/>
  <c r="Z35" i="25"/>
  <c r="Y35" i="25"/>
  <c r="X35" i="25"/>
  <c r="S35" i="25"/>
  <c r="R35" i="25"/>
  <c r="Q35" i="25"/>
  <c r="P35" i="25"/>
  <c r="O35" i="25"/>
  <c r="N35" i="25"/>
  <c r="M35" i="25"/>
  <c r="L35" i="25"/>
  <c r="K35" i="25"/>
  <c r="J35" i="25"/>
  <c r="I35" i="25"/>
  <c r="H35" i="25"/>
  <c r="AK34" i="25"/>
  <c r="AJ34" i="25"/>
  <c r="AI34" i="25"/>
  <c r="AH34" i="25"/>
  <c r="AG34" i="25"/>
  <c r="AF34" i="25"/>
  <c r="AE34" i="25"/>
  <c r="AD34" i="25"/>
  <c r="AC34" i="25"/>
  <c r="AB34" i="25"/>
  <c r="AA34" i="25"/>
  <c r="Z34" i="25"/>
  <c r="Y34" i="25"/>
  <c r="X34" i="25"/>
  <c r="U34" i="25"/>
  <c r="S34" i="25"/>
  <c r="R34" i="25"/>
  <c r="Q34" i="25"/>
  <c r="P34" i="25"/>
  <c r="O34" i="25"/>
  <c r="N34" i="25"/>
  <c r="M34" i="25"/>
  <c r="L34" i="25"/>
  <c r="K34" i="25"/>
  <c r="J34" i="25"/>
  <c r="I34" i="25"/>
  <c r="H34" i="25"/>
  <c r="C34" i="25"/>
  <c r="B34" i="25"/>
  <c r="S33" i="25"/>
  <c r="R33" i="25"/>
  <c r="Q33" i="25"/>
  <c r="P33" i="25"/>
  <c r="O33" i="25"/>
  <c r="N33" i="25"/>
  <c r="U32" i="25"/>
  <c r="T32" i="25"/>
  <c r="S32" i="25"/>
  <c r="R32" i="25"/>
  <c r="Q32" i="25"/>
  <c r="P32" i="25"/>
  <c r="O32" i="25"/>
  <c r="N32" i="25"/>
  <c r="M32" i="25"/>
  <c r="L32" i="25"/>
  <c r="K32" i="25"/>
  <c r="J32" i="25"/>
  <c r="I32" i="25"/>
  <c r="H32" i="25"/>
  <c r="F32" i="25"/>
  <c r="E32" i="25"/>
  <c r="G32" i="25" s="1"/>
  <c r="AI31" i="25"/>
  <c r="AH31" i="25"/>
  <c r="AG31" i="25"/>
  <c r="AF31" i="25"/>
  <c r="AE31" i="25"/>
  <c r="AD31" i="25"/>
  <c r="AC31" i="25"/>
  <c r="AB31" i="25"/>
  <c r="AA31" i="25"/>
  <c r="Z31" i="25"/>
  <c r="Y31" i="25"/>
  <c r="X31" i="25"/>
  <c r="S31" i="25"/>
  <c r="R31" i="25"/>
  <c r="Q31" i="25"/>
  <c r="P31" i="25"/>
  <c r="O31" i="25"/>
  <c r="N31" i="25"/>
  <c r="M31" i="25"/>
  <c r="L31" i="25"/>
  <c r="K31" i="25"/>
  <c r="J31" i="25"/>
  <c r="I31" i="25"/>
  <c r="H31" i="25"/>
  <c r="AK30" i="25"/>
  <c r="AI30" i="25"/>
  <c r="AH30" i="25"/>
  <c r="AG30" i="25"/>
  <c r="AF30" i="25"/>
  <c r="AE30" i="25"/>
  <c r="AD30" i="25"/>
  <c r="AC30" i="25"/>
  <c r="AB30" i="25"/>
  <c r="AA30" i="25"/>
  <c r="Z30" i="25"/>
  <c r="Y30" i="25"/>
  <c r="X30" i="25"/>
  <c r="U30" i="25"/>
  <c r="T30" i="25"/>
  <c r="S30" i="25"/>
  <c r="R30" i="25"/>
  <c r="Q30" i="25"/>
  <c r="P30" i="25"/>
  <c r="O30" i="25"/>
  <c r="N30" i="25"/>
  <c r="M30" i="25"/>
  <c r="L30" i="25"/>
  <c r="K30" i="25"/>
  <c r="J30" i="25"/>
  <c r="I30" i="25"/>
  <c r="H30" i="25"/>
  <c r="AI29" i="25"/>
  <c r="AH29" i="25"/>
  <c r="AG29" i="25"/>
  <c r="AF29" i="25"/>
  <c r="AE29" i="25"/>
  <c r="AD29" i="25"/>
  <c r="AC29" i="25"/>
  <c r="AB29" i="25"/>
  <c r="AA29" i="25"/>
  <c r="Z29" i="25"/>
  <c r="Y29" i="25"/>
  <c r="X29" i="25"/>
  <c r="S29" i="25"/>
  <c r="R29" i="25"/>
  <c r="Q29" i="25"/>
  <c r="P29" i="25"/>
  <c r="O29" i="25"/>
  <c r="N29" i="25"/>
  <c r="M29" i="25"/>
  <c r="L29" i="25"/>
  <c r="K29" i="25"/>
  <c r="J29" i="25"/>
  <c r="I29" i="25"/>
  <c r="H29" i="25"/>
  <c r="AK28" i="25"/>
  <c r="AJ28" i="25"/>
  <c r="AI28" i="25"/>
  <c r="AH28" i="25"/>
  <c r="AG28" i="25"/>
  <c r="AF28" i="25"/>
  <c r="AE28" i="25"/>
  <c r="AD28" i="25"/>
  <c r="AC28" i="25"/>
  <c r="AB28" i="25"/>
  <c r="AA28" i="25"/>
  <c r="Z28" i="25"/>
  <c r="Y28" i="25"/>
  <c r="X28" i="25"/>
  <c r="U28" i="25"/>
  <c r="S28" i="25"/>
  <c r="R28" i="25"/>
  <c r="Q28" i="25"/>
  <c r="P28" i="25"/>
  <c r="O28" i="25"/>
  <c r="N28" i="25"/>
  <c r="M28" i="25"/>
  <c r="L28" i="25"/>
  <c r="K28" i="25"/>
  <c r="J28" i="25"/>
  <c r="I28" i="25"/>
  <c r="H28" i="25"/>
  <c r="C28" i="25"/>
  <c r="B28" i="25"/>
  <c r="U27" i="25"/>
  <c r="T27" i="25"/>
  <c r="S27" i="25"/>
  <c r="R27" i="25"/>
  <c r="Q27" i="25"/>
  <c r="P27" i="25"/>
  <c r="O27" i="25"/>
  <c r="N27" i="25"/>
  <c r="M27" i="25"/>
  <c r="L27" i="25"/>
  <c r="K27" i="25"/>
  <c r="J27" i="25"/>
  <c r="I27" i="25"/>
  <c r="H27" i="25"/>
  <c r="S26" i="25"/>
  <c r="R26" i="25"/>
  <c r="O26" i="25"/>
  <c r="N26" i="25"/>
  <c r="M26" i="25"/>
  <c r="L26" i="25"/>
  <c r="K26" i="25"/>
  <c r="J26" i="25"/>
  <c r="I26" i="25"/>
  <c r="H26" i="25"/>
  <c r="F26" i="25"/>
  <c r="E26" i="25"/>
  <c r="AI25" i="25"/>
  <c r="AH25" i="25"/>
  <c r="AG25" i="25"/>
  <c r="AF25" i="25"/>
  <c r="AE25" i="25"/>
  <c r="AD25" i="25"/>
  <c r="AC25" i="25"/>
  <c r="AB25" i="25"/>
  <c r="AA25" i="25"/>
  <c r="Z25" i="25"/>
  <c r="Y25" i="25"/>
  <c r="X25" i="25"/>
  <c r="S25" i="25"/>
  <c r="R25" i="25"/>
  <c r="Q25" i="25"/>
  <c r="P25" i="25"/>
  <c r="O25" i="25"/>
  <c r="N25" i="25"/>
  <c r="M25" i="25"/>
  <c r="L25" i="25"/>
  <c r="K25" i="25"/>
  <c r="J25" i="25"/>
  <c r="I25" i="25"/>
  <c r="H25" i="25"/>
  <c r="AK24" i="25"/>
  <c r="AI24" i="25"/>
  <c r="AH24" i="25"/>
  <c r="AG24" i="25"/>
  <c r="AF24" i="25"/>
  <c r="AE24" i="25"/>
  <c r="AD24" i="25"/>
  <c r="AC24" i="25"/>
  <c r="AB24" i="25"/>
  <c r="AA24" i="25"/>
  <c r="Z24" i="25"/>
  <c r="Y24" i="25"/>
  <c r="X24" i="25"/>
  <c r="U24" i="25"/>
  <c r="T24" i="25"/>
  <c r="F24" i="25" s="1"/>
  <c r="G24" i="25" s="1"/>
  <c r="S24" i="25"/>
  <c r="R24" i="25"/>
  <c r="Q24" i="25"/>
  <c r="P24" i="25"/>
  <c r="O24" i="25"/>
  <c r="N24" i="25"/>
  <c r="M24" i="25"/>
  <c r="L24" i="25"/>
  <c r="K24" i="25"/>
  <c r="J24" i="25"/>
  <c r="I24" i="25"/>
  <c r="H24" i="25"/>
  <c r="AI23" i="25"/>
  <c r="AH23" i="25"/>
  <c r="AG23" i="25"/>
  <c r="AF23" i="25"/>
  <c r="AE23" i="25"/>
  <c r="AD23" i="25"/>
  <c r="AC23" i="25"/>
  <c r="AB23" i="25"/>
  <c r="AA23" i="25"/>
  <c r="Z23" i="25"/>
  <c r="Y23" i="25"/>
  <c r="X23" i="25"/>
  <c r="S23" i="25"/>
  <c r="R23" i="25"/>
  <c r="Q23" i="25"/>
  <c r="P23" i="25"/>
  <c r="O23" i="25"/>
  <c r="N23" i="25"/>
  <c r="M23" i="25"/>
  <c r="L23" i="25"/>
  <c r="K23" i="25"/>
  <c r="J23" i="25"/>
  <c r="I23" i="25"/>
  <c r="H23" i="25"/>
  <c r="AK22" i="25"/>
  <c r="AJ22" i="25"/>
  <c r="AI22" i="25"/>
  <c r="AH22" i="25"/>
  <c r="AG22" i="25"/>
  <c r="AF22" i="25"/>
  <c r="AE22" i="25"/>
  <c r="AD22" i="25"/>
  <c r="AC22" i="25"/>
  <c r="AB22" i="25"/>
  <c r="AA22" i="25"/>
  <c r="Z22" i="25"/>
  <c r="Y22" i="25"/>
  <c r="X22" i="25"/>
  <c r="U22" i="25"/>
  <c r="S22" i="25"/>
  <c r="R22" i="25"/>
  <c r="Q22" i="25"/>
  <c r="P22" i="25"/>
  <c r="O22" i="25"/>
  <c r="N22" i="25"/>
  <c r="N53" i="25" s="1"/>
  <c r="M22" i="25"/>
  <c r="L22" i="25"/>
  <c r="K22" i="25"/>
  <c r="J22" i="25"/>
  <c r="I22" i="25"/>
  <c r="H22" i="25"/>
  <c r="C22" i="25"/>
  <c r="B22" i="25"/>
  <c r="U21" i="25"/>
  <c r="T21" i="25"/>
  <c r="S21" i="25"/>
  <c r="R21" i="25"/>
  <c r="Q21" i="25"/>
  <c r="P21" i="25"/>
  <c r="O21" i="25"/>
  <c r="N21" i="25"/>
  <c r="M21" i="25"/>
  <c r="L21" i="25"/>
  <c r="K21" i="25"/>
  <c r="J21" i="25"/>
  <c r="I21" i="25"/>
  <c r="H21" i="25"/>
  <c r="S20" i="25"/>
  <c r="R20" i="25"/>
  <c r="Q20" i="25"/>
  <c r="P20" i="25"/>
  <c r="O20" i="25"/>
  <c r="N20" i="25"/>
  <c r="M20" i="25"/>
  <c r="L20" i="25"/>
  <c r="K20" i="25"/>
  <c r="J20" i="25"/>
  <c r="I20" i="25"/>
  <c r="H20" i="25"/>
  <c r="F20" i="25"/>
  <c r="E20" i="25"/>
  <c r="AI19" i="25"/>
  <c r="AH19" i="25"/>
  <c r="AG19" i="25"/>
  <c r="AF19" i="25"/>
  <c r="AE19" i="25"/>
  <c r="AD19" i="25"/>
  <c r="AC19" i="25"/>
  <c r="AB19" i="25"/>
  <c r="AA19" i="25"/>
  <c r="Z19" i="25"/>
  <c r="Y19" i="25"/>
  <c r="X19" i="25"/>
  <c r="S19" i="25"/>
  <c r="R19" i="25"/>
  <c r="Q19" i="25"/>
  <c r="P19" i="25"/>
  <c r="O19" i="25"/>
  <c r="N19" i="25"/>
  <c r="M19" i="25"/>
  <c r="L19" i="25"/>
  <c r="K19" i="25"/>
  <c r="J19" i="25"/>
  <c r="I19" i="25"/>
  <c r="H19" i="25"/>
  <c r="AK18" i="25"/>
  <c r="AJ18" i="25"/>
  <c r="AI18" i="25"/>
  <c r="AH18" i="25"/>
  <c r="AG18" i="25"/>
  <c r="AF18" i="25"/>
  <c r="AE18" i="25"/>
  <c r="AD18" i="25"/>
  <c r="AC18" i="25"/>
  <c r="AB18" i="25"/>
  <c r="AA18" i="25"/>
  <c r="Z18" i="25"/>
  <c r="Y18" i="25"/>
  <c r="X18" i="25"/>
  <c r="U18" i="25"/>
  <c r="T18" i="25"/>
  <c r="F18" i="25" s="1"/>
  <c r="G18" i="25" s="1"/>
  <c r="S18" i="25"/>
  <c r="R18" i="25"/>
  <c r="Q18" i="25"/>
  <c r="P18" i="25"/>
  <c r="O18" i="25"/>
  <c r="N18" i="25"/>
  <c r="M18" i="25"/>
  <c r="L18" i="25"/>
  <c r="K18" i="25"/>
  <c r="J18" i="25"/>
  <c r="I18" i="25"/>
  <c r="H18" i="25"/>
  <c r="AI17" i="25"/>
  <c r="AH17" i="25"/>
  <c r="AG17" i="25"/>
  <c r="AF17" i="25"/>
  <c r="AE17" i="25"/>
  <c r="AD17" i="25"/>
  <c r="AC17" i="25"/>
  <c r="AB17" i="25"/>
  <c r="AA17" i="25"/>
  <c r="Z17" i="25"/>
  <c r="Y17" i="25"/>
  <c r="X17" i="25"/>
  <c r="S17" i="25"/>
  <c r="R17" i="25"/>
  <c r="Q17" i="25"/>
  <c r="P17" i="25"/>
  <c r="O17" i="25"/>
  <c r="N17" i="25"/>
  <c r="M17" i="25"/>
  <c r="L17" i="25"/>
  <c r="K17" i="25"/>
  <c r="J17" i="25"/>
  <c r="I17" i="25"/>
  <c r="H17" i="25"/>
  <c r="AK16" i="25"/>
  <c r="AJ16" i="25"/>
  <c r="AI16" i="25"/>
  <c r="AH16" i="25"/>
  <c r="AG16" i="25"/>
  <c r="AF16" i="25"/>
  <c r="AE16" i="25"/>
  <c r="AD16" i="25"/>
  <c r="AC16" i="25"/>
  <c r="AB16" i="25"/>
  <c r="AA16" i="25"/>
  <c r="Z16" i="25"/>
  <c r="Y16" i="25"/>
  <c r="X16" i="25"/>
  <c r="U16" i="25"/>
  <c r="S16" i="25"/>
  <c r="R16" i="25"/>
  <c r="Q16" i="25"/>
  <c r="P16" i="25"/>
  <c r="O16" i="25"/>
  <c r="N16" i="25"/>
  <c r="M16" i="25"/>
  <c r="L16" i="25"/>
  <c r="K16" i="25"/>
  <c r="J16" i="25"/>
  <c r="I16" i="25"/>
  <c r="H16" i="25"/>
  <c r="C16" i="25"/>
  <c r="B16" i="25"/>
  <c r="P15" i="25"/>
  <c r="O15" i="25"/>
  <c r="N15" i="25"/>
  <c r="M15" i="25"/>
  <c r="L15" i="25"/>
  <c r="K15" i="25"/>
  <c r="J15" i="25"/>
  <c r="I15" i="25"/>
  <c r="H15" i="25"/>
  <c r="O14" i="25"/>
  <c r="N14" i="25"/>
  <c r="M14" i="25"/>
  <c r="L14" i="25"/>
  <c r="K14" i="25"/>
  <c r="J14" i="25"/>
  <c r="I14" i="25"/>
  <c r="H14" i="25"/>
  <c r="F14" i="25"/>
  <c r="E14" i="25"/>
  <c r="AI13" i="25"/>
  <c r="AH13" i="25"/>
  <c r="AH61" i="25" s="1"/>
  <c r="AG13" i="25"/>
  <c r="AF13" i="25"/>
  <c r="AE13" i="25"/>
  <c r="AD13" i="25"/>
  <c r="AD61" i="25" s="1"/>
  <c r="AC13" i="25"/>
  <c r="AB13" i="25"/>
  <c r="AA13" i="25"/>
  <c r="Z13" i="25"/>
  <c r="Z61" i="25" s="1"/>
  <c r="Y13" i="25"/>
  <c r="X13" i="25"/>
  <c r="S13" i="25"/>
  <c r="R13" i="25"/>
  <c r="Q13" i="25"/>
  <c r="P13" i="25"/>
  <c r="O13" i="25"/>
  <c r="N13" i="25"/>
  <c r="M13" i="25"/>
  <c r="L13" i="25"/>
  <c r="L56" i="25" s="1"/>
  <c r="K13" i="25"/>
  <c r="J13" i="25"/>
  <c r="I13" i="25"/>
  <c r="H13" i="25"/>
  <c r="H61" i="25" s="1"/>
  <c r="AK12" i="25"/>
  <c r="AI12" i="25"/>
  <c r="AH12" i="25"/>
  <c r="AG12" i="25"/>
  <c r="AF12" i="25"/>
  <c r="AE12" i="25"/>
  <c r="AD12" i="25"/>
  <c r="AC12" i="25"/>
  <c r="AB12" i="25"/>
  <c r="AA12" i="25"/>
  <c r="Z12" i="25"/>
  <c r="Y12" i="25"/>
  <c r="X12" i="25"/>
  <c r="U12" i="25"/>
  <c r="T12" i="25"/>
  <c r="F12" i="25" s="1"/>
  <c r="G12" i="25" s="1"/>
  <c r="S12" i="25"/>
  <c r="R12" i="25"/>
  <c r="Q12" i="25"/>
  <c r="P12" i="25"/>
  <c r="O12" i="25"/>
  <c r="N12" i="25"/>
  <c r="M12" i="25"/>
  <c r="L12" i="25"/>
  <c r="K12" i="25"/>
  <c r="J12" i="25"/>
  <c r="I12" i="25"/>
  <c r="H12" i="25"/>
  <c r="AK11" i="25"/>
  <c r="AI11" i="25"/>
  <c r="AH11" i="25"/>
  <c r="AG11" i="25"/>
  <c r="AF11" i="25"/>
  <c r="AE11" i="25"/>
  <c r="AD11" i="25"/>
  <c r="AD59" i="25" s="1"/>
  <c r="AC11" i="25"/>
  <c r="AB11" i="25"/>
  <c r="AA11" i="25"/>
  <c r="Z11" i="25"/>
  <c r="Z59" i="25" s="1"/>
  <c r="Y11" i="25"/>
  <c r="X11" i="25"/>
  <c r="S11" i="25"/>
  <c r="R11" i="25"/>
  <c r="Q11" i="25"/>
  <c r="P11" i="25"/>
  <c r="O11" i="25"/>
  <c r="N11" i="25"/>
  <c r="M11" i="25"/>
  <c r="L11" i="25"/>
  <c r="K11" i="25"/>
  <c r="J11" i="25"/>
  <c r="I11" i="25"/>
  <c r="H11" i="25"/>
  <c r="AK10" i="25"/>
  <c r="AJ10" i="25"/>
  <c r="AI10" i="25"/>
  <c r="AH10" i="25"/>
  <c r="AG10" i="25"/>
  <c r="AF10" i="25"/>
  <c r="AE10" i="25"/>
  <c r="AD10" i="25"/>
  <c r="AC10" i="25"/>
  <c r="AB10" i="25"/>
  <c r="AA10" i="25"/>
  <c r="Z10" i="25"/>
  <c r="Y10" i="25"/>
  <c r="X10" i="25"/>
  <c r="U10" i="25"/>
  <c r="S10" i="25"/>
  <c r="R10" i="25"/>
  <c r="Q10" i="25"/>
  <c r="P10" i="25"/>
  <c r="O10" i="25"/>
  <c r="N10" i="25"/>
  <c r="M10" i="25"/>
  <c r="L10" i="25"/>
  <c r="K10" i="25"/>
  <c r="J10" i="25"/>
  <c r="I10" i="25"/>
  <c r="H10" i="25"/>
  <c r="C10" i="25"/>
  <c r="B10" i="25"/>
  <c r="AI6" i="25"/>
  <c r="AH6" i="25"/>
  <c r="AG6" i="25"/>
  <c r="AF6" i="25"/>
  <c r="AE6" i="25"/>
  <c r="AD6" i="25"/>
  <c r="AD56" i="25" s="1"/>
  <c r="AC6" i="25"/>
  <c r="AB6" i="25"/>
  <c r="AA6" i="25"/>
  <c r="Z6" i="25"/>
  <c r="Y6" i="25"/>
  <c r="X6" i="25"/>
  <c r="S6" i="25"/>
  <c r="R6" i="25"/>
  <c r="Q6" i="25"/>
  <c r="P6" i="25"/>
  <c r="O6" i="25"/>
  <c r="N6" i="25"/>
  <c r="N56" i="25" s="1"/>
  <c r="M6" i="25"/>
  <c r="L6" i="25"/>
  <c r="K6" i="25"/>
  <c r="J6" i="25"/>
  <c r="I6" i="25"/>
  <c r="H6" i="25"/>
  <c r="AI5" i="25"/>
  <c r="AH5" i="25"/>
  <c r="AG5" i="25"/>
  <c r="AF5" i="25"/>
  <c r="AE5" i="25"/>
  <c r="AD5" i="25"/>
  <c r="AC5" i="25"/>
  <c r="AB5" i="25"/>
  <c r="AA5" i="25"/>
  <c r="Z5" i="25"/>
  <c r="AJ5" i="25" s="1"/>
  <c r="Y5" i="25"/>
  <c r="X5" i="25"/>
  <c r="S5" i="25"/>
  <c r="R5" i="25"/>
  <c r="Q5" i="25"/>
  <c r="P5" i="25"/>
  <c r="O5" i="25"/>
  <c r="N5" i="25"/>
  <c r="N55" i="25" s="1"/>
  <c r="M5" i="25"/>
  <c r="L5" i="25"/>
  <c r="K5" i="25"/>
  <c r="J5" i="25"/>
  <c r="I5" i="25"/>
  <c r="H5" i="25"/>
  <c r="AI4" i="25"/>
  <c r="AH4" i="25"/>
  <c r="AG4" i="25"/>
  <c r="AF4" i="25"/>
  <c r="AE4" i="25"/>
  <c r="AD4" i="25"/>
  <c r="AC4" i="25"/>
  <c r="AB4" i="25"/>
  <c r="AA4" i="25"/>
  <c r="Z4" i="25"/>
  <c r="Y4" i="25"/>
  <c r="X4" i="25"/>
  <c r="S4" i="25"/>
  <c r="R4" i="25"/>
  <c r="Q4" i="25"/>
  <c r="P4" i="25"/>
  <c r="O4" i="25"/>
  <c r="N4" i="25"/>
  <c r="M4" i="25"/>
  <c r="L4" i="25"/>
  <c r="K4" i="25"/>
  <c r="J4" i="25"/>
  <c r="I4" i="25"/>
  <c r="H4" i="25"/>
  <c r="AI3" i="25"/>
  <c r="AH3" i="25"/>
  <c r="AG3" i="25"/>
  <c r="AF3" i="25"/>
  <c r="AE3" i="25"/>
  <c r="AD3" i="25"/>
  <c r="AD53" i="25" s="1"/>
  <c r="AC3" i="25"/>
  <c r="AB3" i="25"/>
  <c r="AA3" i="25"/>
  <c r="Z3" i="25"/>
  <c r="Y3" i="25"/>
  <c r="X3" i="25"/>
  <c r="S3" i="25"/>
  <c r="R3" i="25"/>
  <c r="Q3" i="25"/>
  <c r="P3" i="25"/>
  <c r="O3" i="25"/>
  <c r="N3" i="25"/>
  <c r="M3" i="25"/>
  <c r="L3" i="25"/>
  <c r="K3" i="25"/>
  <c r="J3" i="25"/>
  <c r="J53" i="25" s="1"/>
  <c r="I3" i="25"/>
  <c r="H3" i="25"/>
  <c r="R105" i="25"/>
  <c r="R94" i="25"/>
  <c r="F30" i="25"/>
  <c r="G30" i="25" s="1"/>
  <c r="G20" i="25"/>
  <c r="AH59" i="25"/>
  <c r="L59" i="25"/>
  <c r="Z56" i="25"/>
  <c r="J54" i="25"/>
  <c r="R84" i="25"/>
  <c r="G26" i="25"/>
  <c r="AH56" i="25"/>
  <c r="R102" i="25"/>
  <c r="W61" i="25"/>
  <c r="F61" i="25"/>
  <c r="E61" i="25"/>
  <c r="AE60" i="25"/>
  <c r="W60" i="25"/>
  <c r="W59" i="25"/>
  <c r="F59" i="25"/>
  <c r="E59" i="25"/>
  <c r="AF58" i="25"/>
  <c r="W58" i="25"/>
  <c r="E56" i="25"/>
  <c r="O54" i="25"/>
  <c r="E54" i="25"/>
  <c r="G51" i="25"/>
  <c r="G49" i="25"/>
  <c r="E48" i="25"/>
  <c r="G47" i="25"/>
  <c r="E46" i="25"/>
  <c r="C107" i="25"/>
  <c r="G45" i="25"/>
  <c r="G43" i="25"/>
  <c r="G41" i="25"/>
  <c r="C99" i="25"/>
  <c r="G39" i="25"/>
  <c r="K61" i="25"/>
  <c r="G37" i="25"/>
  <c r="G35" i="25"/>
  <c r="C95" i="25"/>
  <c r="G33" i="25"/>
  <c r="G31" i="25"/>
  <c r="E30" i="25"/>
  <c r="E60" i="25" s="1"/>
  <c r="G29" i="25"/>
  <c r="E28" i="25"/>
  <c r="C89" i="25"/>
  <c r="G27" i="25"/>
  <c r="S61" i="25"/>
  <c r="G25" i="25"/>
  <c r="G23" i="25"/>
  <c r="C83" i="25"/>
  <c r="G21" i="25"/>
  <c r="AF56" i="25"/>
  <c r="AB61" i="25"/>
  <c r="X56" i="25"/>
  <c r="G19" i="25"/>
  <c r="AE59" i="25"/>
  <c r="N59" i="25"/>
  <c r="G17" i="25"/>
  <c r="Y53" i="25"/>
  <c r="O58" i="25"/>
  <c r="C77" i="25"/>
  <c r="A16" i="25"/>
  <c r="A22" i="25" s="1"/>
  <c r="A28" i="25" s="1"/>
  <c r="A34" i="25" s="1"/>
  <c r="A40" i="25" s="1"/>
  <c r="A46" i="25" s="1"/>
  <c r="G15" i="25"/>
  <c r="AF61" i="25"/>
  <c r="X61" i="25"/>
  <c r="R61" i="25"/>
  <c r="N61" i="25"/>
  <c r="J61" i="25"/>
  <c r="G13" i="25"/>
  <c r="AI60" i="25"/>
  <c r="AA60" i="25"/>
  <c r="S60" i="25"/>
  <c r="Q60" i="25"/>
  <c r="O60" i="25"/>
  <c r="N60" i="25"/>
  <c r="M60" i="25"/>
  <c r="K60" i="25"/>
  <c r="I60" i="25"/>
  <c r="AI59" i="25"/>
  <c r="AG59" i="25"/>
  <c r="AF59" i="25"/>
  <c r="AC59" i="25"/>
  <c r="AB59" i="25"/>
  <c r="AA59" i="25"/>
  <c r="Y59" i="25"/>
  <c r="X59" i="25"/>
  <c r="S59" i="25"/>
  <c r="O59" i="25"/>
  <c r="K59" i="25"/>
  <c r="G11" i="25"/>
  <c r="G59" i="25" s="1"/>
  <c r="AJ58" i="25"/>
  <c r="AI58" i="25"/>
  <c r="AE58" i="25"/>
  <c r="AB58" i="25"/>
  <c r="AA58" i="25"/>
  <c r="X58" i="25"/>
  <c r="R58" i="25"/>
  <c r="N58" i="25"/>
  <c r="J58" i="25"/>
  <c r="C73" i="25"/>
  <c r="E8" i="25"/>
  <c r="AI56" i="25"/>
  <c r="AE56" i="25"/>
  <c r="AA56" i="25"/>
  <c r="AG55" i="25"/>
  <c r="AF55" i="25"/>
  <c r="AC55" i="25"/>
  <c r="Y55" i="25"/>
  <c r="Q55" i="25"/>
  <c r="M55" i="25"/>
  <c r="I55" i="25"/>
  <c r="E55" i="25"/>
  <c r="AI54" i="25"/>
  <c r="AF54" i="25"/>
  <c r="AE54" i="25"/>
  <c r="AB54" i="25"/>
  <c r="AA54" i="25"/>
  <c r="X54" i="25"/>
  <c r="S54" i="25"/>
  <c r="K54" i="25"/>
  <c r="AI53" i="25"/>
  <c r="AE53" i="25"/>
  <c r="AA53" i="25"/>
  <c r="Q53" i="25"/>
  <c r="M53" i="25"/>
  <c r="I53" i="25"/>
  <c r="S94" i="25" l="1"/>
  <c r="R90" i="25"/>
  <c r="AJ6" i="25"/>
  <c r="AK6" i="25" s="1"/>
  <c r="H54" i="25"/>
  <c r="AP15" i="17"/>
  <c r="P56" i="25"/>
  <c r="P54" i="25"/>
  <c r="P59" i="25"/>
  <c r="R106" i="25"/>
  <c r="P61" i="25"/>
  <c r="C114" i="25"/>
  <c r="R88" i="25"/>
  <c r="R103" i="25"/>
  <c r="T79" i="25"/>
  <c r="H59" i="25"/>
  <c r="L61" i="25"/>
  <c r="H56" i="25"/>
  <c r="R104" i="25"/>
  <c r="L54" i="25"/>
  <c r="M54" i="25"/>
  <c r="I56" i="25"/>
  <c r="AB56" i="25"/>
  <c r="I59" i="25"/>
  <c r="O61" i="25"/>
  <c r="T85" i="25"/>
  <c r="T86" i="25"/>
  <c r="T87" i="25"/>
  <c r="T88" i="25"/>
  <c r="T93" i="25"/>
  <c r="T94" i="25"/>
  <c r="T101" i="25"/>
  <c r="T102" i="25"/>
  <c r="T107" i="25"/>
  <c r="T108" i="25"/>
  <c r="T111" i="25"/>
  <c r="T112" i="25"/>
  <c r="T6" i="25"/>
  <c r="E58" i="25"/>
  <c r="T103" i="25"/>
  <c r="T104" i="25"/>
  <c r="AC53" i="25"/>
  <c r="I54" i="25"/>
  <c r="AJ4" i="25"/>
  <c r="R55" i="25"/>
  <c r="M56" i="25"/>
  <c r="Q56" i="25"/>
  <c r="M59" i="25"/>
  <c r="E53" i="25"/>
  <c r="K53" i="25"/>
  <c r="O53" i="25"/>
  <c r="S53" i="25"/>
  <c r="Z53" i="25"/>
  <c r="AH53" i="25"/>
  <c r="N54" i="25"/>
  <c r="R54" i="25"/>
  <c r="Y54" i="25"/>
  <c r="AG54" i="25"/>
  <c r="K55" i="25"/>
  <c r="O55" i="25"/>
  <c r="S55" i="25"/>
  <c r="J56" i="25"/>
  <c r="R56" i="25"/>
  <c r="Y56" i="25"/>
  <c r="AC56" i="25"/>
  <c r="AG56" i="25"/>
  <c r="K58" i="25"/>
  <c r="S58" i="25"/>
  <c r="Y58" i="25"/>
  <c r="AC58" i="25"/>
  <c r="AG58" i="25"/>
  <c r="AK58" i="25"/>
  <c r="AK53" i="25"/>
  <c r="J59" i="25"/>
  <c r="R59" i="25"/>
  <c r="U60" i="25"/>
  <c r="U55" i="25"/>
  <c r="G14" i="25"/>
  <c r="X55" i="25"/>
  <c r="R85" i="25"/>
  <c r="T89" i="25"/>
  <c r="T90" i="25"/>
  <c r="R89" i="25"/>
  <c r="AG53" i="25"/>
  <c r="Q54" i="25"/>
  <c r="J55" i="25"/>
  <c r="Q59" i="25"/>
  <c r="G61" i="25"/>
  <c r="H53" i="25"/>
  <c r="L53" i="25"/>
  <c r="P53" i="25"/>
  <c r="T3" i="25"/>
  <c r="Z54" i="25"/>
  <c r="AD54" i="25"/>
  <c r="AH54" i="25"/>
  <c r="AB55" i="25"/>
  <c r="K56" i="25"/>
  <c r="O56" i="25"/>
  <c r="S56" i="25"/>
  <c r="J60" i="25"/>
  <c r="R60" i="25"/>
  <c r="X60" i="25"/>
  <c r="AB60" i="25"/>
  <c r="AF60" i="25"/>
  <c r="I61" i="25"/>
  <c r="M61" i="25"/>
  <c r="Q61" i="25"/>
  <c r="AA61" i="25"/>
  <c r="AE61" i="25"/>
  <c r="AI61" i="25"/>
  <c r="AC54" i="25"/>
  <c r="T80" i="25"/>
  <c r="T83" i="25"/>
  <c r="T84" i="25"/>
  <c r="T100" i="25"/>
  <c r="T99" i="25"/>
  <c r="T105" i="25"/>
  <c r="T106" i="25"/>
  <c r="T109" i="25"/>
  <c r="T110" i="25"/>
  <c r="X53" i="25"/>
  <c r="AB53" i="25"/>
  <c r="AF53" i="25"/>
  <c r="AJ3" i="25"/>
  <c r="AJ53" i="25" s="1"/>
  <c r="Z55" i="25"/>
  <c r="AD55" i="25"/>
  <c r="AH55" i="25"/>
  <c r="H58" i="25"/>
  <c r="L58" i="25"/>
  <c r="P58" i="25"/>
  <c r="Z58" i="25"/>
  <c r="AD58" i="25"/>
  <c r="AH58" i="25"/>
  <c r="Y60" i="25"/>
  <c r="AC60" i="25"/>
  <c r="AG60" i="25"/>
  <c r="AK60" i="25"/>
  <c r="C53" i="25"/>
  <c r="R74" i="25"/>
  <c r="R76" i="25"/>
  <c r="T91" i="25"/>
  <c r="R91" i="25"/>
  <c r="R96" i="25"/>
  <c r="R98" i="25"/>
  <c r="R99" i="25"/>
  <c r="R53" i="25"/>
  <c r="T4" i="25"/>
  <c r="H55" i="25"/>
  <c r="L55" i="25"/>
  <c r="P55" i="25"/>
  <c r="T5" i="25"/>
  <c r="AA55" i="25"/>
  <c r="AE55" i="25"/>
  <c r="AI55" i="25"/>
  <c r="I58" i="25"/>
  <c r="M58" i="25"/>
  <c r="Q58" i="25"/>
  <c r="U58" i="25"/>
  <c r="H60" i="25"/>
  <c r="L60" i="25"/>
  <c r="P60" i="25"/>
  <c r="Z60" i="25"/>
  <c r="AD60" i="25"/>
  <c r="AH60" i="25"/>
  <c r="Y61" i="25"/>
  <c r="AC61" i="25"/>
  <c r="AG61" i="25"/>
  <c r="R83" i="25"/>
  <c r="R86" i="25"/>
  <c r="R87" i="25"/>
  <c r="R92" i="25"/>
  <c r="R93" i="25"/>
  <c r="R101" i="25"/>
  <c r="R107" i="25"/>
  <c r="R109" i="25"/>
  <c r="R111" i="25"/>
  <c r="U53" i="25"/>
  <c r="AK55" i="25"/>
  <c r="D114" i="25"/>
  <c r="R100" i="25"/>
  <c r="R108" i="25"/>
  <c r="R110" i="25"/>
  <c r="R112" i="25"/>
  <c r="R73" i="25"/>
  <c r="R75" i="25"/>
  <c r="T92" i="25" l="1"/>
  <c r="T77" i="25"/>
  <c r="T78" i="25"/>
  <c r="U6" i="25"/>
  <c r="T96" i="25"/>
  <c r="T95" i="25"/>
  <c r="U4" i="25"/>
  <c r="T98" i="25"/>
  <c r="T97" i="25"/>
  <c r="T74" i="25"/>
  <c r="T82" i="25"/>
  <c r="T81" i="25"/>
  <c r="T76" i="25"/>
  <c r="T75" i="25"/>
  <c r="AO14" i="17" l="1"/>
  <c r="AH13" i="17"/>
  <c r="AI13" i="17"/>
  <c r="AJ13" i="17"/>
  <c r="AK13" i="17"/>
  <c r="AW13" i="17"/>
  <c r="AE38" i="7"/>
  <c r="AU19" i="17"/>
  <c r="D34" i="4"/>
  <c r="AX21" i="17"/>
  <c r="AW21" i="17"/>
  <c r="G35" i="7"/>
  <c r="AF40" i="1"/>
  <c r="AB24" i="5"/>
  <c r="AA24" i="5"/>
  <c r="Z24" i="5"/>
  <c r="Y24" i="5"/>
  <c r="X24" i="5"/>
  <c r="X22" i="5"/>
  <c r="AC22" i="5"/>
  <c r="AC23" i="5"/>
  <c r="AC24" i="5"/>
  <c r="AC25" i="5"/>
  <c r="T31" i="25" s="1"/>
  <c r="T29" i="25" l="1"/>
  <c r="AD23" i="5"/>
  <c r="AF22" i="5"/>
  <c r="T28" i="25"/>
  <c r="D46" i="1"/>
  <c r="P45" i="7"/>
  <c r="P40" i="3"/>
  <c r="AB24" i="8"/>
  <c r="AX18" i="17"/>
  <c r="AV21" i="17"/>
  <c r="AN18" i="17"/>
  <c r="AN20" i="17"/>
  <c r="AE38" i="5"/>
  <c r="AF34" i="5"/>
  <c r="AE36" i="5"/>
  <c r="AE37" i="5"/>
  <c r="AE40" i="5"/>
  <c r="AE42" i="5"/>
  <c r="AY39" i="21"/>
  <c r="AC24" i="7"/>
  <c r="T42" i="25" s="1"/>
  <c r="F28" i="25" l="1"/>
  <c r="G28" i="25" s="1"/>
  <c r="AN28" i="25"/>
  <c r="V29" i="25"/>
  <c r="F42" i="25"/>
  <c r="T60" i="25"/>
  <c r="T55" i="25"/>
  <c r="T41" i="25"/>
  <c r="U23" i="7"/>
  <c r="V23" i="7"/>
  <c r="G42" i="25" l="1"/>
  <c r="G60" i="25" s="1"/>
  <c r="F60" i="25"/>
  <c r="I50" i="7"/>
  <c r="J50" i="7" s="1"/>
  <c r="K50" i="7" l="1"/>
  <c r="L50" i="7" s="1"/>
  <c r="M50" i="7" l="1"/>
  <c r="M34" i="7" s="1"/>
  <c r="Q44" i="25" s="1"/>
  <c r="N50" i="7" l="1"/>
  <c r="N34" i="7" s="1"/>
  <c r="R44" i="25" s="1"/>
  <c r="O50" i="7" l="1"/>
  <c r="O34" i="7" l="1"/>
  <c r="S44" i="25" l="1"/>
  <c r="Q49" i="7"/>
  <c r="L34" i="7"/>
  <c r="AL20" i="17"/>
  <c r="AM20" i="17"/>
  <c r="AM18" i="17"/>
  <c r="U44" i="25" l="1"/>
  <c r="T44" i="25"/>
  <c r="AE34" i="1"/>
  <c r="BB19" i="17"/>
  <c r="B6" i="23" l="1"/>
  <c r="C16" i="15"/>
  <c r="O25" i="4"/>
  <c r="AJ25" i="25" s="1"/>
  <c r="O24" i="4"/>
  <c r="AJ24" i="25" s="1"/>
  <c r="O23" i="4"/>
  <c r="AJ23" i="25" s="1"/>
  <c r="O25" i="3"/>
  <c r="AJ19" i="25" s="1"/>
  <c r="P25" i="4" l="1"/>
  <c r="AK25" i="25" s="1"/>
  <c r="AK18" i="17" l="1"/>
  <c r="B25" i="16"/>
  <c r="P30" i="1"/>
  <c r="D24" i="8"/>
  <c r="E24" i="7" l="1"/>
  <c r="D24" i="6"/>
  <c r="E24" i="5"/>
  <c r="D24" i="3"/>
  <c r="D24" i="1"/>
  <c r="G19" i="18" l="1"/>
  <c r="F19" i="18"/>
  <c r="E19" i="18"/>
  <c r="D19" i="18"/>
  <c r="C19" i="18"/>
  <c r="AS67" i="21"/>
  <c r="AS70" i="21"/>
  <c r="AS81" i="21"/>
  <c r="AS75" i="21"/>
  <c r="AS76" i="21"/>
  <c r="AS77" i="21"/>
  <c r="E25" i="5" l="1"/>
  <c r="E25" i="4"/>
  <c r="E25" i="8"/>
  <c r="E25" i="7"/>
  <c r="E25" i="6"/>
  <c r="E25" i="3"/>
  <c r="F12" i="19" l="1"/>
  <c r="F47" i="8"/>
  <c r="E25" i="1"/>
  <c r="C58" i="15" l="1"/>
  <c r="C29" i="15"/>
  <c r="AV19" i="17" l="1"/>
  <c r="AJ18" i="17" l="1"/>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T21" i="17" s="1"/>
  <c r="AU21" i="17" s="1"/>
  <c r="AI20" i="17"/>
  <c r="AT20" i="17" s="1"/>
  <c r="AI18" i="17"/>
  <c r="AT18" i="17" s="1"/>
  <c r="E35" i="6"/>
  <c r="P41" i="6" l="1"/>
  <c r="AU20" i="17" l="1"/>
  <c r="AY20" i="17"/>
  <c r="AZ20" i="17" s="1"/>
  <c r="W31" i="17"/>
  <c r="U31" i="17"/>
  <c r="AY18" i="17"/>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Y19" i="17" l="1"/>
  <c r="AZ19" i="17" s="1"/>
  <c r="AY16" i="17"/>
  <c r="AZ16" i="17" s="1"/>
  <c r="AY17" i="17"/>
  <c r="AZ17" i="17" s="1"/>
  <c r="AU18" i="17"/>
  <c r="AZ18" i="17"/>
  <c r="C3" i="15" l="1"/>
  <c r="C84" i="15"/>
  <c r="C85" i="15" s="1"/>
  <c r="C86" i="15" s="1"/>
  <c r="C32" i="15"/>
  <c r="C33" i="15" s="1"/>
  <c r="C34" i="15" s="1"/>
  <c r="Q51" i="6"/>
  <c r="C111" i="15" l="1"/>
  <c r="R49" i="7" l="1"/>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C24" i="8"/>
  <c r="X22" i="8"/>
  <c r="U22" i="8"/>
  <c r="S22" i="8"/>
  <c r="AB24" i="7"/>
  <c r="X22" i="7"/>
  <c r="U22" i="7"/>
  <c r="T22" i="7"/>
  <c r="AB24" i="6"/>
  <c r="U22" i="5"/>
  <c r="AB24" i="4"/>
  <c r="AC24" i="4" s="1"/>
  <c r="AC23" i="4"/>
  <c r="X22" i="4"/>
  <c r="U22" i="4"/>
  <c r="AC22" i="4" s="1"/>
  <c r="AB24" i="1"/>
  <c r="T11" i="25"/>
  <c r="AC22" i="1"/>
  <c r="AD23" i="1" s="1"/>
  <c r="AD23" i="4" l="1"/>
  <c r="AF22" i="4"/>
  <c r="T22" i="25"/>
  <c r="T23" i="25"/>
  <c r="AF22" i="1"/>
  <c r="T10" i="25"/>
  <c r="V11" i="25" s="1"/>
  <c r="B3" i="23"/>
  <c r="B8" i="16"/>
  <c r="B4" i="23"/>
  <c r="B6" i="16"/>
  <c r="AC24" i="1"/>
  <c r="U11" i="25"/>
  <c r="B1" i="23"/>
  <c r="C9" i="16"/>
  <c r="U23" i="25"/>
  <c r="C6" i="16"/>
  <c r="C8" i="16"/>
  <c r="D8" i="16" s="1"/>
  <c r="B30" i="4"/>
  <c r="D6" i="16" l="1"/>
  <c r="V23" i="25"/>
  <c r="F22" i="25"/>
  <c r="G22" i="25" s="1"/>
  <c r="AN22" i="25"/>
  <c r="F10" i="25"/>
  <c r="AN10" i="25"/>
  <c r="B9" i="16"/>
  <c r="B16" i="16" s="1"/>
  <c r="U29" i="25"/>
  <c r="F8" i="14"/>
  <c r="J7" i="14"/>
  <c r="F7" i="14"/>
  <c r="J6" i="14"/>
  <c r="F6" i="14"/>
  <c r="J5" i="14"/>
  <c r="F5" i="14"/>
  <c r="N4" i="14"/>
  <c r="J4" i="14"/>
  <c r="F4" i="14"/>
  <c r="N3" i="14"/>
  <c r="J3" i="14"/>
  <c r="F3" i="14"/>
  <c r="O48" i="8"/>
  <c r="N48" i="8"/>
  <c r="M48" i="8"/>
  <c r="M35" i="8" s="1"/>
  <c r="K48" i="8"/>
  <c r="K35" i="8" s="1"/>
  <c r="J48" i="8"/>
  <c r="J35" i="8" s="1"/>
  <c r="I48" i="8"/>
  <c r="I35" i="8" s="1"/>
  <c r="M51" i="25" s="1"/>
  <c r="H48" i="8"/>
  <c r="H35" i="8" s="1"/>
  <c r="L51" i="25" s="1"/>
  <c r="G48" i="8"/>
  <c r="G35" i="8" s="1"/>
  <c r="K51" i="25" s="1"/>
  <c r="F48" i="8"/>
  <c r="F35" i="8" s="1"/>
  <c r="J51" i="25" s="1"/>
  <c r="E48" i="8"/>
  <c r="E35" i="8" s="1"/>
  <c r="D48" i="8"/>
  <c r="O47" i="8"/>
  <c r="O34" i="8" s="1"/>
  <c r="N47" i="8"/>
  <c r="M47" i="8"/>
  <c r="L47" i="8"/>
  <c r="L34" i="8" s="1"/>
  <c r="K47" i="8"/>
  <c r="K34" i="8" s="1"/>
  <c r="J47" i="8"/>
  <c r="J34" i="8" s="1"/>
  <c r="I47" i="8"/>
  <c r="I34" i="8" s="1"/>
  <c r="H47" i="8"/>
  <c r="H34" i="8" s="1"/>
  <c r="G47" i="8"/>
  <c r="G34" i="8" s="1"/>
  <c r="F34" i="8"/>
  <c r="E47" i="8"/>
  <c r="E34" i="8" s="1"/>
  <c r="D47" i="8"/>
  <c r="D34" i="8" s="1"/>
  <c r="P43" i="8"/>
  <c r="P42" i="8"/>
  <c r="P40" i="8"/>
  <c r="P39" i="8"/>
  <c r="P38" i="8"/>
  <c r="B34" i="8"/>
  <c r="AC17" i="8" s="1"/>
  <c r="P30" i="8"/>
  <c r="AC25" i="8"/>
  <c r="T49" i="25" s="1"/>
  <c r="O25" i="8"/>
  <c r="AJ49" i="25" s="1"/>
  <c r="O24" i="8"/>
  <c r="AJ48" i="25" s="1"/>
  <c r="T47" i="25"/>
  <c r="AC22" i="8"/>
  <c r="O22" i="8"/>
  <c r="D51" i="7"/>
  <c r="E51" i="7" s="1"/>
  <c r="E50" i="7"/>
  <c r="P44" i="7"/>
  <c r="P43" i="7"/>
  <c r="P42" i="7"/>
  <c r="P41" i="7"/>
  <c r="P40" i="7"/>
  <c r="P39" i="7"/>
  <c r="P38" i="7"/>
  <c r="D34" i="7"/>
  <c r="B34" i="7"/>
  <c r="AC17" i="7" s="1"/>
  <c r="P30" i="7"/>
  <c r="AC25" i="7"/>
  <c r="T43" i="25" s="1"/>
  <c r="O25" i="7"/>
  <c r="AJ43" i="25" s="1"/>
  <c r="O24" i="7"/>
  <c r="AJ42" i="25" s="1"/>
  <c r="O23" i="7"/>
  <c r="AJ41" i="25" s="1"/>
  <c r="AC22" i="7"/>
  <c r="AD23" i="7" s="1"/>
  <c r="O22" i="7"/>
  <c r="D46" i="6"/>
  <c r="P40" i="6"/>
  <c r="P39" i="6"/>
  <c r="B34" i="6"/>
  <c r="AC17" i="6" s="1"/>
  <c r="P30" i="6"/>
  <c r="AC25" i="6"/>
  <c r="T37" i="25" s="1"/>
  <c r="O25" i="6"/>
  <c r="AJ37" i="25" s="1"/>
  <c r="AC24" i="6"/>
  <c r="O24" i="6"/>
  <c r="AJ36" i="25" s="1"/>
  <c r="AC23" i="6"/>
  <c r="O23" i="6"/>
  <c r="AJ35" i="25" s="1"/>
  <c r="AC22" i="6"/>
  <c r="O22" i="6"/>
  <c r="O48" i="5"/>
  <c r="N48" i="5"/>
  <c r="M48" i="5"/>
  <c r="L48" i="5"/>
  <c r="K48" i="5"/>
  <c r="J48" i="5"/>
  <c r="I48" i="5"/>
  <c r="I35" i="5" s="1"/>
  <c r="M33" i="25" s="1"/>
  <c r="H48" i="5"/>
  <c r="H35" i="5" s="1"/>
  <c r="G48" i="5"/>
  <c r="G35" i="5" s="1"/>
  <c r="K33" i="25" s="1"/>
  <c r="F48" i="5"/>
  <c r="F35" i="5" s="1"/>
  <c r="J33" i="25" s="1"/>
  <c r="E48" i="5"/>
  <c r="E35" i="5" s="1"/>
  <c r="I33" i="2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P30" i="5"/>
  <c r="O25" i="5"/>
  <c r="AJ31" i="25" s="1"/>
  <c r="O24" i="5"/>
  <c r="AJ30" i="25" s="1"/>
  <c r="O23" i="5"/>
  <c r="AJ29" i="25" s="1"/>
  <c r="O22" i="5"/>
  <c r="D50" i="4"/>
  <c r="D35" i="4" s="1"/>
  <c r="O49" i="4"/>
  <c r="O34" i="4" s="1"/>
  <c r="N49" i="4"/>
  <c r="N34" i="4" s="1"/>
  <c r="M49" i="4"/>
  <c r="M34" i="4" s="1"/>
  <c r="Q26" i="25" s="1"/>
  <c r="L49" i="4"/>
  <c r="L34" i="4" s="1"/>
  <c r="P26" i="25" s="1"/>
  <c r="K49" i="4"/>
  <c r="K34" i="4" s="1"/>
  <c r="J49" i="4"/>
  <c r="J34" i="4" s="1"/>
  <c r="I49" i="4"/>
  <c r="I34" i="4" s="1"/>
  <c r="H49" i="4"/>
  <c r="H34" i="4" s="1"/>
  <c r="G49" i="4"/>
  <c r="G34" i="4" s="1"/>
  <c r="F49" i="4"/>
  <c r="F34" i="4" s="1"/>
  <c r="E49" i="4"/>
  <c r="E34" i="4" s="1"/>
  <c r="D49" i="4"/>
  <c r="P43" i="4"/>
  <c r="P42" i="4"/>
  <c r="P41" i="4"/>
  <c r="P40" i="4"/>
  <c r="P39" i="4"/>
  <c r="P38" i="4"/>
  <c r="B34" i="4"/>
  <c r="AC17" i="4" s="1"/>
  <c r="P30" i="4"/>
  <c r="C48" i="4"/>
  <c r="AC25" i="4"/>
  <c r="T25" i="25" s="1"/>
  <c r="G8" i="16"/>
  <c r="P23" i="4"/>
  <c r="AK23" i="25" s="1"/>
  <c r="O22" i="4"/>
  <c r="O47" i="3"/>
  <c r="N47" i="3"/>
  <c r="M47" i="3"/>
  <c r="J47" i="3"/>
  <c r="I47" i="3"/>
  <c r="H47" i="3"/>
  <c r="G47" i="3"/>
  <c r="F47" i="3"/>
  <c r="E47" i="3"/>
  <c r="D47" i="3"/>
  <c r="O46" i="3"/>
  <c r="M46" i="3"/>
  <c r="L46" i="3"/>
  <c r="K46" i="3"/>
  <c r="J46" i="3"/>
  <c r="I46" i="3"/>
  <c r="H46" i="3"/>
  <c r="G46" i="3"/>
  <c r="F46" i="3"/>
  <c r="E46" i="3"/>
  <c r="D46" i="3"/>
  <c r="P43" i="3"/>
  <c r="R82" i="25" s="1"/>
  <c r="P42" i="3"/>
  <c r="P41" i="3"/>
  <c r="R80" i="25" s="1"/>
  <c r="P38" i="3"/>
  <c r="B34" i="3"/>
  <c r="AC17" i="3" s="1"/>
  <c r="P30" i="3"/>
  <c r="AC25" i="3"/>
  <c r="T19" i="25" s="1"/>
  <c r="AB24" i="3"/>
  <c r="AC24" i="3" s="1"/>
  <c r="AC23" i="3"/>
  <c r="O23" i="3"/>
  <c r="AJ17" i="25" s="1"/>
  <c r="AC22" i="3"/>
  <c r="O22" i="3"/>
  <c r="P39" i="2"/>
  <c r="P38" i="2"/>
  <c r="P37" i="2"/>
  <c r="P36" i="2"/>
  <c r="P35" i="2"/>
  <c r="P34" i="2"/>
  <c r="P33" i="2"/>
  <c r="P32" i="2"/>
  <c r="P29" i="2"/>
  <c r="P28" i="2"/>
  <c r="P24" i="2"/>
  <c r="D45" i="1"/>
  <c r="P39" i="1"/>
  <c r="P38" i="1"/>
  <c r="B34" i="1"/>
  <c r="AC25" i="1"/>
  <c r="O25" i="1"/>
  <c r="AJ13" i="25" s="1"/>
  <c r="O24" i="1"/>
  <c r="AJ12" i="25" s="1"/>
  <c r="O23" i="1"/>
  <c r="AJ11" i="25" s="1"/>
  <c r="O22" i="1"/>
  <c r="P35" i="8" l="1"/>
  <c r="S51" i="25"/>
  <c r="AD23" i="3"/>
  <c r="D9" i="16"/>
  <c r="L33" i="25"/>
  <c r="T35" i="25"/>
  <c r="AD23" i="6"/>
  <c r="R78" i="25"/>
  <c r="AF36" i="3"/>
  <c r="AG36" i="3" s="1"/>
  <c r="T13" i="25"/>
  <c r="AD25" i="1"/>
  <c r="AQ15" i="17"/>
  <c r="Q51" i="25"/>
  <c r="I51" i="25"/>
  <c r="N51" i="25"/>
  <c r="AN15" i="17"/>
  <c r="AF22" i="8"/>
  <c r="T46" i="25"/>
  <c r="V47" i="25" s="1"/>
  <c r="AF22" i="7"/>
  <c r="T40" i="25"/>
  <c r="AF22" i="6"/>
  <c r="T34" i="25"/>
  <c r="V35" i="25"/>
  <c r="AF22" i="3"/>
  <c r="T16" i="25"/>
  <c r="V17" i="25" s="1"/>
  <c r="U20" i="25"/>
  <c r="T20" i="25"/>
  <c r="AJ55" i="25"/>
  <c r="AJ60" i="25"/>
  <c r="T17" i="25"/>
  <c r="G10" i="25"/>
  <c r="AO15" i="17"/>
  <c r="O51" i="25"/>
  <c r="AJ61" i="25"/>
  <c r="AJ56" i="25"/>
  <c r="T59" i="25"/>
  <c r="T54" i="25"/>
  <c r="T61" i="25"/>
  <c r="T56" i="25"/>
  <c r="B12" i="16"/>
  <c r="AD25" i="8"/>
  <c r="U49" i="25" s="1"/>
  <c r="B7" i="23"/>
  <c r="B11" i="16"/>
  <c r="P23" i="7"/>
  <c r="AK41" i="25" s="1"/>
  <c r="G11" i="16"/>
  <c r="H11" i="16" s="1"/>
  <c r="I11" i="16" s="1"/>
  <c r="B10" i="16"/>
  <c r="B5" i="23"/>
  <c r="G10" i="16"/>
  <c r="P23" i="6"/>
  <c r="AK35" i="25" s="1"/>
  <c r="B7" i="16"/>
  <c r="B13" i="16" s="1"/>
  <c r="P23" i="3"/>
  <c r="AK17" i="25" s="1"/>
  <c r="AK15" i="17"/>
  <c r="AL15" i="17"/>
  <c r="AI15" i="17"/>
  <c r="AJ15" i="17"/>
  <c r="P23" i="5"/>
  <c r="AK29" i="25" s="1"/>
  <c r="G9" i="16"/>
  <c r="H9" i="16" s="1"/>
  <c r="AD25" i="5"/>
  <c r="U31" i="25" s="1"/>
  <c r="AC17" i="5"/>
  <c r="U13" i="25"/>
  <c r="AC17" i="1"/>
  <c r="H6" i="16"/>
  <c r="AM15" i="17"/>
  <c r="G12" i="16"/>
  <c r="P25" i="8"/>
  <c r="AK49" i="25" s="1"/>
  <c r="P25" i="7"/>
  <c r="AK43" i="25" s="1"/>
  <c r="U17" i="25"/>
  <c r="B2" i="23"/>
  <c r="B8" i="23" s="1"/>
  <c r="G7" i="16"/>
  <c r="H7" i="16" s="1"/>
  <c r="I7" i="16" s="1"/>
  <c r="P25" i="3"/>
  <c r="AK19" i="25" s="1"/>
  <c r="P25" i="6"/>
  <c r="AK37" i="25" s="1"/>
  <c r="E7" i="16"/>
  <c r="AD25" i="3"/>
  <c r="U19" i="25" s="1"/>
  <c r="AD23" i="8"/>
  <c r="U47" i="25" s="1"/>
  <c r="U41" i="25"/>
  <c r="AD25" i="7"/>
  <c r="U43" i="25" s="1"/>
  <c r="U35" i="25"/>
  <c r="AD25" i="6"/>
  <c r="U37" i="25" s="1"/>
  <c r="P25" i="5"/>
  <c r="AK31" i="25" s="1"/>
  <c r="E8" i="16"/>
  <c r="F8" i="16" s="1"/>
  <c r="AD25" i="4"/>
  <c r="U25" i="25" s="1"/>
  <c r="G6" i="16"/>
  <c r="P25" i="1"/>
  <c r="AK13" i="25" s="1"/>
  <c r="H8" i="16"/>
  <c r="I8" i="16" s="1"/>
  <c r="H10" i="16"/>
  <c r="I10" i="16" s="1"/>
  <c r="H12" i="16"/>
  <c r="I12" i="16" s="1"/>
  <c r="J6" i="16"/>
  <c r="D35" i="1"/>
  <c r="E46" i="1"/>
  <c r="E35" i="1" s="1"/>
  <c r="E6" i="16"/>
  <c r="F6" i="16" s="1"/>
  <c r="J10" i="16"/>
  <c r="J12" i="16"/>
  <c r="J8" i="16"/>
  <c r="J7" i="16"/>
  <c r="J11" i="16"/>
  <c r="J9" i="16"/>
  <c r="C7" i="16"/>
  <c r="D7" i="16" s="1"/>
  <c r="C10" i="16"/>
  <c r="D10" i="16" s="1"/>
  <c r="E10" i="16"/>
  <c r="F10" i="16" s="1"/>
  <c r="C11" i="16"/>
  <c r="D11" i="16" s="1"/>
  <c r="E11" i="16"/>
  <c r="E12" i="16"/>
  <c r="C12" i="16"/>
  <c r="D12" i="16" s="1"/>
  <c r="E9" i="16"/>
  <c r="I9" i="16"/>
  <c r="E49" i="7"/>
  <c r="D49" i="7"/>
  <c r="D35" i="8"/>
  <c r="D35" i="5"/>
  <c r="P34" i="4"/>
  <c r="E45" i="1"/>
  <c r="F45" i="1" s="1"/>
  <c r="D34" i="1"/>
  <c r="D35" i="6"/>
  <c r="D34" i="6"/>
  <c r="E46" i="6"/>
  <c r="E34" i="7"/>
  <c r="F50" i="7"/>
  <c r="D35" i="7"/>
  <c r="AT15" i="17" l="1"/>
  <c r="U50" i="25"/>
  <c r="T50" i="25"/>
  <c r="H33" i="25"/>
  <c r="F46" i="25"/>
  <c r="G46" i="25" s="1"/>
  <c r="AN46" i="25"/>
  <c r="AN40" i="25"/>
  <c r="F40" i="25"/>
  <c r="G40" i="25" s="1"/>
  <c r="V41" i="25"/>
  <c r="F34" i="25"/>
  <c r="G34" i="25" s="1"/>
  <c r="AN34" i="25"/>
  <c r="F16" i="25"/>
  <c r="AN16" i="25"/>
  <c r="T58" i="25"/>
  <c r="T53" i="25"/>
  <c r="T26" i="25"/>
  <c r="U26" i="25"/>
  <c r="U51" i="25"/>
  <c r="T51" i="25"/>
  <c r="AK61" i="25"/>
  <c r="AK56" i="25"/>
  <c r="U59" i="25"/>
  <c r="U54" i="25"/>
  <c r="U61" i="25"/>
  <c r="U56" i="25"/>
  <c r="K6" i="16"/>
  <c r="G13" i="16"/>
  <c r="F11" i="16"/>
  <c r="K10" i="16"/>
  <c r="K7" i="16"/>
  <c r="K8" i="16"/>
  <c r="K12" i="16"/>
  <c r="K11" i="16"/>
  <c r="F7" i="16"/>
  <c r="H13" i="16"/>
  <c r="I6" i="16"/>
  <c r="C13" i="16"/>
  <c r="F9" i="16"/>
  <c r="E13" i="16"/>
  <c r="J13" i="16"/>
  <c r="K9" i="16"/>
  <c r="F12" i="16"/>
  <c r="F51" i="7"/>
  <c r="F49" i="7" s="1"/>
  <c r="E35" i="7"/>
  <c r="E34" i="1"/>
  <c r="F34" i="7"/>
  <c r="G50" i="7"/>
  <c r="E34" i="6"/>
  <c r="F46" i="6"/>
  <c r="F47" i="6"/>
  <c r="G45" i="1"/>
  <c r="F34" i="1"/>
  <c r="F46" i="1"/>
  <c r="AU15" i="17" l="1"/>
  <c r="AY15" i="17"/>
  <c r="AZ15" i="17" s="1"/>
  <c r="U33" i="25"/>
  <c r="T33" i="25"/>
  <c r="G16" i="25"/>
  <c r="G58" i="25" s="1"/>
  <c r="F58" i="25"/>
  <c r="I13" i="16"/>
  <c r="F35" i="1"/>
  <c r="G46" i="1"/>
  <c r="G35" i="1" s="1"/>
  <c r="K13" i="16"/>
  <c r="D13" i="16"/>
  <c r="C15" i="16"/>
  <c r="F13" i="16"/>
  <c r="F35" i="7"/>
  <c r="G51" i="7"/>
  <c r="G49" i="7" s="1"/>
  <c r="G34" i="7"/>
  <c r="H50" i="7"/>
  <c r="G47" i="6"/>
  <c r="G35" i="6" s="1"/>
  <c r="F35" i="6"/>
  <c r="G46" i="6"/>
  <c r="F34" i="6"/>
  <c r="G34" i="1"/>
  <c r="H45" i="1"/>
  <c r="H51" i="7" l="1"/>
  <c r="H34" i="7"/>
  <c r="G34" i="6"/>
  <c r="H46" i="6"/>
  <c r="I45" i="1"/>
  <c r="H34" i="1"/>
  <c r="H47" i="6"/>
  <c r="H35" i="6" s="1"/>
  <c r="H46" i="1"/>
  <c r="H35" i="1" s="1"/>
  <c r="H49" i="7" l="1"/>
  <c r="H35" i="7"/>
  <c r="L45" i="25" s="1"/>
  <c r="L39" i="25"/>
  <c r="AL13" i="17"/>
  <c r="I51" i="7"/>
  <c r="H34" i="6"/>
  <c r="I46" i="6"/>
  <c r="I47" i="6"/>
  <c r="I35" i="6" s="1"/>
  <c r="I46" i="1"/>
  <c r="I35" i="1" s="1"/>
  <c r="AM14" i="17" s="1"/>
  <c r="I34" i="1"/>
  <c r="J45" i="1"/>
  <c r="I34" i="7"/>
  <c r="I49" i="7" l="1"/>
  <c r="I35" i="7"/>
  <c r="M45" i="25" s="1"/>
  <c r="M39" i="25"/>
  <c r="AM13" i="17"/>
  <c r="J51" i="7"/>
  <c r="J34" i="7"/>
  <c r="J46" i="1"/>
  <c r="J35" i="1" s="1"/>
  <c r="AN14" i="17" s="1"/>
  <c r="K45" i="1"/>
  <c r="J34" i="1"/>
  <c r="J47" i="6"/>
  <c r="J35" i="6" s="1"/>
  <c r="I34" i="6"/>
  <c r="J46" i="6"/>
  <c r="J49" i="7" l="1"/>
  <c r="J35" i="7"/>
  <c r="N45" i="25" s="1"/>
  <c r="K51" i="7"/>
  <c r="K35" i="7" s="1"/>
  <c r="O45" i="25" s="1"/>
  <c r="N39" i="25"/>
  <c r="AN13" i="17"/>
  <c r="K34" i="7"/>
  <c r="K34" i="1"/>
  <c r="K46" i="6"/>
  <c r="J34" i="6"/>
  <c r="K47" i="6"/>
  <c r="K35" i="6" s="1"/>
  <c r="K46" i="1"/>
  <c r="O39" i="25" l="1"/>
  <c r="AO13" i="17"/>
  <c r="L51" i="7"/>
  <c r="L35" i="7" s="1"/>
  <c r="K49" i="7"/>
  <c r="M45" i="1"/>
  <c r="L34" i="1"/>
  <c r="P14" i="25" s="1"/>
  <c r="L47" i="6"/>
  <c r="P39" i="25" s="1"/>
  <c r="K34" i="6"/>
  <c r="L46" i="6"/>
  <c r="P45" i="25" l="1"/>
  <c r="AY13" i="17"/>
  <c r="AZ13" i="17" s="1"/>
  <c r="AU13" i="17"/>
  <c r="M51" i="7"/>
  <c r="M49" i="7" s="1"/>
  <c r="L49" i="7"/>
  <c r="L34" i="6"/>
  <c r="M46" i="6"/>
  <c r="M34" i="1"/>
  <c r="Q14" i="25" s="1"/>
  <c r="N45" i="1"/>
  <c r="M47" i="6"/>
  <c r="M46" i="1"/>
  <c r="M35" i="1" s="1"/>
  <c r="AT14" i="17" l="1"/>
  <c r="AU14" i="17" s="1"/>
  <c r="M35" i="6"/>
  <c r="U45" i="25"/>
  <c r="T45" i="25"/>
  <c r="N51" i="7"/>
  <c r="N49" i="7" s="1"/>
  <c r="N47" i="6"/>
  <c r="R39" i="25" s="1"/>
  <c r="O45" i="1"/>
  <c r="O34" i="1" s="1"/>
  <c r="S14" i="25" s="1"/>
  <c r="N34" i="1"/>
  <c r="R14" i="25" s="1"/>
  <c r="N46" i="1"/>
  <c r="Q15" i="25"/>
  <c r="M34" i="6"/>
  <c r="N46" i="6"/>
  <c r="AY14" i="17" l="1"/>
  <c r="AZ14" i="17" s="1"/>
  <c r="U15" i="25"/>
  <c r="T15" i="25"/>
  <c r="Q39" i="25"/>
  <c r="O51" i="7"/>
  <c r="O49" i="7" s="1"/>
  <c r="P34" i="1"/>
  <c r="O46" i="6"/>
  <c r="O34" i="6" s="1"/>
  <c r="N34" i="6"/>
  <c r="O46" i="1"/>
  <c r="O35" i="1" s="1"/>
  <c r="S15" i="25" s="1"/>
  <c r="R15" i="25"/>
  <c r="O47" i="6"/>
  <c r="O35" i="6" s="1"/>
  <c r="S39" i="25" s="1"/>
  <c r="BM59" i="21"/>
  <c r="BM56" i="21"/>
  <c r="BM55" i="21"/>
  <c r="BM39" i="21"/>
  <c r="BM40" i="21"/>
  <c r="BM41" i="21"/>
  <c r="BM42" i="21"/>
  <c r="BM43" i="21"/>
  <c r="BM44" i="21"/>
  <c r="BM45" i="21"/>
  <c r="BM46" i="21"/>
  <c r="BM47" i="21"/>
  <c r="BM48" i="21"/>
  <c r="BM49" i="21"/>
  <c r="BM50" i="21"/>
  <c r="BM51" i="21"/>
  <c r="BM52" i="21"/>
  <c r="BM53" i="21"/>
  <c r="BM54" i="21"/>
  <c r="BM57" i="21"/>
  <c r="BM58" i="21"/>
  <c r="AQ60" i="21"/>
  <c r="P34" i="18"/>
  <c r="U39" i="25" l="1"/>
  <c r="T39" i="25"/>
  <c r="U14" i="25"/>
  <c r="T14" i="25"/>
  <c r="P34" i="6"/>
  <c r="BM60" i="21"/>
  <c r="O23" i="8" l="1"/>
  <c r="AJ47" i="25" s="1"/>
  <c r="AJ59" i="25" l="1"/>
  <c r="AJ54" i="25"/>
  <c r="P23" i="8"/>
  <c r="AK47" i="25" s="1"/>
  <c r="AK54" i="25" l="1"/>
  <c r="AK59" i="25"/>
  <c r="AY21" i="17"/>
  <c r="AZ2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7CF2A789-DFD8-44D9-A9BD-2A427EA017A5}">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sharedStrings.xml><?xml version="1.0" encoding="utf-8"?>
<sst xmlns="http://schemas.openxmlformats.org/spreadsheetml/2006/main" count="2464" uniqueCount="739">
  <si>
    <t>PRESUPUESTO ASIGNADO EN LA VIGENCIA ACTUAL (en pesos, sin decimales)</t>
  </si>
  <si>
    <t>RESERVAS VIGENCIA ANTERIOR (en pesos, sin decimales)</t>
  </si>
  <si>
    <t>PROGRAMACION</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</si>
  <si>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</si>
  <si>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</si>
  <si>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</si>
  <si>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</si>
  <si>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</si>
  <si>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</si>
  <si>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</si>
  <si>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</si>
  <si>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</si>
  <si>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</si>
  <si>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</si>
  <si>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</si>
  <si>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</si>
  <si>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</si>
  <si>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</si>
  <si>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</si>
  <si>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</si>
  <si>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</si>
  <si>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PLAN DE ACCION</t>
  </si>
  <si>
    <t>Documento Formulación Extensa 7718 SIDICU 28072022</t>
  </si>
  <si>
    <t xml:space="preserve">No. De la Meta / Descripción </t>
  </si>
  <si>
    <t>PROG. DE COMPROMISOS</t>
  </si>
  <si>
    <t>MAGNITUD PROGRAMADA</t>
  </si>
  <si>
    <t>MAGNITUD EJECUTADA</t>
  </si>
  <si>
    <t>DESCRIPCIÓN DE LA ACTIVIDAD (ACCIÓN)</t>
  </si>
  <si>
    <t>PONDERACIÓN VERTICAL (Porcentual)</t>
  </si>
  <si>
    <t>CRONOGRAMA %</t>
  </si>
  <si>
    <t>CRITERIOS DE SEGUIMIENTO</t>
  </si>
  <si>
    <t>MES 1</t>
  </si>
  <si>
    <t>MES 2</t>
  </si>
  <si>
    <t>MES 3</t>
  </si>
  <si>
    <t>MES 4</t>
  </si>
  <si>
    <t>MES 5</t>
  </si>
  <si>
    <t>MES 6</t>
  </si>
  <si>
    <t>MES 7</t>
  </si>
  <si>
    <t>MES 8</t>
  </si>
  <si>
    <t>MES 9</t>
  </si>
  <si>
    <t>MES 10</t>
  </si>
  <si>
    <t>MES 11</t>
  </si>
  <si>
    <t>MES 12</t>
  </si>
  <si>
    <t>ACUMULADO</t>
  </si>
  <si>
    <t>Meta 1</t>
  </si>
  <si>
    <t>Programación</t>
  </si>
  <si>
    <t>Ejecución</t>
  </si>
  <si>
    <t>Meta 2</t>
  </si>
  <si>
    <t>Meta 3</t>
  </si>
  <si>
    <t>Meta 4</t>
  </si>
  <si>
    <t>Meta 5</t>
  </si>
  <si>
    <t>Meta 6</t>
  </si>
  <si>
    <t>Meta 7</t>
  </si>
  <si>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</si>
  <si>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</si>
  <si>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</si>
  <si>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</si>
  <si>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</si>
  <si>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</si>
  <si>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</si>
  <si>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</si>
  <si>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</si>
  <si>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</si>
  <si>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</si>
  <si>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</si>
  <si>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</si>
  <si>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</si>
  <si>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</si>
  <si>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</si>
  <si>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</si>
  <si>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</si>
  <si>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</si>
  <si>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</si>
  <si>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</si>
  <si>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</si>
  <si>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</si>
  <si>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</si>
  <si>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</si>
  <si>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</si>
  <si>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</si>
  <si>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</si>
  <si>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</si>
  <si>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</si>
  <si>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</si>
  <si>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</si>
  <si>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</si>
  <si>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</si>
  <si>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</si>
  <si>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</si>
  <si>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</si>
  <si>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</si>
  <si>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</si>
  <si>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</si>
  <si>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</si>
  <si>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</si>
  <si>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</si>
  <si>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</si>
  <si>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</si>
  <si>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</si>
  <si>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</si>
  <si>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</si>
  <si>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</si>
  <si>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</si>
  <si>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</si>
  <si>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</si>
  <si>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</si>
  <si>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 xml:space="preserve">En lo que va corrido del año 2022, se han vinculado a los talleres de cambio cultural 4329 personas, vinculando a estas personas a los talleres "A cuidar se aprende", y "Cuidamos a las que nos cuidan", esta actividad ha tenido alcance a todas las manzanas del cuidado en las diferentes localidades de la ciudad.
El 11 y 18 de noviembre se realizaron dos socializaciones de los talleres virtuales de cambio cultural dirigidos a 76 personas vinculadas a los procesos de formación que se adelantan en la manzana del cuidado de Kennedy.
El 11 de noviembre se  entregaron vía correo electrónico las credenciales de acceso a la plataforma Moodle de la SDMujer.	</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</si>
  <si>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</si>
  <si>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</si>
  <si>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</si>
  <si>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</si>
  <si>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resultados de articulación con las entidades distritales que hacen parte del sistema</t>
  </si>
  <si>
    <t>En el marco del plan de trabajo definido por las Direcciones de Sistema de Cuidado y Gestión de Conocimiento a diciembre se mapeó la información disponible entregada por las entidades que hacen parte del Sistema de Cuidado, se identificó la forma en la que se compartió, se realizó validación estadística y se integraron los datos de las entidades a un tablero de gestión. Se realizó presentación a la subsecretaria del Cuidado y Políticas de Igualdad para validar su contenido para posterior presentación a la Secretaría de la Mujer. El ressultado del ejercicio arrojó que el Sistema ha atendido a 230.000 personas con sus servicios. 
Se articularon entidades del Sector Central (15) y el Sector Descentralizado Adscritas (6) en dos sesiones de la Unidad Técnica de Apoyo de la Comisión Intersectorial del Sistema de Cuidado, una ordinaria (08 de noviembre) y otra extraordinaria (17 de noviembre), donde se coordinó y definió lo pertinente para la inauguración de las Manzanas del Cuidado de Tunjuelito y San Cristóbal – Aula Ambiental Juan Rey, Parque Entrenubes. Se destaca el seguimiento a los compromisos establecidos en las sesiones de la Unidad Técnica de Apoyo para brindar soporte técnico conceptual y preparar la información requerida en aras del cumplimiento de las funciones de la Comisión. Se realizó la tercera sesión del año de la Mesa de Seguimiento al Convenio 913 de 2021, mesa de trabajo creada por la Unidad Técnica de Apoyo. Además, se realizó la sesión ordinaria (16 de noviembre) del Mecanismo de Participación y Seguimiento, donde se contó con la participación de 8 de las 10 instancias y representaciones de la ciudadanía, así como de 8 secretarías y 2 entidades adscritas descentralizadas.</t>
  </si>
  <si>
    <t xml:space="preserve">La identificación de variables de las personas atendidas en el Sistema Distrital de Cuidado permite a las  entidades armonizar políticas y acciones concretas para atender las necesidades de la ciuadania de manera focalizada.
</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</si>
  <si>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</si>
  <si>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</si>
  <si>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</si>
  <si>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</si>
  <si>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En noviembre de 2022 se inauguraron dos Manzanas del Cuidado, a saber: San Cristóbal, sector de Juan Rey (colindante con Usme), y Tunjuelito. Es un logro importante gracias al liderazgo de la SDMujer y al trabajo en equipo en el marco de una efectiva articulación intersectorial. Con la inauguración de las dos manzanas, Bogotá logró alcanzar la cifra de 14 manzanas del cuidado en operación, alcanzando la meta interna del año.  Así mismo, se lograron llevar a cabo las acciones de articulación intersectorial requeridas para la concertación y aprobación de las fichas técnicas que establecen los servicios ofertados por el distrito en beneficio de las personas cuidadoras de estos importantes sectores de Bogotá.  
Con respecto a la operación de las unidades móviles, en lo corrido de esta vigencia se cuenta con Documento Técnico de Deficiones de Zonas de Operación del Cilo IV -2023 de las Unidades Móviles de Servicios de Cuidado. y se desarrolló la sesión ordinaria de la mesa local de Unidades Móviles de Servicios de Cuidado, en la cual se presento el balance de número de atención por zonas y las novedades durante la prestación el servicio y sus posibles soluciones.</t>
  </si>
  <si>
    <t>Ninguno</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</si>
  <si>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</si>
  <si>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</si>
  <si>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</si>
  <si>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</si>
  <si>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</si>
  <si>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</si>
  <si>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</si>
  <si>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</si>
  <si>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</si>
  <si>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</si>
  <si>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</si>
  <si>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</si>
  <si>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</si>
  <si>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</si>
  <si>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</si>
  <si>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</si>
  <si>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</si>
  <si>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</si>
  <si>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</si>
  <si>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</si>
  <si>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</si>
  <si>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</si>
  <si>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</si>
  <si>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</si>
  <si>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ELABORÓ</t>
  </si>
  <si>
    <t>Firma:</t>
  </si>
  <si>
    <t>APROBÓ (Según aplique Gerenta de proyecto, Lider técnica y responsable de proceso)</t>
  </si>
  <si>
    <t>REVISÓ OFICINA ASESORA DE PLANEACIÓN</t>
  </si>
  <si>
    <t xml:space="preserve">VoBo. </t>
  </si>
  <si>
    <t>Nombre: Nelsy Garzón</t>
  </si>
  <si>
    <t>Nombre: Erika Natalia Moreno Salamanca</t>
  </si>
  <si>
    <t>Nombre: Diana María Parra Romero</t>
  </si>
  <si>
    <t>Nombre:</t>
  </si>
  <si>
    <t>Nombre: Sandra Catalina Campos Romero</t>
  </si>
  <si>
    <t>Cargo: Contratista Profesional Especializada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</si>
  <si>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</si>
  <si>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</si>
  <si>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</si>
  <si>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</si>
  <si>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</si>
  <si>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</si>
  <si>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</si>
  <si>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</si>
  <si>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</si>
  <si>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</si>
  <si>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</si>
  <si>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</si>
  <si>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</si>
  <si>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</si>
  <si>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</si>
  <si>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</si>
  <si>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</si>
  <si>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</si>
  <si>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</si>
  <si>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</si>
  <si>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Se ajusta por liberación de saldos contra segundo pago</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</si>
  <si>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</si>
  <si>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</si>
  <si>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</si>
  <si>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</si>
  <si>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</si>
  <si>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</si>
  <si>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</si>
  <si>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</si>
  <si>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</si>
  <si>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</si>
  <si>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</si>
  <si>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</si>
  <si>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</si>
  <si>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</si>
  <si>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</si>
  <si>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 xml:space="preserve">En el marco del plan de trabajo definido por las Direcciones de Sistema de Cuidado y Gestión de Conocimiento a noviembre se mapeó la información disponible entregada por las entidades que hacen parte del Sistema de Cuidado, se identificó la forma en la que se compartió, se realizó validación estadística y se integraron los datos de las entidades a un tablero de gestión. Se realizó presentación a la subsecretaria del Cuidado y Políticas de Igualdad para validar su contenido para posterior presentación a la Secretaría de la Mujer. El ressultado del ejercicio arrojó que el Sistema ha atendido a 230.000 personas con sus servicios. </t>
  </si>
  <si>
    <t>La identificación de variables de las personas atendidas en el Sistema Distrital de Cuidado permite a las  entidades armonizar políticas y acciones concretas para atender las necesidades de la ciuadania de manera focalizada.</t>
  </si>
  <si>
    <t>DESCRIPCIÓN CUALITATIVA DEL AVANCE POR ACTIVIDAD</t>
  </si>
  <si>
    <t xml:space="preserve">Logros y beneficios y Retrasos y alternativas de solución (2.000 caracteres) </t>
  </si>
  <si>
    <t>1. Diseñar el modelo de seguimiento y monitoreo del Sistema Distrital de Cuidado</t>
  </si>
  <si>
    <t>2. Consolidar el documento de desarrollo técnico del Sistema Distrital de Cuidado</t>
  </si>
  <si>
    <t>Para el mes de noviembre las consultoras de la Fundación Barco - Open Society Fundation revisaron la tercera versión del borrador del documento de síntesis del desarrollo técnico del Sistema de Cuidado y avanzaron en la cuarta versión del mismo. Esta nueva versión incluye ajustes posteriores a su visita al sistema Distirteal de Cuidado en el encuentro internacional de "El Cuidado en América Latina" donde equipo de gobiernos locales y nacionales de 9 países  visitaron Bogotá e incorpora los ajustes solicitados por el equipo técnico de la Dirección del Sistema de Cuidado.</t>
  </si>
  <si>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</si>
  <si>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</si>
  <si>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</si>
  <si>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</si>
  <si>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</si>
  <si>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</si>
  <si>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</si>
  <si>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</si>
  <si>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</si>
  <si>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</si>
  <si>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</si>
  <si>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</si>
  <si>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</si>
  <si>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</si>
  <si>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</si>
  <si>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</si>
  <si>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</si>
  <si>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</si>
  <si>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</si>
  <si>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</si>
  <si>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</si>
  <si>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 </t>
  </si>
  <si>
    <t>2. Coordinar y articular 13 secretarías del nivel distrital para la implementación del sistema distrital de cuidado</t>
  </si>
  <si>
    <t xml:space="preserve">Se articularon entidades del Sector Central (15) y el Sector Descentralizado Adscritas (6) en dos sesiones de la Unidad Técnica de Apoyo de la Comisión Intersectorial del Sistema de Cuidado, una ordinaria (08 de noviembre) y otra extraordinaria (17 de noviembre), donde se coordinó y definió lo pertinente para la inauguración de las Manzanas del Cuidado de Tunjuelito y San Cristóbal – Aula Ambiental Juan Rey, Parque Entrenubes. Se destaca el seguimiento a los compromisos establecidos en las sesiones de la Unidad Técnica de Apoyo para brindar soporte técnico conceptual y preparar la información requerida en aras del cumplimiento de las funciones de la Comisión. Se realizó la tercera sesión del año de la Mesa de Seguimiento al Convenio 913 de 2021, mesa de trabajo creada por la Unidad Técnica de Apoyo. Además, se realizó la sesión ordinaria (16 de noviembre) del Mecanismo de Participación y Seguimiento, donde se contó con la participación de 8 de las 10 instancias y representaciones de la ciudadanía, así como de 8 secretarías y 2 entidades adscritas descentralizadas. </t>
  </si>
  <si>
    <t>"Implementación del Decreto 237 de 2020 ""Por medio del cual se crea la Comisión Intersectorial del Sistema Distrital de Cuidado"" y del Acuerdo 001 de 2020 ""Por el cual se adopta el Reglamento Interno de la Comisión Intersectorial del Sistema Distrital de Cuidado"", así como de la Resolución 233 de 2018 y la Resolución 753 de 2020 “Por la cual se modifica la Resolución 233 del 08 de junio de 2018 “Por la cual se expiden lineamientos para el funcionamiento, operación, seguimiento e informes de las Instancias de Coordinación del Distrito Capital”.
Articulación de las entidades de la Administración Distrital para avanzar en la implementación y seguimiento de Sistema Distrital de Cuidado, tanto a nivel distrital como territorial."</t>
  </si>
  <si>
    <t>octubre</t>
  </si>
  <si>
    <t>3. Convocar y gestionar las sesiones de la Comisión Intersectorial del Sistema de Cuidado según lo establecido en el Decreto 237 de 2020</t>
  </si>
  <si>
    <t xml:space="preserve">En el artículo 7 del Decreto 237 de 2020 “Por medio del cual se crea la Comisión Intersectorial del Sistema Distrital de Cuidado” se establece que “La Comisión se reunirá ordinariamente cada trimestre, es decir, cuatro (4) veces al año, previa convocatoria realizada por la Secretaría Técnica, y extraordinariamente las veces que considere necesarias a solicitud de cualquiera de sus miembros.”. De acuerdo con lo anterior, para este mes no se tiene prevista la última sesión del año de la Comisión. </t>
  </si>
  <si>
    <t>4. Hacer seguimiento a los acuerdos de la Comisión Intersectorial del Sistema de Cuidado (UTA)</t>
  </si>
  <si>
    <t xml:space="preserve">
Se realizaron dos reuniones virtuales de la Unidad Técnica de Apoyo, una ordinaria que es la décima segunda del año y otra extraordinaria que es la décima tercera del año, las No. 25 y 26 desde la expedición del Decreto 237 de 2020. En la primera se socializó la 1ra versión de la ficha técnica de la Manzana del Cuidado de San Cristóbal (Aula Ambiental Juan Rey, Parque Entrenubes), y se abordaron las inauguraciones de las Manzanas del Cuidado de Tunjuelito y San Cristóbal; en la segunda, se aprobó la Ficha Técnica de la Manzana del Cuidado de San Cristóbal – Aula Ambiental Juan Rey / Parque Entrenubes y se socializó el minuto a minuto para la inauguración de las Manzanas del Cuidado de Tunjuelito y San Cristóbal el 22 de noviembre de 2022. En ambas sesiones se realizó seguimiento a los compromisos establecidos en las sesiones anteriores y se contó con quorum con la participaron de 55 directivas y personas delegadas (45 mujeres y 10 hombres) y 52 (42 mujeres y 10 hombres) respectivamente, de 15 Sectores de la Administración Distrital (entidades del Sector Central y Descentralizado) y Alcaldía Mayor de Bogotá (Delivery Unit). Se convalidaron, ajustaron, aprobaron y publicaron en la página Web de la SDMujer las actas No. 24 y 25. Se realizó la tercera Mesa de Seguimiento al Convenio 913 de 2021 en la que se desarrolló la siguiente agenda: 1. Reporte por parte de las entidades anclas sobre el estado de avance en la suscripción de los acuerdos particulares de coordinación. 2. Delegación para la Mesa de Trabajo del Convenio 913 de 2021. 3. Próximas manzanas del cuidado a entrar en operación. 4. Seguimiento a compromisos. Participaron 16 mujeres y 12 hombres representantes de 9 Sectores de la Administración Distrital.</t>
  </si>
  <si>
    <t>5. Adelantar dos sesiones del mecanismo de participación y seguimiento de la Comisión Intersectorial del Sistema de Cuidado (Dec. 237 2020)</t>
  </si>
  <si>
    <t xml:space="preserve">Se realizó la segunda sesión ordinaria del Mecanismo de Participación y Seguimiento de la Comisión Intersectorial del Sistema Distrital de Cuidado del año 2022 (la No. 4 desde que se expidió el Decreto 237 de 2020) de manera presencial y virtual. La agenda desarrollada fue la siguiente: 1. Avances en la implementación del Plan de Acción de la Comisión Intersectorial del Sistema Distrital de Cuidado 2022. 2. Seguimiento a los compromisos establecidos en la sesión realizada el 11 de julio de 2022. 3. Socializar los resultados de los diagnósticos realizados con 16 grupos diferenciales en el Distrito Capital. 4. Intervenciones de las delegadas para el Mecanismo de Participación y Seguimiento. 5. Retroalimentación por parte de la Secretaría Distrital de la Mujer y las entidades invitadas. 6. Conclusiones y cierre. Participaron 10 representantes (8 mujeres y 1 hombre) de los siguientes procesos: Consejo Consultivo de Mujeres; Consejo Distrital de Discapacidad; Consejo Distrital de Sabios y Sabias; Consejo Consultivo y de Concertación para el pueblo Rrom o Gitano de la Kumpania de Bogotá; Consejo Consultivo LGBT; Organizaciones de Cuidadoras y Cuidadores y Autoridades Indígenas de Bakatá. Así mismo, participaron 25 representantes (22 mujeres y 3 hombres) de las siguientes entidades: Secretarías de Salud, Integración Social, Educación, Desarrollo Económico, Hábitat, Cultura, Recreación y Deporte, Ambiente y Mujer, IDRD y JBB. El acta se encuentra en proceso de convalidación para su respectiva aprobación. B. Se elaboró y tramitó el informe logístico asociado a la segunda sesión del año del Mecanismo de Participación y Seguimiento. </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</si>
  <si>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</si>
  <si>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</si>
  <si>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</si>
  <si>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</si>
  <si>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 xml:space="preserve">En noviembre de 2022 se inauguraron dos Manzanas del Cuidado, a saber: San Cristóbal, sector de Juan Rey (colindante con Usme), y Tunjuelito. Es un logro importante gracias al liderazgo de la SDMujer y al trabajo en equipo en el marco de una efectiva articulación intersectorial. Con la inauguración de las dos manzanas, Bogotá logró alcanzar la cifra de 14 manzanas del cuidado en operación, alcanzando la meta interna del año.  Así mismo, se lograron llevar a cabo las acciones de articulación intersectorial requeridas para la concertación y aprobación de las fichas técnicas que establecen los servicios ofertados por el distrito en beneficio de las personas cuidadoras de estos importantes sectores de Bogotá. </t>
  </si>
  <si>
    <t>La inauguración de las Manzanas del Cuidado de San Cristóbal, Juan Rey, y Tunjuelito ampliará significativamente la cobertura de atenciones y el posicionamiento de la estrategia territorial de las Manzanas del Cuidado, en beneficio de las personas cuidadoras y de las personas que requieren cuidados o altos niveles de apoyo en Bogotá.</t>
  </si>
  <si>
    <t xml:space="preserve">6. Implementar actividades de difusión del programa de Sistema de Cuidado con ciudadanos y actores territoriales </t>
  </si>
  <si>
    <t>Desde la Estrategia Territorial de las Manzanas del Cuidado se implementaron, durante el mes de noviembre, 97 actividades de difusión y socialización del Sistema Distrital del Cuidado y los servicios de las Manzanas del Cuidado en 19 localidades de Bogotá, a saber: Bosa, Barrios Unidos, Centro (Santa Fe-Candelaria), Chapinero, Ciudad Bolívar, Engativá, Fontibón, Kennedy, Mártires, Rafael Uribe, San Cristóbal, Antonio Nariño, Suba, Tunjuelito, Teusaquillo, Usaquén, Puente Aranda y Usme. La difusión a nivel territorial con personas cuidadoras y actores estratégicos en las localidades, contribuyó a avanzar en el propósito de divulgar los objetivos del Sistema Distrital del Cuidado, los servicios de las manzanas y su posicionamiento con las cuidadoras y la ciudadanía en general.</t>
  </si>
  <si>
    <t>7. Articular las acciones intersectoriales para la puesta en operación de siete (7) manzanas del cuidado</t>
  </si>
  <si>
    <t xml:space="preserve">El 22 de noviembre de 2022 fueron inauguradas con éxito dos Manzanas del Cuidado: San Cristóbal (sector de Juan Rey) y Tunjuelito. La de San Cristóbal es la segunda manzana inaugurada en esa localidad y la primera cuyo equipamiento ancla está en cabeza de la Secretaría de Ambiente (Aula Ambiental parque Entrenubes), que ha significado para la comunidad no solo la llegada de servicios con un fuerte componente ambiental, sino también una amplia gama de servicios para las personas cuidadoras y quiénes requieren cuidados, en una zona que carecía de oferta institucional. Las manzanas del cuidado de San Cristóbal - Juan Rey y Tunjuelito representan la treceava y catorceava manzanas del cuidado de Bogotá y la sexta y séptima en inaugurarse durante el año 2022. Así mismo, se realizaron las acciones de articulación intersectorial requeridas para su apertura y puesta en operación, a saber, la concertación intersectorial del minuto a minuto de las inauguraciones y de las fichas técnicas de las manzanas que especifican la oferta de servicios disponible por los sectores distritales para las personas cuidadoras y las personas que requieren cuidados o altos niveles de apoyo en las localidades de San Cristóbal y Tunjuelito. </t>
  </si>
  <si>
    <t>8. Monitorear las acciones intersectoriales de 14 manzanas del cuidado</t>
  </si>
  <si>
    <t>De acuerdo con la herramienta de seguimiento y monitoreo, entre el 1 y el 27 de noviembre de 2022 se registraron 24.939 nuevas atenciones en las 14 manzanas de cuidado (la cifra no incluye la sumatoria de atenciones de SDIS, dado que esa Entidad decidió reportar mes vencido a partir de junio y al sistema distrital de información que está en proceso de construcción, no a la herramienta de seguimiento y monitoreo de atenciones de las manzanas). Entre enero y noviembre de 2022, se han registrado 214.827 atenciones. Y sumando 2021 y 2022, las manzanas del cuidado han aportado al Sistema de Cuidado un total de 273.027  atenciones. Es de resaltar que, entre 2021 y 2022, las atenciones en las manzanas del cuidado aumentaron 269%, ampliando significativamente la cobertura en beneficio de las personas cuidadoras de Bogotá. Durante el mes de noviembre se efectuaron 14 sesiones de las Mesas Locales de las Manzanas del Cuidado de Bosa - Porvenir, Bosa - Campo Verde, Kennedy, Ciudad Bolívar - Manitas, Usme, San Cristóbal, Mártires, Usaquén, Centro, Engativá, Rafael Uribe Uribe, Ciudad Bolívar - Mochuelos, Tunjuelito y San Cristóbal - Juan Rey. Además, es un logro la puesta en operación de las Mesas Locales de las Manzanas del Cuidado de San Cristóbal - Juan Rey y Tunjuelito, cuyas primeras sesiones se realizaron alrededor de una semana después de su inauguración. En dichas sesiones, se monitorearon las acciones intersectoriales de los sectores representados, el estado de la operación de los servicios implementados y el balance mensual de las atenciones prestadas.</t>
  </si>
  <si>
    <t>% de avance diagnóstico de necesidades de 14 manzanas</t>
  </si>
  <si>
    <t>Núm. de manzanas puestas en operación</t>
  </si>
  <si>
    <t>Núm. de manzanas inauguradas</t>
  </si>
  <si>
    <t>Diseñar e implementar 1 estrategia de cuidado a cuidadoras</t>
  </si>
  <si>
    <t>4. Diseñar e implementar 1 estrategia de cuidado a cuidadoras.</t>
  </si>
  <si>
    <t>Con la implementación del proceso de formación de la Estrategia Cuidado a Cuidadoras, en lo corrido de la vigencia 2022 se han desarrollado 247 cursos de formación complementaria graduando a 3.717 mujeres en la "Aplicación de Herramientas de Información y Comunicación así como en manejo del Inglés Básico" a través del SENA y en "Herramientas para Cuidadoras en el Reconocimiento de su Trabajo de Cuidado" a través del Aula Virtual de la SDMujer.  
La distribución de las cuidadoras graduadas según localidad, es la siguiente: Ciudad Bolívar:750; Antonio Nariño:228; Bosa:206; Kennedy:260; Suba:239; Tunjuelito:164; Los Mártires:201; Puente Aranda:212; Usme:179; Barrios Unidos:139; Teusaquillo:153; San Cristóbal:180; Usaquén:167; Chapinero:149; Engativá:120; Santa Fe:98; Rafael Uribe Uribe:120; La Candelaria:69 ,Fontibón: 73 y Sumapaz:10  
De los procesos de Homologación de Saberes, el acumulado de la vigencia 2022 asciende a 451 cuidadoras certificadas en el Distrito Capital a través de 15 grupos conformados por las Evaluadoras Certificadoras de la SDMujer, quienes también realizan el proceso en coordinación con el SENA.
En la gestión de Espacios de Desconexión, durante 2022 se han adelantado un total de 37 actividades dirigidas a mujeres cuidadoras pertenecientes a las comunidades étnicas negras-afrocolombianas, raizales, indígenas y Rrom.
El número acumulado de atenciones gestionadas en dichos espacios asciende a 573 distribuidas así: Afro 298, Raizales 19, Indígena 50 y Rrom 206</t>
  </si>
  <si>
    <t>En el proceso de Homologación de Saberes se han presentado dificultades asociadas con las fases de Alistamiento y Recolección de Pruebas. Esto ha llevado a revisar el procedimiento y favorecer la vinculación de otros centros de formación que contribuyan con la dinamización oportuna de la Evaluación y Certificación de Competencias Laborales y el cumplimiento de meta del Convenio 012 de 2021. 
A la fecha de corte, se ha operado con dos centros de formación: Actividad Física y Cultural y Talento Humano en Salud.
Respecto de las actividades de desconexión, con las autoridades y representantes de los pueblos y comunidades étnicas se han presentado situaciones de débil articulación (poca efectividad y oportunidad), que comprometen el éxito de la operación y el cumplimiento de las acciones afirmativas pactadas. En ese sentido se han desarrollado encuentros de seguimiento, conducentes a la dinamización de las actividades para el cumplimiento de compromisos en materia de espacios de descanso.</t>
  </si>
  <si>
    <t>Las cuidadoras apropian contenidos orientados al reconocimiento de su trabajo de cuidado y avanzan en el manejo de las técnologías de información a través de la Estrategia de Cuidado a Cuidadoras. Adicionalmente, disfrutan de la gestión de espacios de desconexión ofrecidos por sectores corresponsables con el SIDICU en el marco de los procesos de coordinación territorial con expresión en la oferta de las Manzanas del Cuidado.</t>
  </si>
  <si>
    <t>En el marco de los procesos realizados por el SIDICU y los sectores corresponsables con su implementación (Mujer, Ambiente, Cultura, Salud, Integración Social, Desarrollo Económico y Hábitat) para el periodo enero a 27 de noviembre de 2022, se han logrado 79.778 atenciones en las Manzanas del Cuidado, distribuidas así: Bosa-El Porvenir 9.462; Ciudad Bolívar Manitas 11.276; San Cristóbal 7.688; Los Mártires 6.439; Kennedy 7.616; Usme 15.494; Usaquén 4171; Centro 5.669; Engativá 7.582; Rafael Uribe Uribe; 3.582, Ciudad Bolívar Mochuelo:373; Bosa-Campo Verde:384; San Cristóbal-Aula Ambiental Juan Rey:42, Cabe señalar que el 22 de noviembre se inauguró la Manzana de Tunjuelito. 
En la oferta de servicios respiro ofrecidos por la SDMujer, se han logrado en la presente vigencia 4.967 atenciones y orientaciones psicosociales y jurídicas para cuidadoras.</t>
  </si>
  <si>
    <t>9. Implementar el componente de formación para cuidadoras</t>
  </si>
  <si>
    <t xml:space="preserve">Programación y realización de 9 cursos de Formación Complementaria para mujeres cuidadoras todos ellos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tutoras territoriales vinculadas al Componente de Formación de la Estrategia Cuidado a Cuidadoras. El número total de cuidadoras graduadas en el mes de noviembre ascendió a 105. La distribución por localidad de prestación del servicio expresa el siguiente comportamiento: Ciudad Bolívar 26; Kennedy 13; Fontibón 10; Usaquén 3; Rafael Uribe Uribe 8; Suba: 11; Chapinero: 15; Sumapaz:10 y Usme:9
En cuanto al proceso de Homologación de Saberes se avanzo en el proceso de resfistro de 25 mujeres. </t>
  </si>
  <si>
    <t>10. Monitorear y hacer seguimiento a la implementación del componente de respiro para cuidadoras</t>
  </si>
  <si>
    <t xml:space="preserve">10.1. Durante el mes de noviembre se implementaron (4) espacios de desconexión ofreciendo un total de (47) atenciones.
A continuación el detalle de los procesos adelantados:
Afro: 31 atenciones
Nombre del espacio: Espacio de desconexión mujeres negras/afrocolombianas
Asistentes: 7 mujeres cuidadoras negras y/o afrocolombianas
Fecha: 05.11.22. Hora: 9:00 a.m. a 2:00 p.m Lugar: Colegio Estanislao Zuleta 
Nombre del espacio: Espacio de desconexión mujeres negras/afrocolombianas 
Asistentes: 20 mujeres cuidadoras negras y/o afrocolombianas
Fecha:26.11.22. Hora: 11:00 a.m. a 1:00 p.m.  Lugar: Usme- Puerta al Llano
Nombre del espacio: espacio pedagógico y de fortalecimiento de capacidades en materia de Cuidado Menstrual con mujeres cuidadoras Afro e indígenas de la Localidad de Usaquén por medio de la circulo de escucha “menstruación y ancestralidad” en la manzana de cuidado CDC Simón Bolívar. 
Asistentes: 4 mujeres cuidadoras negras y/o afrocolombianas
Fecha:26.11.22. Hora: 9:00 a.m. a 12:00.m. Lugar: Manzana de Cuidado Usaquén
Rrom: 16 atenciones
Nombre del espacio: Conversatorio mujeres Rrom – Ciclo Lunar 
Asistentes: 16 mujeres cuidadoras  indígenas
Fecha:22.11.22. Hora: 10:00 a.m. a 12:00.m.  Lugar: Casa Gitana 
10.2. En relación con la oferta de servicios en materia de respiro en el mes de noviembre (corte al 27), se logró un total de 8.359 atenciones en espacios generados desde las Manzanas del Cuidado, ofrecidas por parte de los sectores Cultura, Salud, Ambiente, Integración Social, Desarrollo Económico y Mujer. Según su distribución territorial se obtuvo el siguiente resultado: Bosa El Porvenir:857;  Bosa Campo Verde: 384; Centro 165; Ciudad Bolívar-Manitas: 1.094; Engativá:1.453; Kennedy:1.046; Los Martires:646; San Cristóbal: 458; Usaquén:369; Usme:1.022; Rafael Uribe Uribe:657 y Ciudad Bolívar- Mochuelo:166; San Cristóbal-Aula Ambiental Juan Rey:42 .
</t>
  </si>
  <si>
    <t>11. Poner en marcha el programa de relevos de cuidado</t>
  </si>
  <si>
    <r>
      <rPr>
        <sz val="11"/>
        <color rgb="FF000000"/>
        <rFont val="Times New Roman"/>
        <family val="1"/>
      </rPr>
      <t xml:space="preserve">Durante el mes de noviembre se realizaron 5 jornadas de alistamiento documental del archivo del Contrato 847-2021, por el cual se ejecutó el programa de relevos domiciliarios de cuidado. Se lideró la sexta Mesa Distrital de Relevos Domiciliarios de Cuidado, donde: i) se reportaron los principales avances en la implementación de los programa de asistencia casa a casa por sector, ii) se socializaron los principales resultados frente a lecciones aprendidas de los programas distritales de relevos domiciliarios de cuidado, implementados entre el 2021 y 2022, y iii) se actualizó el reporte de las gestiones para incluir la información de los programas casa a casa en el sistema de información del Sistema Distrital de Cuidado, La cifra de revisión final de relevos para el mes de noviembre es de 134. </t>
    </r>
    <r>
      <rPr>
        <sz val="11"/>
        <color rgb="FFFF0000"/>
        <rFont val="Times New Roman"/>
        <family val="1"/>
      </rPr>
      <t xml:space="preserve"> </t>
    </r>
    <r>
      <rPr>
        <sz val="11"/>
        <rFont val="Times New Roman"/>
        <family val="1"/>
      </rPr>
      <t xml:space="preserve">La entidad realiza las gestiones requeridas orientadas al cierre y liquidación del contrato 847 de 2021.  </t>
    </r>
  </si>
  <si>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</si>
  <si>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</si>
  <si>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</si>
  <si>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</si>
  <si>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</si>
  <si>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</si>
  <si>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</si>
  <si>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</si>
  <si>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</si>
  <si>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</si>
  <si>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</si>
  <si>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</si>
  <si>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 xml:space="preserve">El 11 y 18 de noviembre se realizaron dos socializaciones de los talleres virtuales de cambio cultural dirigidos a 76 personas vinculadas a los procesos de formación que se adelantan en la manzana del cuidado de Kennedy.
El 11 de noviembre se  entregaron vía correo electrónico las credenciales de acceso a la plataforma Moodle de la SDMujer.												
													</t>
  </si>
  <si>
    <t xml:space="preserve">El desarrollo de los talleres de cambio cultural en plataforma moodle permite generar espacios de autoaprendizaje y de apoyo didáctico en el proceso de divulgación de Sistema Distrital de Cuidado y el rol de los ciudadanos en el mismo. </t>
  </si>
  <si>
    <t>12. Diseñar e implementar la virtualización de la estrategia pedagógica para la valoración, la resignificación, el reconocimiento y la redistribución del trabajo de cuidado no remunerado que realizan las mujeres en Bogotá</t>
  </si>
  <si>
    <t>El 11 y 18 de noviembre se realizaron dos socializaciones de los talleres virtuales de cambio cultural dirigidos a 76 personas vinculadas a los procesos de formación que se adelantan en la manzana del cuidado de Kennedy.
El 11 de noviembre se  entregaron vía correo electrónico las credenciales de acceso a la plataforma Moodle de la SDMujer.</t>
  </si>
  <si>
    <t xml:space="preserve">13. Diseñar la estrategia de comunicación, de la estrategia pedagógica y de cambio cultural del Sistema Distrital de Cuidado </t>
  </si>
  <si>
    <t xml:space="preserve">Esta actividad fue cerrada 100% en el mes de julio.													
													</t>
  </si>
  <si>
    <t>Programa virtual</t>
  </si>
  <si>
    <t>Número de personas formadas presencial</t>
  </si>
  <si>
    <t>Número de personas formadas virtual</t>
  </si>
  <si>
    <t>Número de procesos de formación</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</si>
  <si>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</si>
  <si>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</si>
  <si>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</si>
  <si>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</si>
  <si>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</si>
  <si>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</si>
  <si>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</si>
  <si>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</si>
  <si>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</si>
  <si>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</si>
  <si>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</si>
  <si>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</si>
  <si>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</si>
  <si>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</si>
  <si>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</si>
  <si>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</si>
  <si>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</si>
  <si>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</si>
  <si>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</si>
  <si>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</si>
  <si>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</si>
  <si>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</si>
  <si>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</si>
  <si>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</si>
  <si>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</si>
  <si>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</si>
  <si>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</si>
  <si>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</si>
  <si>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</si>
  <si>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</si>
  <si>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</si>
  <si>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</si>
  <si>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</si>
  <si>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</si>
  <si>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</si>
  <si>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</si>
  <si>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</si>
  <si>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</si>
  <si>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</si>
  <si>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</si>
  <si>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</si>
  <si>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</si>
  <si>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</si>
  <si>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</si>
  <si>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</si>
  <si>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</si>
  <si>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</si>
  <si>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</si>
  <si>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</si>
  <si>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</si>
  <si>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</si>
  <si>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</si>
  <si>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</si>
  <si>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</si>
  <si>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</si>
  <si>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</si>
  <si>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</si>
  <si>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</si>
  <si>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</si>
  <si>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</si>
  <si>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</si>
  <si>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</si>
  <si>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</si>
  <si>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</si>
  <si>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</si>
  <si>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</si>
  <si>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</si>
  <si>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</si>
  <si>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</si>
  <si>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</si>
  <si>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</si>
  <si>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</si>
  <si>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</si>
  <si>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</si>
  <si>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</si>
  <si>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</si>
  <si>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</si>
  <si>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</si>
  <si>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</si>
  <si>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</si>
  <si>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</si>
  <si>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</si>
  <si>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</si>
  <si>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</si>
  <si>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</si>
  <si>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</si>
  <si>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</si>
  <si>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</si>
  <si>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</si>
  <si>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 xml:space="preserve">En el marco de la implementación de la estrategia para la resignificación. el reconocimiento y redistribución del trabajo de cuidado no remunerado para la vigencia 2022 con 4329 personas vinculadas a los talleres de cambio cultural. Y se estructura el esquema integral par la Red de Alianzas del Cuidado -RAC- desde una perspectiva estratégica, entre las cuales se etablece la caracterización inicial de emrpesas pra  primera fase de gestión y artículación de la RAC; Royección de cronogramas de meas de trababajo en la que se artículen la RAC y la Manzanasde ciudado y la proyección de actividades para el  2023. 
Desde Comunicaciones se continua el acompañamiento y divulgación de las accines del SIDICU tales como la inguración desl las Manzanas de Cuidado  de San Critóbal y Tunjuelitó; el lanzamiento del Bus de Cuido Rural, Y el cubrimiento de representación teatral Acuidar en Dos Actos.
</t>
  </si>
  <si>
    <t xml:space="preserve">Ninguno </t>
  </si>
  <si>
    <t xml:space="preserve">La acciones de implementación de la estrategia han permitido un mayor reconocimiento, recordación y apronación  por parte de la ciudadanía del Sistem Distrital de Cuidado. </t>
  </si>
  <si>
    <t xml:space="preserve">14. Implementar los talleres de cambio cultural </t>
  </si>
  <si>
    <r>
      <t xml:space="preserve">Durante el mes de noviembre se vincularon 36 personas a los talleres de cambio cultural. De los cuales, 11 son hombres se han vinculado a los talleres A cuidar se aprende, y 25 mujeres a los talleres Cuidamos a las que nos cuidan. Esta gestión se desarrolló con la siguiente distribución por localidades: </t>
    </r>
    <r>
      <rPr>
        <sz val="12"/>
        <color rgb="FFFF0000"/>
        <rFont val="Times New Roman"/>
        <family val="1"/>
      </rPr>
      <t xml:space="preserve"> </t>
    </r>
    <r>
      <rPr>
        <sz val="12"/>
        <color theme="1"/>
        <rFont val="Times New Roman"/>
        <family val="1"/>
      </rPr>
      <t>Usme (3), los Maértires(25) y La Candelaria (8).</t>
    </r>
    <r>
      <rPr>
        <sz val="12"/>
        <color rgb="FF000000"/>
        <rFont val="Times New Roman"/>
        <family val="1"/>
      </rPr>
      <t xml:space="preserve">
	</t>
    </r>
  </si>
  <si>
    <t xml:space="preserve">15. Producir e implementar la estrategia de comunicaciones </t>
  </si>
  <si>
    <r>
      <rPr>
        <b/>
        <sz val="12"/>
        <color rgb="FF000000"/>
        <rFont val="Times New Roman"/>
        <family val="1"/>
      </rPr>
      <t xml:space="preserve">INAUGURACIÓN MANZANAS DEL CUIDADO (SAN CRISTÓBAL - TUNJUELITO): </t>
    </r>
    <r>
      <rPr>
        <sz val="12"/>
        <color rgb="FF000000"/>
        <rFont val="Times New Roman"/>
        <family val="1"/>
      </rPr>
      <t>Para divulgar y fortalecer la convocatoria de servicios de las MDC de San Cristóbal y Tunjuelito, en el marco del evento de apertura, se realizaron: 1. 2 Comunicados de Prensa. 2. Parrilla de contendios redes sociales. 3. 2 videos. 4. Redacción de briefs . 5. Minuto a Minuto 6. Libreto 7. Agenda del evento. 8. Producción de piezas de invitació</t>
    </r>
    <r>
      <rPr>
        <b/>
        <sz val="12"/>
        <color rgb="FF000000"/>
        <rFont val="Times New Roman"/>
        <family val="1"/>
      </rPr>
      <t xml:space="preserve">n.
LANZAMIENTO BUS DEL CUIDADO  RURAL: </t>
    </r>
    <r>
      <rPr>
        <sz val="12"/>
        <color rgb="FF000000"/>
        <rFont val="Times New Roman"/>
        <family val="1"/>
      </rPr>
      <t xml:space="preserve">Para fortalecer la divulgación y convocatoria a los servicios del Bus del Cuidado Urbano, en el marco de su lanzamiento en Suba, se realizaron las siguientes acciones: 1. Comunicado de prensa. 2. Parrilla digital para redes sociales. 3. Redacción de bullets orientadores. 4. Publicación de contenidos digitales.
</t>
    </r>
    <r>
      <rPr>
        <b/>
        <sz val="12"/>
        <color rgb="FF000000"/>
        <rFont val="Times New Roman"/>
        <family val="1"/>
      </rPr>
      <t xml:space="preserve">CUBRIMIENTOS: </t>
    </r>
    <r>
      <rPr>
        <sz val="12"/>
        <color rgb="FF000000"/>
        <rFont val="Times New Roman"/>
        <family val="1"/>
      </rPr>
      <t xml:space="preserve">Durante octubre se realizaron diferentes eventos que fueron cubiertos y divulgados en todos los canales de la Secretaría Distrital de la Mujer, y fueron: 1. Foro Sistemas de Cuidado (PNUD/SDMujer). 2. Lanzamiento sala de lectura MDC Centro. 3. Mecanismo de Participación y Seguimiento Sistema de Cuidado. 4. Seminario de Políticas de Cuidado. 5. Simposio Políticas del Cuidado. 6. Visita Camacol MDC Bosa Porvenir. 7. XXVII Cumbre Mercociudades. 
</t>
    </r>
    <r>
      <rPr>
        <b/>
        <sz val="12"/>
        <color rgb="FF000000"/>
        <rFont val="Times New Roman"/>
        <family val="1"/>
      </rPr>
      <t xml:space="preserve">A CUIDAR EN DOS ACTOS: </t>
    </r>
    <r>
      <rPr>
        <sz val="12"/>
        <color rgb="FF000000"/>
        <rFont val="Times New Roman"/>
        <family val="1"/>
      </rPr>
      <t xml:space="preserve">Para fortalecer las acciones de divulgación y difusión del proyecto, se realizaron las siguientes acciones: 1. Comunicado de prensa. 2. 2 Notas Web. 3. Bullets. 4. Brief. 5. Minuto a minuto. 6. Diseño y difusión de contenido.
</t>
    </r>
    <r>
      <rPr>
        <b/>
        <sz val="12"/>
        <color rgb="FF000000"/>
        <rFont val="Times New Roman"/>
        <family val="1"/>
      </rPr>
      <t xml:space="preserve">COMERCIALES TV: </t>
    </r>
    <r>
      <rPr>
        <sz val="12"/>
        <color rgb="FF000000"/>
        <rFont val="Times New Roman"/>
        <family val="1"/>
      </rPr>
      <t xml:space="preserve">Se realizó el rodaje de los dos comerciales para televisión que se están produciendo en alianza con ONU Mujeres. (La entrega final de estos productos se realizará en diciembre 2022)
</t>
    </r>
    <r>
      <rPr>
        <b/>
        <sz val="12"/>
        <color rgb="FF000000"/>
        <rFont val="Times New Roman"/>
        <family val="1"/>
      </rPr>
      <t xml:space="preserve">ACTUALIZACIÓN DE PÁGINA WEB.
Video - Cumpleaños MDC Bosa Porvenir
Notas Web: </t>
    </r>
    <r>
      <rPr>
        <sz val="12"/>
        <color rgb="FF000000"/>
        <rFont val="Times New Roman"/>
        <family val="1"/>
      </rPr>
      <t xml:space="preserve">Se publicaron y difundieron 3 notas web.
</t>
    </r>
    <r>
      <rPr>
        <b/>
        <sz val="12"/>
        <color rgb="FF000000"/>
        <rFont val="Times New Roman"/>
        <family val="1"/>
      </rPr>
      <t xml:space="preserve">													
													</t>
    </r>
  </si>
  <si>
    <t>16. Implementar el componente de amplificación [Red de Alianzas del Cuidado]</t>
  </si>
  <si>
    <t>En el mes de noviembre se estructuró el plan integral de la Red de Alianzas del Cuidado que contiene lo siguiente:
1. Diseño técnico de la estrategia para la estructuración del esquema integral y la conformación y fortalecimiento de la Red de Alianzas del Cuidado- RAC desde una perspectiva de planeación estratégica.
2. Dos mesas de trabajo entre el apoyo a la coordinación del Grupo de cambio cultural y la Red de Alianzas del Cuidado - RAC para la concertación de actividades para la articulación y fortalecimiento de la RAC.
3. Estructuración de la ruta de trabajo a implementar entre noviembre y dicimebre del año 2022, y proyección de actividades para el año 2023, que permita tener un trabajo sistémico entre las organizaciones del tercer sector, la academia, la sociedad civil y cualquier otro ente o escenario que permita el desarrollo efectivo de articulación de la Red de Alianzas del Cuidado – RAC.
4. Concertación de reunión para la socialización del esquema de la estrategia de conformación y fortalecimiento de la Red de Alianzas del Cuidado ante la Directora del Sistema Distrital de Cuidado – SIDICU.
5. Proyección del cronograma de las mesas de trabajo a realizar con los enlaces territoriales del Grupo de cambio cultural para la articulación de las Manzanas del Cuidado con la Red de Alianzas del Cuidado.
6. Mapeo inicial de las empresas a articular con el SIDICU a través de las manzanas del cuidado. 
7. Caracterización inicial de las empresas para la primera fase de gestión y articulación con la RAC.</t>
  </si>
  <si>
    <t>17. Monitorear y hacer seguimiento a las acciones intersectoriales</t>
  </si>
  <si>
    <r>
      <t>El 28 de noviembre se realizó sesión ordinaria de la Mesa de Transformación cultural, la cual se centró en realizar el seguimiento a la actualización de los servicios de transformación cultural relacionados en el documento Estrategia pedagógica y de cambio c</t>
    </r>
    <r>
      <rPr>
        <sz val="12"/>
        <color theme="1"/>
        <rFont val="Times New Roman"/>
        <family val="1"/>
      </rPr>
      <t xml:space="preserve">ultural. La </t>
    </r>
    <r>
      <rPr>
        <sz val="12"/>
        <rFont val="Times New Roman"/>
        <family val="1"/>
      </rPr>
      <t>agenda realizada fue la siguiente: 1. Actualización de servicios de transformación cultural por parte de las entidades. 2. Evento "A cuidar en dos actos"</t>
    </r>
    <r>
      <rPr>
        <sz val="12"/>
        <color rgb="FF000000"/>
        <rFont val="Times New Roman"/>
        <family val="1"/>
      </rPr>
      <t xml:space="preserve">
Como una de las acciones de seguimiento y monitoreo de los servicios de transformación cultural que adelantan las entidades participantes en la mesa, y de acuerdo a los compromisos resultado de la sesión del pasado 28 de octubre, se recibieron las fichas de actualización de: IDPAC, Bibliored y SDMujer.
</t>
    </r>
  </si>
  <si>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</si>
  <si>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</si>
  <si>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</si>
  <si>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</si>
  <si>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</si>
  <si>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En lo corrido de esta vigencia se cuenta con Documento Técnico de Deficiones de Zonas de Operación del Cilo IV -2023 de las Unidades Móviles de Servicios de Cuidado.
Se desarrollo la sesión ordinaria de la mesa local de Unidades Móviles de Servicios de Cuidado, en la cual se presento el balance de número de atención por zonas y las novedades durante la prestación el servicio y sus posibles soluciones.</t>
  </si>
  <si>
    <t>El proceso de implementación de las unidades móviles de cuidado permite ampliar la cobertura de servicios en la zona rural y urbana del distrito capital, generando  mayor accesibilidad a mujeres cuidadoras y a la ciudadanía en general en el  reconocimiento del trabajo de cuidado no remunerado</t>
  </si>
  <si>
    <t>18. Definir y poner en marcha dos unidades móviles de servicios de cuidado (Urbana y Rural)</t>
  </si>
  <si>
    <t>En el marco del contrato de prestación de servicios 928 de 2022 se relacionan, entre otras, las siguientes actividades:
-	El equipo de soporte técnico de la Oficina Asesora de Planeación, a solicitud de la supervisión del CTO 928 de 2022, realizó las siguientes visitas técnicas para la verificación de la conectividad a Internet en la Unidad Móvil Urbana: 3 de noviembre 2022: Localidad de Fontibón, UPZ Fontibón centro – Fontibón centro plazoleta 4 de noviembre 2022: Localidad de Kennedy, UPZ Gran Britalia – parque Villa Andrea 9 de noviembre 2022: Localidad de Suba, UPZ Tibabuyes – parque Sabana Tibabuyes. La supervisión dio traslado del informe anterior al contratista Feeling Company SAS, para determinar las acciones de mejora.
-	Revisión y aprobación de las hojas de vida por cambio del equipo mínimo de trabajo, de la Coordinadora Logística y del auxiliar logístico.
-	Verificación de entrega de la primera actualización de consulta de verificación de antecedentes disciplinarios, fiscales, judiciales, medidas correctivas y de registro de inhabilidades por delitos sexuales cometidos contra personas menores edad, de cada una de las personas que hacen parte del equipo mínimo de trabajo.
-	Entrega al contratista del Documento Técnico de definición de Zonas de Operación Ciclo IV-2023 Unidades Móviles de Servicios de Cuidado. 
-	La supervisión aprobó el informe mensual del mes de octubre de 2022 presentado por el contratista Feeling Company SAS, a través del informe de supervisión suscrito en  noviembre de 2022, que detalla las actividades realizadas, rutas, lugares y horas de operación de las unidades móviles y del vehículo automotor tipo VAN, así como los aspectos ejecución administrativa, técnica, operativa, contable y financiera de la operación logística de las unidades móviles, del equipo de trabajo e insumos y del vehículo automotor para transporte de personas.</t>
  </si>
  <si>
    <t>19. Articular las acciones intersectoriales para la puesta en operación de dos (2) unidades móviles de servicios de cuidado (Urbana y Rural)</t>
  </si>
  <si>
    <t>Para el mes de noviembre, se desarrolló la sesión ordinaria de la mesa local de Unidades Móviles de Servicios de Cuidado, esta sesión ordinaria tuvo el siguiente orden del día:
1. Verificación del quórum.
2. Aprobación orden del día.
3. Socialización del balance de numero de atenciones en las diferentes zonas.
4. Novedades de los servicios – posibles soluciones. BCR Y BCU
5. Varios.  
Adicional a esto se realizó la inauguración del Bus de Cuidado rural  en la vereda de Nazareth en Sumapaz el pasado 04 de noviembre del presente año, por medio del cual tuvo como objetivo socializar los servicios y las zonas correspondientes al ciclo III-2022.</t>
  </si>
  <si>
    <t>20. Monitorear y hacer seguimiento a las acciones intersectoriales de las dos (2) unidades móviles de servicios de cuidado (urbana y rural)</t>
  </si>
  <si>
    <t>Para el periodo comperndido entre el 1 y 27 de noviembre de 2022 se realizaron 2.037 atenciones en los dos buses del cuidado (rural y urbano) distribuidas de la siguiente manera: personas cuidadoras 1.570; personas que requieren cuidado niñas y niños 240; personas mayores 127, personas en condición de discapacidad 5 y ciudadanía en general 95.</t>
  </si>
  <si>
    <t>Número de unidades móviles operando</t>
  </si>
  <si>
    <t>Número de atenciones</t>
  </si>
  <si>
    <t>Número de mujeres cuidadoras</t>
  </si>
  <si>
    <t>Número de personas que requieren cuidado</t>
  </si>
  <si>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</si>
  <si>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</si>
  <si>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</si>
  <si>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</si>
  <si>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</si>
  <si>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</si>
  <si>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</si>
  <si>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</si>
  <si>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</si>
  <si>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</si>
  <si>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</si>
  <si>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</si>
  <si>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</si>
  <si>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</si>
  <si>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</si>
  <si>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</si>
  <si>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</si>
  <si>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</si>
  <si>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</si>
  <si>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</si>
  <si>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</si>
  <si>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</si>
  <si>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</si>
  <si>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</si>
  <si>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</si>
  <si>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</si>
  <si>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</si>
  <si>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</si>
  <si>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</si>
  <si>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</si>
  <si>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</si>
  <si>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</si>
  <si>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</si>
  <si>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</si>
  <si>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</si>
  <si>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</si>
  <si>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Bosa</t>
  </si>
  <si>
    <t>Ciudad Bolívar</t>
  </si>
  <si>
    <t>San Cristobal</t>
  </si>
  <si>
    <t>Usme</t>
  </si>
  <si>
    <t>Los Mártires</t>
  </si>
  <si>
    <t>Kennedy</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</si>
  <si>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</si>
  <si>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</si>
  <si>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</si>
  <si>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</si>
  <si>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</si>
  <si>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</si>
  <si>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</si>
  <si>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</si>
  <si>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</si>
  <si>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</si>
  <si>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</si>
  <si>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</si>
  <si>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</si>
  <si>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</si>
  <si>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</si>
  <si>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</si>
  <si>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</si>
  <si>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</si>
  <si>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</si>
  <si>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</si>
  <si>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</si>
  <si>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</si>
  <si>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</si>
  <si>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</si>
  <si>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</si>
  <si>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</si>
  <si>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</si>
  <si>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</si>
  <si>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</si>
  <si>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</si>
  <si>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</si>
  <si>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</si>
  <si>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</si>
  <si>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</si>
  <si>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</si>
  <si>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</si>
  <si>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</si>
  <si>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</si>
  <si>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</si>
  <si>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</si>
  <si>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</si>
  <si>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</si>
  <si>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</si>
  <si>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</si>
  <si>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</si>
  <si>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</si>
  <si>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</si>
  <si>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</si>
  <si>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</si>
  <si>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</si>
  <si>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</si>
  <si>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</si>
  <si>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</si>
  <si>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</si>
  <si>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</si>
  <si>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</si>
  <si>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</si>
  <si>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</si>
  <si>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</si>
  <si>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</si>
  <si>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</si>
  <si>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</si>
  <si>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</si>
  <si>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</si>
  <si>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</si>
  <si>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</si>
  <si>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</si>
  <si>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</si>
  <si>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</si>
  <si>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</si>
  <si>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</si>
  <si>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</si>
  <si>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</si>
  <si>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</si>
  <si>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</si>
  <si>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</si>
  <si>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</si>
  <si>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</si>
  <si>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</si>
  <si>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</si>
  <si>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</si>
  <si>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</si>
  <si>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</si>
  <si>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</si>
  <si>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</si>
  <si>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 xml:space="preserve">ENFOQUE DIFERENCIAL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</si>
  <si>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</si>
  <si>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</si>
  <si>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</si>
  <si>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</si>
  <si>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</si>
  <si>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</si>
  <si>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</si>
  <si>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</si>
  <si>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</si>
  <si>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</si>
  <si>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</si>
  <si>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</si>
  <si>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</si>
  <si>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</si>
  <si>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</si>
  <si>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</si>
  <si>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LGBTI</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</si>
  <si>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</si>
  <si>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</si>
  <si>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</si>
  <si>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</si>
  <si>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</si>
  <si>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</si>
  <si>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</si>
  <si>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</si>
  <si>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Indigenas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</si>
  <si>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</si>
  <si>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</si>
  <si>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</si>
  <si>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</si>
  <si>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</si>
  <si>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</si>
  <si>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</si>
  <si>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</si>
  <si>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Afrodescendientes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</si>
  <si>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</si>
  <si>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</si>
  <si>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</si>
  <si>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</si>
  <si>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</si>
  <si>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</si>
  <si>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Raizales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</si>
  <si>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</si>
  <si>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</si>
  <si>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</si>
  <si>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</si>
  <si>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</si>
  <si>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No responde</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</si>
  <si>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</si>
  <si>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</si>
  <si>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</si>
  <si>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</si>
  <si>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</si>
  <si>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</si>
  <si>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</si>
  <si>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</si>
  <si>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</si>
  <si>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</si>
  <si>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</si>
  <si>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</si>
  <si>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</si>
  <si>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</si>
  <si>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</si>
  <si>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</si>
  <si>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</si>
  <si>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</si>
  <si>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</si>
  <si>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</si>
  <si>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</si>
  <si>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</si>
  <si>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</si>
  <si>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</si>
  <si>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</si>
  <si>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</si>
  <si>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</si>
  <si>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</si>
  <si>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</si>
  <si>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</si>
  <si>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</si>
  <si>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</si>
  <si>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</si>
  <si>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</si>
  <si>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</si>
  <si>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</si>
  <si>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</si>
  <si>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</si>
  <si>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</si>
  <si>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</si>
  <si>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</si>
  <si>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</si>
  <si>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</si>
  <si>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</si>
  <si>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</si>
  <si>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</si>
  <si>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</si>
  <si>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</si>
  <si>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</si>
  <si>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</si>
  <si>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</si>
  <si>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</si>
  <si>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</si>
  <si>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</si>
  <si>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</si>
  <si>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</si>
  <si>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</si>
  <si>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</si>
  <si>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</si>
  <si>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</si>
  <si>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</si>
  <si>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</si>
  <si>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</si>
  <si>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</si>
  <si>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</si>
  <si>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</si>
  <si>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</si>
  <si>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</si>
  <si>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</si>
  <si>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</si>
  <si>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</si>
  <si>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</si>
  <si>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</si>
  <si>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</si>
  <si>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</si>
  <si>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</si>
  <si>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</si>
  <si>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</si>
  <si>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</si>
  <si>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</si>
  <si>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</si>
  <si>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</si>
  <si>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</si>
  <si>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</si>
  <si>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</si>
  <si>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</si>
  <si>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</si>
  <si>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</si>
  <si>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</si>
  <si>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</si>
  <si>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</si>
  <si>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</si>
  <si>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</si>
  <si>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</si>
  <si>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</si>
  <si>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</si>
  <si>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</si>
  <si>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</si>
  <si>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</si>
  <si>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</si>
  <si>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</si>
  <si>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</si>
  <si>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</si>
  <si>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</si>
  <si>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</si>
  <si>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</si>
  <si>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</si>
  <si>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</si>
  <si>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</si>
  <si>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</si>
  <si>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</si>
  <si>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</si>
  <si>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</si>
  <si>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</si>
  <si>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</si>
  <si>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</si>
  <si>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</si>
  <si>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</si>
  <si>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</si>
  <si>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</si>
  <si>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</si>
  <si>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</si>
  <si>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</si>
  <si>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</si>
  <si>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</si>
  <si>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FORMULACIÓN Y SEGUIMIENTO PLAN DE ACCIÓN </t>
  </si>
  <si>
    <t>ANEXO - TERRITORIALIZACIÓN</t>
  </si>
  <si>
    <t>Página 3 de 3</t>
  </si>
  <si>
    <t xml:space="preserve">PRORAMACIÓN </t>
  </si>
  <si>
    <t>EJECUCIÓN</t>
  </si>
  <si>
    <t>PERIODO DE REPORTE:</t>
  </si>
  <si>
    <t>OCTUBRE</t>
  </si>
  <si>
    <t>INDICADOR / META:</t>
  </si>
  <si>
    <t>LOCALIDAD</t>
  </si>
  <si>
    <t>TOTAL POR LOCALIDAD</t>
  </si>
  <si>
    <t>GRUPO ETARIO</t>
  </si>
  <si>
    <t>Magnitud</t>
  </si>
  <si>
    <t>Presupuesto</t>
  </si>
  <si>
    <t>Discapacidad</t>
  </si>
  <si>
    <t>Menor de 12</t>
  </si>
  <si>
    <t>Entre 12 y 14</t>
  </si>
  <si>
    <t>Entre 15 y 28</t>
  </si>
  <si>
    <t>Entre 29 y 59</t>
  </si>
  <si>
    <t xml:space="preserve">Igual o mayo a 60 </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</si>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</sst>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000\ _€_-;\-* #,##0.000\ _€_-;_-* &quot;-&quot;\ _€_-;_-@"/>
    <numFmt numFmtId="184" formatCode="_-* #,##0\ _€_-;\-* #,##0\ _€_-;_-* &quot;-&quot;??\ _€_-;_-@_-"/>
    <numFmt numFmtId="185" formatCode="_-[$$-240A]\ * #,##0_-;\-[$$-240A]\ * #,##0_-;_-[$$-240A]\ * &quot;-&quot;??_-;_-@_-"/>
    <numFmt numFmtId="186" formatCode="0.000000%"/>
  </numFmts>
  <fonts count="60">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1"/>
      <name val="Calibri"/>
      <family val="2"/>
    </font>
    <font>
      <sz val="12"/>
      <color rgb="FF000000"/>
      <name val="Times New Roman"/>
      <family val="1"/>
    </font>
    <font>
      <sz val="11"/>
      <name val="Calibri"/>
      <family val="2"/>
    </font>
    <font>
      <sz val="10"/>
      <color rgb="FF000000"/>
      <name val="Times New Roman"/>
      <family val="1"/>
    </font>
    <font>
      <sz val="10"/>
      <name val="Arial"/>
      <family val="2"/>
    </font>
    <font>
      <b/>
      <sz val="11"/>
      <color rgb="FF000000"/>
      <name val="Calibri"/>
      <family val="2"/>
      <scheme val="minor"/>
    </font>
    <font>
      <sz val="11"/>
      <color rgb="FFFF0000"/>
      <name val="Calibri"/>
      <family val="2"/>
    </font>
    <font>
      <sz val="9"/>
      <name val="Times New Roman"/>
      <family val="1"/>
    </font>
    <font>
      <sz val="9"/>
      <color rgb="FF000000"/>
      <name val="Times New Roman"/>
      <family val="1"/>
    </font>
    <font>
      <sz val="11"/>
      <color rgb="FFFFFFFF"/>
      <name val="Calibri"/>
      <family val="2"/>
    </font>
    <font>
      <b/>
      <sz val="12"/>
      <color rgb="FF000000"/>
      <name val="Times New Roman"/>
      <family val="1"/>
    </font>
    <font>
      <sz val="12"/>
      <name val="Times New Roman"/>
      <family val="1"/>
    </font>
    <font>
      <sz val="12"/>
      <color rgb="FFFF0000"/>
      <name val="Times New Roman"/>
      <family val="1"/>
    </font>
    <font>
      <sz val="12"/>
      <color theme="1"/>
      <name val="Times New Roman"/>
      <family val="1"/>
    </font>
  </fonts>
  <fills count="48">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s>
  <borders count="132">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style="dotted">
        <color rgb="FF000000"/>
      </left>
      <right style="dotted">
        <color rgb="FF000000"/>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thin">
        <color rgb="FF000000"/>
      </bottom>
      <diagonal/>
    </border>
  </borders>
  <cellStyleXfs count="20">
    <xf numFmtId="0" fontId="0" fillId="0" borderId="0"/>
    <xf numFmtId="41" fontId="21" fillId="0" borderId="0" applyFont="0" applyFill="0" applyBorder="0" applyAlignment="0" applyProtection="0"/>
    <xf numFmtId="9" fontId="25" fillId="0" borderId="0" applyFont="0" applyFill="0" applyBorder="0" applyAlignment="0" applyProtection="0"/>
    <xf numFmtId="0" fontId="4" fillId="0" borderId="69"/>
    <xf numFmtId="0" fontId="7" fillId="0" borderId="69"/>
    <xf numFmtId="0" fontId="46"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6" fillId="0" borderId="69"/>
    <xf numFmtId="0" fontId="46" fillId="0" borderId="69"/>
    <xf numFmtId="44" fontId="48" fillId="0" borderId="0" applyFont="0" applyFill="0" applyBorder="0" applyAlignment="0" applyProtection="0"/>
    <xf numFmtId="0" fontId="50"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cellStyleXfs>
  <cellXfs count="940">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6" fillId="0" borderId="69" xfId="3" applyFont="1"/>
    <xf numFmtId="0" fontId="4" fillId="0" borderId="69" xfId="3"/>
    <xf numFmtId="9" fontId="4" fillId="0" borderId="69" xfId="3" applyNumberFormat="1"/>
    <xf numFmtId="2" fontId="4" fillId="0" borderId="69" xfId="3" applyNumberFormat="1"/>
    <xf numFmtId="0" fontId="28" fillId="0" borderId="69" xfId="3" applyFont="1"/>
    <xf numFmtId="0" fontId="29" fillId="0" borderId="69" xfId="3" applyFont="1" applyAlignment="1">
      <alignment vertical="center"/>
    </xf>
    <xf numFmtId="0" fontId="29" fillId="0" borderId="69" xfId="3" applyFont="1" applyAlignment="1">
      <alignment horizontal="center" vertical="center" wrapText="1"/>
    </xf>
    <xf numFmtId="0" fontId="30"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2" fillId="0" borderId="0" xfId="0" applyFont="1" applyAlignment="1">
      <alignment vertical="center" wrapText="1"/>
    </xf>
    <xf numFmtId="0" fontId="32" fillId="0" borderId="0" xfId="0" applyFont="1"/>
    <xf numFmtId="0" fontId="33" fillId="0" borderId="58" xfId="0" applyFont="1" applyBorder="1" applyAlignment="1">
      <alignment horizontal="center" vertical="center" wrapText="1"/>
    </xf>
    <xf numFmtId="172" fontId="33" fillId="23" borderId="58" xfId="0" applyNumberFormat="1" applyFont="1" applyFill="1" applyBorder="1" applyAlignment="1">
      <alignment horizontal="center" vertical="center" wrapText="1"/>
    </xf>
    <xf numFmtId="0" fontId="33" fillId="23" borderId="58" xfId="0" applyFont="1" applyFill="1" applyBorder="1" applyAlignment="1">
      <alignment horizontal="center" vertical="center"/>
    </xf>
    <xf numFmtId="172" fontId="33" fillId="24" borderId="58" xfId="0" applyNumberFormat="1" applyFont="1" applyFill="1" applyBorder="1" applyAlignment="1">
      <alignment horizontal="center" vertical="center" wrapText="1"/>
    </xf>
    <xf numFmtId="0" fontId="33" fillId="24" borderId="58" xfId="0" applyFont="1" applyFill="1" applyBorder="1" applyAlignment="1">
      <alignment horizontal="center" vertical="center"/>
    </xf>
    <xf numFmtId="0" fontId="32" fillId="0" borderId="0" xfId="0" applyFont="1" applyAlignment="1">
      <alignment vertical="center"/>
    </xf>
    <xf numFmtId="0" fontId="32" fillId="0" borderId="58" xfId="0" applyFont="1" applyBorder="1" applyAlignment="1">
      <alignment vertical="center" wrapText="1"/>
    </xf>
    <xf numFmtId="172" fontId="32" fillId="23" borderId="58" xfId="0" applyNumberFormat="1" applyFont="1" applyFill="1" applyBorder="1" applyAlignment="1">
      <alignment vertical="center" wrapText="1"/>
    </xf>
    <xf numFmtId="9" fontId="32" fillId="23" borderId="58" xfId="2" applyFont="1" applyFill="1" applyBorder="1" applyAlignment="1">
      <alignment vertical="center" wrapText="1"/>
    </xf>
    <xf numFmtId="172" fontId="32" fillId="24" borderId="58" xfId="0" applyNumberFormat="1" applyFont="1" applyFill="1" applyBorder="1" applyAlignment="1">
      <alignment vertical="center" wrapText="1"/>
    </xf>
    <xf numFmtId="9" fontId="32" fillId="24" borderId="58" xfId="2" applyFont="1" applyFill="1" applyBorder="1" applyAlignment="1">
      <alignment vertical="center" wrapText="1"/>
    </xf>
    <xf numFmtId="0" fontId="33" fillId="0" borderId="58" xfId="0" applyFont="1" applyBorder="1" applyAlignment="1">
      <alignment horizontal="right" vertical="center" wrapText="1"/>
    </xf>
    <xf numFmtId="172" fontId="33" fillId="0" borderId="58" xfId="0" applyNumberFormat="1" applyFont="1" applyBorder="1" applyAlignment="1">
      <alignment vertical="center" wrapText="1"/>
    </xf>
    <xf numFmtId="9" fontId="33" fillId="0" borderId="58" xfId="2" applyFont="1" applyBorder="1" applyAlignment="1">
      <alignment vertical="center" wrapText="1"/>
    </xf>
    <xf numFmtId="172" fontId="32" fillId="0" borderId="0" xfId="0" applyNumberFormat="1" applyFont="1" applyAlignment="1">
      <alignment vertical="center" wrapText="1"/>
    </xf>
    <xf numFmtId="0" fontId="32" fillId="0" borderId="0" xfId="0" applyFont="1" applyAlignment="1">
      <alignment horizontal="center"/>
    </xf>
    <xf numFmtId="172" fontId="33" fillId="0" borderId="58" xfId="0" applyNumberFormat="1" applyFont="1" applyBorder="1" applyAlignment="1">
      <alignment horizontal="right" vertical="center"/>
    </xf>
    <xf numFmtId="172" fontId="33" fillId="0" borderId="58" xfId="0" applyNumberFormat="1" applyFont="1" applyBorder="1" applyAlignment="1">
      <alignment vertical="center"/>
    </xf>
    <xf numFmtId="0" fontId="33"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4"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7" fontId="23"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6" xfId="0" applyNumberFormat="1" applyFont="1" applyFill="1" applyBorder="1" applyAlignment="1">
      <alignment horizontal="center" vertical="center" wrapText="1"/>
    </xf>
    <xf numFmtId="9" fontId="6" fillId="0" borderId="96" xfId="0" applyNumberFormat="1" applyFont="1" applyBorder="1" applyAlignment="1">
      <alignment horizontal="center" vertical="center" wrapText="1"/>
    </xf>
    <xf numFmtId="0" fontId="29" fillId="0" borderId="69" xfId="3" applyFont="1" applyAlignment="1">
      <alignment vertical="center" wrapText="1"/>
    </xf>
    <xf numFmtId="0" fontId="35"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2" fillId="24" borderId="58" xfId="2" applyNumberFormat="1" applyFont="1" applyFill="1" applyBorder="1" applyAlignment="1">
      <alignment vertical="center" wrapText="1"/>
    </xf>
    <xf numFmtId="173" fontId="32" fillId="23" borderId="58" xfId="2" applyNumberFormat="1" applyFont="1" applyFill="1" applyBorder="1" applyAlignment="1">
      <alignment vertical="center" wrapText="1"/>
    </xf>
    <xf numFmtId="173" fontId="33" fillId="0" borderId="58" xfId="2" applyNumberFormat="1" applyFont="1" applyBorder="1" applyAlignment="1">
      <alignment vertical="center" wrapText="1"/>
    </xf>
    <xf numFmtId="9" fontId="33" fillId="0" borderId="58" xfId="2" applyFont="1" applyBorder="1" applyAlignment="1">
      <alignment vertical="center"/>
    </xf>
    <xf numFmtId="10" fontId="33"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3"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182"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2" fillId="0" borderId="58" xfId="0" applyFont="1" applyBorder="1"/>
    <xf numFmtId="0" fontId="33" fillId="0" borderId="58" xfId="0" applyFont="1" applyBorder="1"/>
    <xf numFmtId="0" fontId="11" fillId="0" borderId="0" xfId="0" applyFont="1"/>
    <xf numFmtId="3" fontId="32"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2" fillId="0" borderId="0" xfId="0" applyNumberFormat="1" applyFont="1"/>
    <xf numFmtId="3" fontId="32" fillId="0" borderId="0" xfId="0" applyNumberFormat="1" applyFont="1" applyAlignment="1">
      <alignment vertical="center"/>
    </xf>
    <xf numFmtId="3" fontId="32" fillId="35" borderId="0" xfId="0" applyNumberFormat="1" applyFont="1" applyFill="1"/>
    <xf numFmtId="3" fontId="32" fillId="36" borderId="0" xfId="0" applyNumberFormat="1" applyFont="1" applyFill="1"/>
    <xf numFmtId="3" fontId="32" fillId="37" borderId="0" xfId="0" applyNumberFormat="1" applyFont="1" applyFill="1"/>
    <xf numFmtId="0" fontId="26"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0" fontId="7" fillId="0" borderId="58" xfId="0" applyFont="1" applyBorder="1"/>
    <xf numFmtId="3" fontId="32" fillId="30" borderId="58" xfId="0" applyNumberFormat="1" applyFont="1" applyFill="1" applyBorder="1" applyAlignment="1">
      <alignment vertical="center"/>
    </xf>
    <xf numFmtId="1" fontId="32" fillId="37" borderId="58" xfId="0" applyNumberFormat="1" applyFont="1" applyFill="1" applyBorder="1" applyAlignment="1">
      <alignment horizontal="center" vertical="center"/>
    </xf>
    <xf numFmtId="3" fontId="32"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2" fillId="34" borderId="58" xfId="0" applyNumberFormat="1" applyFont="1" applyFill="1" applyBorder="1" applyAlignment="1">
      <alignment horizontal="center" vertical="center"/>
    </xf>
    <xf numFmtId="17" fontId="32" fillId="0" borderId="0" xfId="0" applyNumberFormat="1" applyFont="1" applyAlignment="1">
      <alignment vertical="center" wrapText="1"/>
    </xf>
    <xf numFmtId="172" fontId="32"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40" fillId="0" borderId="58" xfId="0" applyFont="1" applyBorder="1"/>
    <xf numFmtId="3" fontId="32"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8" borderId="58" xfId="0" applyFont="1" applyFill="1" applyBorder="1"/>
    <xf numFmtId="3" fontId="42" fillId="38" borderId="58" xfId="0" applyNumberFormat="1" applyFont="1" applyFill="1" applyBorder="1"/>
    <xf numFmtId="3" fontId="42" fillId="38" borderId="59" xfId="0" applyNumberFormat="1" applyFont="1" applyFill="1" applyBorder="1"/>
    <xf numFmtId="4" fontId="5" fillId="0" borderId="32" xfId="4" applyNumberFormat="1" applyFont="1" applyBorder="1" applyAlignment="1">
      <alignment vertical="center" wrapText="1"/>
    </xf>
    <xf numFmtId="9" fontId="0" fillId="0" borderId="0" xfId="2" applyFont="1"/>
    <xf numFmtId="0" fontId="36" fillId="0" borderId="0" xfId="0" applyFont="1"/>
    <xf numFmtId="3" fontId="39"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3"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3"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5" fillId="0" borderId="40" xfId="0" applyFont="1" applyBorder="1" applyAlignment="1">
      <alignment horizontal="justify" vertical="center" wrapText="1"/>
    </xf>
    <xf numFmtId="0" fontId="0" fillId="0" borderId="0" xfId="0" applyAlignment="1">
      <alignment horizontal="justify" vertical="center" wrapText="1"/>
    </xf>
    <xf numFmtId="0" fontId="5" fillId="0" borderId="32" xfId="4"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4" fontId="6" fillId="4" borderId="38" xfId="0" applyNumberFormat="1" applyFont="1" applyFill="1" applyBorder="1" applyAlignment="1">
      <alignment horizontal="right" vertical="center" wrapText="1"/>
    </xf>
    <xf numFmtId="9" fontId="11" fillId="0" borderId="69" xfId="0" applyNumberFormat="1" applyFont="1" applyBorder="1" applyAlignment="1">
      <alignment horizontal="center" vertical="center"/>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49"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3" xfId="0" applyNumberFormat="1" applyFont="1" applyBorder="1" applyAlignment="1">
      <alignment vertical="center"/>
    </xf>
    <xf numFmtId="1" fontId="0" fillId="9" borderId="125"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1" xfId="12" applyFont="1" applyFill="1" applyBorder="1" applyAlignment="1">
      <alignment vertical="center" wrapText="1"/>
    </xf>
    <xf numFmtId="0" fontId="5" fillId="46" borderId="69" xfId="12" applyFont="1" applyFill="1" applyAlignment="1">
      <alignment vertical="center" wrapText="1"/>
    </xf>
    <xf numFmtId="0" fontId="6" fillId="43" borderId="58" xfId="12" applyFont="1" applyFill="1" applyBorder="1" applyAlignment="1">
      <alignment horizontal="center" vertical="center" wrapText="1"/>
    </xf>
    <xf numFmtId="0" fontId="6" fillId="46" borderId="111"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2"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4"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173" fontId="5" fillId="0" borderId="32" xfId="4" applyNumberFormat="1" applyFont="1" applyBorder="1" applyAlignment="1">
      <alignment vertical="center" wrapText="1"/>
    </xf>
    <xf numFmtId="9" fontId="53" fillId="0" borderId="32" xfId="4" applyNumberFormat="1" applyFont="1" applyBorder="1" applyAlignment="1">
      <alignment horizontal="justify" vertical="center" wrapText="1"/>
    </xf>
    <xf numFmtId="0" fontId="53" fillId="0" borderId="32" xfId="4" applyFont="1" applyBorder="1" applyAlignment="1">
      <alignment horizontal="justify" vertical="center" wrapText="1"/>
    </xf>
    <xf numFmtId="0" fontId="54" fillId="0" borderId="32" xfId="4" applyFont="1" applyBorder="1" applyAlignment="1">
      <alignment horizontal="justify" vertical="center" wrapText="1"/>
    </xf>
    <xf numFmtId="0" fontId="11" fillId="0" borderId="69" xfId="0" applyFont="1" applyBorder="1" applyAlignment="1">
      <alignment vertical="center"/>
    </xf>
    <xf numFmtId="0" fontId="0" fillId="0" borderId="0" xfId="0" applyAlignment="1">
      <alignment vertical="center" wrapText="1"/>
    </xf>
    <xf numFmtId="0" fontId="55" fillId="0" borderId="0" xfId="0" applyFont="1" applyAlignment="1">
      <alignment vertical="center" wrapText="1"/>
    </xf>
    <xf numFmtId="185" fontId="0" fillId="0" borderId="29" xfId="0" applyNumberFormat="1" applyBorder="1" applyAlignment="1">
      <alignment vertical="center"/>
    </xf>
    <xf numFmtId="185" fontId="0" fillId="0" borderId="32" xfId="0" applyNumberFormat="1" applyBorder="1" applyAlignment="1">
      <alignment vertical="center"/>
    </xf>
    <xf numFmtId="185" fontId="0" fillId="0" borderId="36" xfId="0" applyNumberFormat="1" applyBorder="1" applyAlignment="1">
      <alignment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4" fontId="1" fillId="0" borderId="58" xfId="19" applyNumberFormat="1" applyFont="1" applyBorder="1" applyAlignment="1">
      <alignment vertical="center"/>
    </xf>
    <xf numFmtId="0" fontId="26" fillId="34" borderId="69" xfId="17" applyFont="1" applyFill="1" applyAlignment="1">
      <alignment horizontal="center" vertical="center" wrapText="1"/>
    </xf>
    <xf numFmtId="0" fontId="51" fillId="0" borderId="58" xfId="17" applyFont="1" applyBorder="1" applyAlignment="1">
      <alignment horizontal="center" vertical="center" wrapText="1"/>
    </xf>
    <xf numFmtId="0" fontId="51" fillId="0" borderId="69" xfId="17" applyFont="1" applyAlignment="1">
      <alignment horizontal="center" vertical="center" wrapText="1"/>
    </xf>
    <xf numFmtId="0" fontId="30"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41" fontId="1" fillId="0" borderId="58" xfId="17" applyNumberFormat="1" applyBorder="1" applyAlignment="1">
      <alignment vertical="center"/>
    </xf>
    <xf numFmtId="4" fontId="1" fillId="0" borderId="69" xfId="17" applyNumberFormat="1" applyAlignment="1">
      <alignment vertical="center"/>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9" fontId="26" fillId="0" borderId="129" xfId="17" applyNumberFormat="1" applyFont="1" applyBorder="1" applyAlignment="1">
      <alignment horizontal="center"/>
    </xf>
    <xf numFmtId="173" fontId="1" fillId="0" borderId="69" xfId="7" applyNumberFormat="1" applyFont="1" applyBorder="1" applyAlignment="1">
      <alignment vertical="center"/>
    </xf>
    <xf numFmtId="173" fontId="1" fillId="0" borderId="69" xfId="17" applyNumberFormat="1" applyAlignment="1">
      <alignment vertical="center"/>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0" fontId="1" fillId="0" borderId="69" xfId="3" applyFont="1"/>
    <xf numFmtId="9" fontId="1" fillId="0" borderId="69" xfId="3" applyNumberFormat="1" applyFont="1" applyAlignment="1">
      <alignment vertical="center"/>
    </xf>
    <xf numFmtId="0" fontId="1" fillId="0" borderId="69" xfId="3" applyFont="1" applyAlignment="1">
      <alignment vertical="center"/>
    </xf>
    <xf numFmtId="49" fontId="1" fillId="0" borderId="69" xfId="3" applyNumberFormat="1" applyFont="1" applyAlignment="1">
      <alignment vertical="center"/>
    </xf>
    <xf numFmtId="3" fontId="6" fillId="4" borderId="40" xfId="4" applyNumberFormat="1" applyFont="1" applyFill="1" applyBorder="1" applyAlignment="1">
      <alignment horizontal="center" vertical="center" wrapText="1"/>
    </xf>
    <xf numFmtId="3" fontId="6" fillId="4" borderId="130" xfId="4" applyNumberFormat="1" applyFont="1" applyFill="1" applyBorder="1" applyAlignment="1">
      <alignment horizontal="center" vertical="center" wrapText="1"/>
    </xf>
    <xf numFmtId="4" fontId="5" fillId="0" borderId="31" xfId="4" applyNumberFormat="1" applyFont="1" applyBorder="1" applyAlignment="1">
      <alignment vertical="center" wrapText="1"/>
    </xf>
    <xf numFmtId="177" fontId="5" fillId="0" borderId="31" xfId="4" applyNumberFormat="1" applyFont="1" applyBorder="1" applyAlignment="1">
      <alignment vertical="center" wrapText="1"/>
    </xf>
    <xf numFmtId="3" fontId="5" fillId="0" borderId="31" xfId="4" applyNumberFormat="1" applyFont="1" applyBorder="1" applyAlignment="1">
      <alignment vertical="center" wrapText="1"/>
    </xf>
    <xf numFmtId="3" fontId="5" fillId="0" borderId="31" xfId="4" applyNumberFormat="1" applyFont="1" applyBorder="1" applyAlignment="1">
      <alignment horizontal="center" vertical="center" wrapText="1"/>
    </xf>
    <xf numFmtId="3" fontId="5" fillId="0" borderId="35" xfId="4" applyNumberFormat="1" applyFont="1" applyBorder="1" applyAlignment="1">
      <alignment horizontal="center" vertical="center" wrapText="1"/>
    </xf>
    <xf numFmtId="3" fontId="5" fillId="0" borderId="36" xfId="4" applyNumberFormat="1" applyFont="1" applyBorder="1" applyAlignment="1">
      <alignment horizontal="center" vertical="center" wrapText="1"/>
    </xf>
    <xf numFmtId="3" fontId="5" fillId="0" borderId="36" xfId="4" applyNumberFormat="1" applyFont="1" applyBorder="1" applyAlignment="1">
      <alignment vertical="center" wrapText="1"/>
    </xf>
    <xf numFmtId="0" fontId="5" fillId="0" borderId="53" xfId="4" applyFont="1" applyBorder="1" applyAlignment="1">
      <alignment horizontal="justify" vertical="center" wrapText="1"/>
    </xf>
    <xf numFmtId="165" fontId="5" fillId="0" borderId="53" xfId="4" applyNumberFormat="1" applyFont="1" applyBorder="1" applyAlignment="1">
      <alignment horizontal="justify" vertical="center" wrapText="1"/>
    </xf>
    <xf numFmtId="3" fontId="6" fillId="4" borderId="62" xfId="4" applyNumberFormat="1" applyFont="1" applyFill="1" applyBorder="1" applyAlignment="1">
      <alignment horizontal="center" vertical="center" wrapText="1"/>
    </xf>
    <xf numFmtId="3" fontId="5" fillId="0" borderId="63" xfId="4" applyNumberFormat="1" applyFont="1" applyBorder="1" applyAlignment="1">
      <alignment vertical="center" wrapText="1"/>
    </xf>
    <xf numFmtId="4" fontId="5" fillId="0" borderId="28" xfId="4" applyNumberFormat="1" applyFont="1" applyBorder="1" applyAlignment="1">
      <alignment vertical="center" wrapText="1"/>
    </xf>
    <xf numFmtId="4" fontId="5" fillId="0" borderId="29" xfId="4" applyNumberFormat="1" applyFont="1" applyBorder="1" applyAlignment="1">
      <alignment vertical="center" wrapText="1"/>
    </xf>
    <xf numFmtId="3" fontId="5" fillId="0" borderId="35" xfId="4" applyNumberFormat="1" applyFont="1" applyBorder="1" applyAlignment="1">
      <alignment horizontal="right" vertical="center" wrapText="1"/>
    </xf>
    <xf numFmtId="3" fontId="5" fillId="0" borderId="36" xfId="4" applyNumberFormat="1" applyFont="1" applyBorder="1" applyAlignment="1">
      <alignment horizontal="right" vertical="center" wrapText="1"/>
    </xf>
    <xf numFmtId="3" fontId="5" fillId="28" borderId="36" xfId="4" applyNumberFormat="1" applyFont="1" applyFill="1" applyBorder="1" applyAlignment="1">
      <alignment vertical="center" wrapText="1"/>
    </xf>
    <xf numFmtId="4" fontId="5" fillId="0" borderId="53" xfId="4" applyNumberFormat="1" applyFont="1" applyBorder="1" applyAlignment="1">
      <alignment vertical="center" wrapText="1"/>
    </xf>
    <xf numFmtId="177" fontId="5" fillId="0" borderId="53" xfId="4" applyNumberFormat="1" applyFont="1" applyBorder="1" applyAlignment="1">
      <alignment vertical="center" wrapText="1"/>
    </xf>
    <xf numFmtId="3" fontId="5" fillId="0" borderId="53" xfId="4" applyNumberFormat="1" applyFont="1" applyBorder="1" applyAlignment="1">
      <alignment horizontal="right" vertical="center" wrapText="1"/>
    </xf>
    <xf numFmtId="3" fontId="5" fillId="0" borderId="53" xfId="4" applyNumberFormat="1" applyFont="1" applyBorder="1" applyAlignment="1">
      <alignment vertical="center" wrapText="1"/>
    </xf>
    <xf numFmtId="3" fontId="5" fillId="0" borderId="66" xfId="4" applyNumberFormat="1" applyFont="1" applyBorder="1" applyAlignment="1">
      <alignment vertical="center" wrapText="1"/>
    </xf>
    <xf numFmtId="9" fontId="5" fillId="0" borderId="131" xfId="4" applyNumberFormat="1" applyFont="1" applyBorder="1" applyAlignment="1">
      <alignment horizontal="center" vertical="center" wrapText="1"/>
    </xf>
    <xf numFmtId="4" fontId="5" fillId="0" borderId="31" xfId="4" applyNumberFormat="1" applyFont="1" applyBorder="1" applyAlignment="1">
      <alignment horizontal="center" vertical="center" wrapText="1"/>
    </xf>
    <xf numFmtId="9" fontId="5" fillId="0" borderId="33" xfId="4" applyNumberFormat="1" applyFont="1" applyBorder="1" applyAlignment="1">
      <alignment horizontal="center" vertical="center" wrapText="1"/>
    </xf>
    <xf numFmtId="173" fontId="5" fillId="0" borderId="31" xfId="4" applyNumberFormat="1" applyFont="1" applyBorder="1" applyAlignment="1">
      <alignment horizontal="center" vertical="center" wrapText="1"/>
    </xf>
    <xf numFmtId="43" fontId="5" fillId="0" borderId="33" xfId="4" applyNumberFormat="1" applyFont="1" applyBorder="1" applyAlignment="1">
      <alignment horizontal="center" vertical="center" wrapText="1"/>
    </xf>
    <xf numFmtId="9" fontId="5" fillId="0" borderId="37" xfId="4" applyNumberFormat="1" applyFont="1" applyBorder="1" applyAlignment="1">
      <alignment horizontal="center" vertical="center" wrapText="1"/>
    </xf>
    <xf numFmtId="173" fontId="5" fillId="0" borderId="53" xfId="4" applyNumberFormat="1" applyFont="1" applyBorder="1" applyAlignment="1">
      <alignment vertical="center" wrapText="1"/>
    </xf>
    <xf numFmtId="9" fontId="53" fillId="0" borderId="63" xfId="4" applyNumberFormat="1" applyFont="1" applyBorder="1" applyAlignment="1">
      <alignment horizontal="justify" vertical="center" wrapText="1"/>
    </xf>
    <xf numFmtId="0" fontId="53" fillId="0" borderId="63" xfId="4" applyFont="1" applyBorder="1" applyAlignment="1">
      <alignment horizontal="justify" vertical="center" wrapText="1"/>
    </xf>
    <xf numFmtId="9" fontId="54" fillId="0" borderId="63" xfId="4" applyNumberFormat="1" applyFont="1" applyBorder="1" applyAlignment="1">
      <alignment horizontal="justify" vertical="center" wrapText="1"/>
    </xf>
    <xf numFmtId="9" fontId="53" fillId="0" borderId="63" xfId="4" applyNumberFormat="1" applyFont="1" applyBorder="1" applyAlignment="1">
      <alignment horizontal="justify" vertical="top" wrapText="1"/>
    </xf>
    <xf numFmtId="5" fontId="7" fillId="0" borderId="32" xfId="0" applyNumberFormat="1" applyFont="1" applyBorder="1" applyAlignment="1">
      <alignment vertical="center"/>
    </xf>
    <xf numFmtId="166" fontId="55" fillId="0" borderId="0" xfId="0" applyNumberFormat="1" applyFont="1" applyAlignment="1">
      <alignment vertical="center"/>
    </xf>
    <xf numFmtId="1" fontId="9" fillId="0" borderId="0" xfId="0" applyNumberFormat="1" applyFont="1" applyAlignment="1">
      <alignment vertical="center" wrapText="1"/>
    </xf>
    <xf numFmtId="178" fontId="24" fillId="0" borderId="32" xfId="4" applyNumberFormat="1" applyFont="1" applyBorder="1" applyAlignment="1">
      <alignment horizontal="center" vertical="center" wrapText="1"/>
    </xf>
    <xf numFmtId="167" fontId="0" fillId="0" borderId="0" xfId="0" applyNumberFormat="1" applyAlignment="1">
      <alignment vertical="center"/>
    </xf>
    <xf numFmtId="3" fontId="0" fillId="0" borderId="0" xfId="0" applyNumberFormat="1" applyAlignment="1">
      <alignment vertical="center"/>
    </xf>
    <xf numFmtId="9" fontId="53" fillId="46" borderId="63" xfId="4" applyNumberFormat="1" applyFont="1" applyFill="1" applyBorder="1" applyAlignment="1">
      <alignment horizontal="justify" vertical="top" wrapText="1"/>
    </xf>
    <xf numFmtId="3" fontId="5" fillId="46" borderId="32" xfId="4" applyNumberFormat="1" applyFont="1" applyFill="1" applyBorder="1" applyAlignment="1">
      <alignment vertical="center" wrapText="1"/>
    </xf>
    <xf numFmtId="3" fontId="18" fillId="46" borderId="32" xfId="4" applyNumberFormat="1" applyFont="1" applyFill="1" applyBorder="1" applyAlignment="1">
      <alignment vertical="center" wrapText="1"/>
    </xf>
    <xf numFmtId="9" fontId="53" fillId="46" borderId="63" xfId="4" applyNumberFormat="1" applyFont="1" applyFill="1" applyBorder="1" applyAlignment="1">
      <alignment horizontal="justify" vertical="center" wrapText="1"/>
    </xf>
    <xf numFmtId="4" fontId="5" fillId="46" borderId="31" xfId="4" applyNumberFormat="1" applyFont="1" applyFill="1" applyBorder="1" applyAlignment="1">
      <alignment horizontal="center" vertical="center" wrapText="1"/>
    </xf>
    <xf numFmtId="4" fontId="5" fillId="46" borderId="28" xfId="4" applyNumberFormat="1" applyFont="1" applyFill="1" applyBorder="1" applyAlignment="1">
      <alignment horizontal="center" vertical="center" wrapText="1"/>
    </xf>
    <xf numFmtId="0" fontId="0" fillId="0" borderId="63" xfId="0" applyBorder="1"/>
    <xf numFmtId="167" fontId="0" fillId="28" borderId="32" xfId="0" applyNumberFormat="1" applyFill="1" applyBorder="1" applyAlignment="1">
      <alignment vertical="center"/>
    </xf>
    <xf numFmtId="9" fontId="0" fillId="28" borderId="33" xfId="0" applyNumberFormat="1" applyFill="1" applyBorder="1" applyAlignment="1">
      <alignment vertical="center"/>
    </xf>
    <xf numFmtId="167" fontId="0" fillId="28" borderId="32" xfId="0" applyNumberFormat="1" applyFill="1" applyBorder="1" applyAlignment="1">
      <alignment horizontal="right" vertical="center"/>
    </xf>
    <xf numFmtId="9" fontId="53" fillId="0" borderId="63" xfId="4" applyNumberFormat="1" applyFont="1" applyBorder="1" applyAlignment="1">
      <alignment horizontal="left" vertical="center" wrapText="1"/>
    </xf>
    <xf numFmtId="5" fontId="52" fillId="0" borderId="29" xfId="0" applyNumberFormat="1" applyFont="1" applyBorder="1" applyAlignment="1">
      <alignment vertical="center"/>
    </xf>
    <xf numFmtId="9" fontId="6" fillId="4" borderId="32" xfId="0" applyNumberFormat="1" applyFont="1" applyFill="1" applyBorder="1" applyAlignment="1">
      <alignment horizontal="left" vertical="center" wrapText="1"/>
    </xf>
    <xf numFmtId="2" fontId="0" fillId="35" borderId="54" xfId="0" applyNumberFormat="1" applyFill="1" applyBorder="1" applyAlignment="1">
      <alignment horizontal="center" vertical="center"/>
    </xf>
    <xf numFmtId="9" fontId="0" fillId="0" borderId="0" xfId="0" applyNumberFormat="1" applyAlignment="1">
      <alignment vertical="center"/>
    </xf>
    <xf numFmtId="186" fontId="0" fillId="0" borderId="0" xfId="0" applyNumberFormat="1" applyAlignment="1">
      <alignment vertical="center"/>
    </xf>
    <xf numFmtId="1" fontId="9" fillId="0" borderId="69" xfId="0" applyNumberFormat="1" applyFont="1" applyBorder="1" applyAlignment="1">
      <alignment vertical="center" wrapText="1"/>
    </xf>
    <xf numFmtId="3" fontId="5" fillId="0" borderId="31" xfId="4" applyNumberFormat="1" applyFont="1" applyBorder="1" applyAlignment="1">
      <alignment horizontal="right" vertical="center" wrapText="1"/>
    </xf>
    <xf numFmtId="3" fontId="18" fillId="0" borderId="32" xfId="4" applyNumberFormat="1" applyFont="1" applyBorder="1" applyAlignment="1">
      <alignment vertical="center" wrapText="1"/>
    </xf>
    <xf numFmtId="9" fontId="5" fillId="46" borderId="33" xfId="4" applyNumberFormat="1" applyFont="1" applyFill="1" applyBorder="1" applyAlignment="1">
      <alignment horizontal="center" vertical="center" wrapText="1"/>
    </xf>
    <xf numFmtId="172" fontId="52" fillId="0" borderId="29" xfId="0" applyNumberFormat="1" applyFont="1" applyBorder="1" applyAlignment="1">
      <alignment vertical="center"/>
    </xf>
    <xf numFmtId="0" fontId="5" fillId="0" borderId="38" xfId="0" applyFont="1" applyBorder="1" applyAlignment="1">
      <alignment vertical="center" wrapText="1"/>
    </xf>
    <xf numFmtId="0" fontId="5" fillId="0" borderId="68" xfId="0" applyFont="1" applyBorder="1" applyAlignment="1">
      <alignment vertical="center" wrapText="1"/>
    </xf>
    <xf numFmtId="0" fontId="5" fillId="0" borderId="46" xfId="0" applyFont="1" applyBorder="1" applyAlignment="1">
      <alignment vertical="center" wrapText="1"/>
    </xf>
    <xf numFmtId="0" fontId="0" fillId="0" borderId="69" xfId="0" applyBorder="1" applyAlignment="1">
      <alignment horizontal="justify" vertical="center" wrapText="1"/>
    </xf>
    <xf numFmtId="9" fontId="11" fillId="0" borderId="69" xfId="0" applyNumberFormat="1" applyFont="1" applyBorder="1" applyAlignment="1">
      <alignment horizontal="justify" vertical="center" wrapText="1"/>
    </xf>
    <xf numFmtId="2" fontId="11" fillId="0" borderId="69" xfId="0" applyNumberFormat="1" applyFont="1" applyBorder="1" applyAlignment="1">
      <alignment horizontal="center" vertical="center"/>
    </xf>
    <xf numFmtId="2" fontId="5" fillId="0" borderId="58" xfId="12" applyNumberFormat="1" applyFont="1" applyBorder="1" applyAlignment="1">
      <alignment vertical="center" wrapText="1"/>
    </xf>
    <xf numFmtId="10" fontId="5" fillId="0" borderId="58"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173" fontId="5" fillId="0" borderId="104" xfId="18" applyNumberFormat="1" applyFont="1" applyFill="1" applyBorder="1" applyAlignment="1" applyProtection="1">
      <alignment horizontal="center" vertical="center" wrapText="1"/>
    </xf>
    <xf numFmtId="173" fontId="5" fillId="0" borderId="126" xfId="18" applyNumberFormat="1" applyFont="1" applyFill="1" applyBorder="1" applyAlignment="1" applyProtection="1">
      <alignment horizontal="center" vertical="center" wrapText="1"/>
    </xf>
    <xf numFmtId="173" fontId="5" fillId="0" borderId="105" xfId="18" applyNumberFormat="1" applyFont="1" applyFill="1" applyBorder="1" applyAlignment="1" applyProtection="1">
      <alignment horizontal="center" vertical="center" wrapText="1"/>
    </xf>
    <xf numFmtId="0" fontId="6" fillId="43" borderId="58" xfId="12" applyFont="1" applyFill="1" applyBorder="1" applyAlignment="1">
      <alignment horizontal="center" vertical="center" wrapText="1"/>
    </xf>
    <xf numFmtId="0" fontId="30" fillId="0" borderId="104" xfId="12" applyFont="1" applyBorder="1" applyAlignment="1">
      <alignment horizontal="left" vertical="center" wrapText="1"/>
    </xf>
    <xf numFmtId="0" fontId="30" fillId="0" borderId="126" xfId="12" applyFont="1" applyBorder="1" applyAlignment="1">
      <alignment horizontal="left" vertical="center" wrapText="1"/>
    </xf>
    <xf numFmtId="0" fontId="30" fillId="0" borderId="105" xfId="12" applyFont="1" applyBorder="1" applyAlignment="1">
      <alignment horizontal="left" vertical="center" wrapText="1"/>
    </xf>
    <xf numFmtId="0" fontId="30" fillId="0" borderId="58" xfId="17" applyFont="1" applyBorder="1" applyAlignment="1">
      <alignment horizontal="justify" vertical="center" wrapText="1"/>
    </xf>
    <xf numFmtId="9" fontId="30" fillId="0" borderId="58" xfId="17" applyNumberFormat="1" applyFont="1" applyBorder="1" applyAlignment="1">
      <alignment horizontal="center" vertical="center" wrapText="1"/>
    </xf>
    <xf numFmtId="0" fontId="30" fillId="0" borderId="58" xfId="17" applyFont="1" applyBorder="1" applyAlignment="1">
      <alignment horizontal="center" vertical="center" wrapText="1"/>
    </xf>
    <xf numFmtId="0" fontId="26" fillId="0" borderId="127" xfId="17" applyFont="1" applyBorder="1" applyAlignment="1">
      <alignment horizontal="center"/>
    </xf>
    <xf numFmtId="0" fontId="26" fillId="0" borderId="128" xfId="17" applyFont="1" applyBorder="1" applyAlignment="1">
      <alignment horizontal="center"/>
    </xf>
    <xf numFmtId="0" fontId="30" fillId="0" borderId="104" xfId="17" applyFont="1" applyBorder="1" applyAlignment="1">
      <alignment horizontal="justify" wrapText="1"/>
    </xf>
    <xf numFmtId="0" fontId="30" fillId="0" borderId="126" xfId="17" applyFont="1" applyBorder="1" applyAlignment="1">
      <alignment horizontal="justify" wrapText="1"/>
    </xf>
    <xf numFmtId="0" fontId="30" fillId="0" borderId="105" xfId="17" applyFont="1" applyBorder="1" applyAlignment="1">
      <alignment horizontal="justify" wrapText="1"/>
    </xf>
    <xf numFmtId="0" fontId="30" fillId="0" borderId="104" xfId="17" applyFont="1" applyBorder="1" applyAlignment="1">
      <alignment horizontal="justify" vertical="top" wrapText="1"/>
    </xf>
    <xf numFmtId="0" fontId="30" fillId="0" borderId="126" xfId="17" applyFont="1" applyBorder="1" applyAlignment="1">
      <alignment horizontal="justify" vertical="top" wrapText="1"/>
    </xf>
    <xf numFmtId="0" fontId="30" fillId="0" borderId="105" xfId="17" applyFont="1" applyBorder="1" applyAlignment="1">
      <alignment horizontal="justify" vertical="top" wrapText="1"/>
    </xf>
    <xf numFmtId="0" fontId="30" fillId="0" borderId="58" xfId="12" applyFont="1" applyBorder="1" applyAlignment="1">
      <alignment horizontal="left" vertical="center" wrapText="1"/>
    </xf>
    <xf numFmtId="0" fontId="6" fillId="43" borderId="59" xfId="12" applyFont="1" applyFill="1" applyBorder="1" applyAlignment="1">
      <alignment horizontal="center" vertical="center" wrapText="1"/>
    </xf>
    <xf numFmtId="0" fontId="6" fillId="44" borderId="53" xfId="4" applyFont="1" applyFill="1" applyBorder="1" applyAlignment="1">
      <alignment horizontal="center" vertical="center" wrapText="1"/>
    </xf>
    <xf numFmtId="0" fontId="7" fillId="45" borderId="63" xfId="4" applyFill="1" applyBorder="1"/>
    <xf numFmtId="0" fontId="6" fillId="0" borderId="42" xfId="4" applyFont="1" applyBorder="1" applyAlignment="1">
      <alignment horizontal="center" vertical="center"/>
    </xf>
    <xf numFmtId="0" fontId="7" fillId="0" borderId="70" xfId="4" applyBorder="1"/>
    <xf numFmtId="0" fontId="7" fillId="0" borderId="71" xfId="4" applyBorder="1"/>
    <xf numFmtId="0" fontId="6" fillId="0" borderId="27" xfId="4" applyFont="1" applyBorder="1" applyAlignment="1">
      <alignment horizontal="left" vertical="center" wrapText="1"/>
    </xf>
    <xf numFmtId="0" fontId="7" fillId="0" borderId="51" xfId="4" applyBorder="1"/>
    <xf numFmtId="0" fontId="6" fillId="0" borderId="53" xfId="4" applyFont="1" applyBorder="1" applyAlignment="1">
      <alignment horizontal="center" vertical="center"/>
    </xf>
    <xf numFmtId="0" fontId="7" fillId="0" borderId="56" xfId="4" applyBorder="1"/>
    <xf numFmtId="0" fontId="7" fillId="0" borderId="63" xfId="4" applyBorder="1"/>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7" fillId="0" borderId="68" xfId="4" applyBorder="1"/>
    <xf numFmtId="0" fontId="7" fillId="0" borderId="62" xfId="4" applyBorder="1"/>
    <xf numFmtId="0" fontId="7" fillId="0" borderId="42" xfId="4" applyBorder="1"/>
    <xf numFmtId="0" fontId="6" fillId="0" borderId="53" xfId="4" applyFont="1" applyBorder="1" applyAlignment="1">
      <alignment horizontal="left" vertical="center" wrapText="1"/>
    </xf>
    <xf numFmtId="0" fontId="6" fillId="4" borderId="53" xfId="4" applyFont="1" applyFill="1" applyBorder="1" applyAlignment="1">
      <alignment horizontal="center" vertical="center"/>
    </xf>
    <xf numFmtId="0" fontId="6" fillId="4" borderId="38" xfId="4" applyFont="1" applyFill="1" applyBorder="1" applyAlignment="1">
      <alignment horizontal="center" vertical="center"/>
    </xf>
    <xf numFmtId="0" fontId="7" fillId="0" borderId="52" xfId="4" applyBorder="1"/>
    <xf numFmtId="0" fontId="7" fillId="0" borderId="69" xfId="4"/>
    <xf numFmtId="0" fontId="7" fillId="0" borderId="76" xfId="4" applyBorder="1"/>
    <xf numFmtId="0" fontId="6" fillId="4" borderId="72" xfId="4" applyFont="1" applyFill="1" applyBorder="1" applyAlignment="1">
      <alignment horizontal="center" vertical="center" wrapText="1"/>
    </xf>
    <xf numFmtId="0" fontId="7" fillId="0" borderId="73" xfId="4" applyBorder="1"/>
    <xf numFmtId="0" fontId="7" fillId="0" borderId="74" xfId="4" applyBorder="1"/>
    <xf numFmtId="14" fontId="10" fillId="0" borderId="2" xfId="0" applyNumberFormat="1" applyFont="1" applyBorder="1" applyAlignment="1">
      <alignment horizontal="center" vertical="center"/>
    </xf>
    <xf numFmtId="0" fontId="7" fillId="0" borderId="12" xfId="0" applyFont="1" applyBorder="1"/>
    <xf numFmtId="0" fontId="7" fillId="0" borderId="22" xfId="0" applyFont="1" applyBorder="1"/>
    <xf numFmtId="0" fontId="7" fillId="0" borderId="23" xfId="0" applyFont="1" applyBorder="1"/>
    <xf numFmtId="0" fontId="7" fillId="0" borderId="20" xfId="0" applyFont="1" applyBorder="1"/>
    <xf numFmtId="0" fontId="7" fillId="0" borderId="21" xfId="0" applyFont="1" applyBorder="1"/>
    <xf numFmtId="0" fontId="6" fillId="0" borderId="53" xfId="4" applyFont="1" applyBorder="1" applyAlignment="1">
      <alignment horizontal="center" vertical="center" wrapText="1"/>
    </xf>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5" fillId="0" borderId="53" xfId="4" applyFont="1" applyBorder="1" applyAlignment="1">
      <alignment horizontal="left" vertical="center"/>
    </xf>
    <xf numFmtId="0" fontId="6" fillId="4" borderId="53" xfId="4" applyFont="1" applyFill="1" applyBorder="1" applyAlignment="1">
      <alignment horizontal="center" vertical="center" wrapText="1"/>
    </xf>
    <xf numFmtId="3" fontId="6" fillId="4" borderId="56" xfId="4" applyNumberFormat="1" applyFont="1" applyFill="1" applyBorder="1" applyAlignment="1">
      <alignment horizontal="center" vertical="center"/>
    </xf>
    <xf numFmtId="3" fontId="7" fillId="0" borderId="56" xfId="4" applyNumberFormat="1" applyBorder="1"/>
    <xf numFmtId="3" fontId="7" fillId="0" borderId="63" xfId="4" applyNumberFormat="1" applyBorder="1"/>
    <xf numFmtId="172" fontId="7" fillId="0" borderId="70" xfId="4" applyNumberFormat="1" applyBorder="1"/>
    <xf numFmtId="0" fontId="6" fillId="10" borderId="38" xfId="4" applyFont="1" applyFill="1" applyBorder="1" applyAlignment="1">
      <alignment horizontal="center" vertical="center" wrapText="1"/>
    </xf>
    <xf numFmtId="3" fontId="6" fillId="0" borderId="53" xfId="4" applyNumberFormat="1" applyFont="1" applyBorder="1" applyAlignment="1">
      <alignment horizontal="left" vertical="center" wrapText="1"/>
    </xf>
    <xf numFmtId="3" fontId="6" fillId="10" borderId="38" xfId="4" applyNumberFormat="1" applyFont="1" applyFill="1" applyBorder="1" applyAlignment="1">
      <alignment horizontal="center" vertical="center" wrapText="1"/>
    </xf>
    <xf numFmtId="3" fontId="7" fillId="0" borderId="68" xfId="4" applyNumberFormat="1" applyBorder="1"/>
    <xf numFmtId="3" fontId="7" fillId="0" borderId="62" xfId="4" applyNumberFormat="1" applyBorder="1"/>
    <xf numFmtId="3" fontId="7" fillId="0" borderId="52" xfId="4" applyNumberFormat="1" applyBorder="1"/>
    <xf numFmtId="3" fontId="7" fillId="0" borderId="69" xfId="4" applyNumberFormat="1"/>
    <xf numFmtId="3" fontId="7" fillId="0" borderId="76" xfId="4" applyNumberFormat="1" applyBorder="1"/>
    <xf numFmtId="3" fontId="7" fillId="0" borderId="42" xfId="4" applyNumberFormat="1" applyBorder="1"/>
    <xf numFmtId="3" fontId="7" fillId="0" borderId="70" xfId="4" applyNumberFormat="1" applyBorder="1"/>
    <xf numFmtId="3" fontId="7" fillId="0" borderId="71" xfId="4" applyNumberFormat="1" applyBorder="1"/>
    <xf numFmtId="0" fontId="6" fillId="4" borderId="38" xfId="4" applyFont="1" applyFill="1" applyBorder="1" applyAlignment="1">
      <alignment horizontal="center" vertical="center" wrapText="1"/>
    </xf>
    <xf numFmtId="0" fontId="7" fillId="0" borderId="42" xfId="4" applyBorder="1" applyAlignment="1">
      <alignment horizontal="center"/>
    </xf>
    <xf numFmtId="3" fontId="6" fillId="4" borderId="13" xfId="4" applyNumberFormat="1" applyFont="1" applyFill="1" applyBorder="1" applyAlignment="1">
      <alignment horizontal="center" vertical="center"/>
    </xf>
    <xf numFmtId="3" fontId="7" fillId="0" borderId="27" xfId="4" applyNumberFormat="1" applyBorder="1"/>
    <xf numFmtId="3" fontId="7" fillId="0" borderId="3" xfId="4" applyNumberFormat="1" applyBorder="1"/>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4" xfId="0" applyFont="1" applyBorder="1"/>
    <xf numFmtId="9" fontId="5" fillId="0" borderId="72" xfId="0" applyNumberFormat="1" applyFont="1" applyBorder="1" applyAlignment="1">
      <alignment horizontal="center" vertical="center" wrapText="1"/>
    </xf>
    <xf numFmtId="0" fontId="7" fillId="0" borderId="95" xfId="0" applyFont="1" applyBorder="1"/>
    <xf numFmtId="0" fontId="6" fillId="2" borderId="86" xfId="0" applyFont="1" applyFill="1" applyBorder="1" applyAlignment="1">
      <alignment horizontal="center" vertical="center" wrapText="1"/>
    </xf>
    <xf numFmtId="0" fontId="7" fillId="0" borderId="91" xfId="0" applyFont="1" applyBorder="1"/>
    <xf numFmtId="0" fontId="6" fillId="2" borderId="87" xfId="0" applyFont="1" applyFill="1" applyBorder="1" applyAlignment="1">
      <alignment horizontal="center" vertical="center" wrapText="1"/>
    </xf>
    <xf numFmtId="0" fontId="7" fillId="0" borderId="74" xfId="0" applyFont="1" applyBorder="1"/>
    <xf numFmtId="9" fontId="5" fillId="0" borderId="73" xfId="0" applyNumberFormat="1" applyFont="1" applyBorder="1" applyAlignment="1">
      <alignment horizontal="center" vertical="center" wrapText="1"/>
    </xf>
    <xf numFmtId="0" fontId="17" fillId="2" borderId="88" xfId="0" applyFont="1" applyFill="1" applyBorder="1" applyAlignment="1">
      <alignment horizontal="center" vertical="center" wrapText="1"/>
    </xf>
    <xf numFmtId="0" fontId="22" fillId="0" borderId="89" xfId="0" applyFont="1" applyBorder="1"/>
    <xf numFmtId="0" fontId="22" fillId="0" borderId="90" xfId="0" applyFont="1" applyBorder="1"/>
    <xf numFmtId="0" fontId="6" fillId="2" borderId="50" xfId="0" applyFont="1" applyFill="1" applyBorder="1" applyAlignment="1">
      <alignment horizontal="center" vertical="center" wrapText="1"/>
    </xf>
    <xf numFmtId="0" fontId="7" fillId="0" borderId="27" xfId="0" applyFont="1" applyBorder="1"/>
    <xf numFmtId="0" fontId="7" fillId="0" borderId="70" xfId="0" applyFont="1" applyBorder="1"/>
    <xf numFmtId="0" fontId="7" fillId="0" borderId="43" xfId="0" applyFont="1" applyBorder="1"/>
    <xf numFmtId="0" fontId="6" fillId="2" borderId="53" xfId="0" applyFont="1" applyFill="1" applyBorder="1" applyAlignment="1">
      <alignment horizontal="center" vertical="center" wrapText="1"/>
    </xf>
    <xf numFmtId="0" fontId="7" fillId="0" borderId="56" xfId="0" applyFont="1" applyBorder="1"/>
    <xf numFmtId="0" fontId="7" fillId="0" borderId="5" xfId="0" applyFont="1" applyBorder="1"/>
    <xf numFmtId="0" fontId="18"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18" fillId="0" borderId="97" xfId="0" applyFont="1" applyBorder="1" applyAlignment="1">
      <alignment vertical="center" wrapText="1"/>
    </xf>
    <xf numFmtId="0" fontId="18" fillId="0" borderId="98" xfId="0" applyFont="1" applyBorder="1" applyAlignment="1">
      <alignment vertical="center" wrapText="1"/>
    </xf>
    <xf numFmtId="0" fontId="18" fillId="0" borderId="122" xfId="0" applyFont="1" applyBorder="1" applyAlignment="1">
      <alignment vertical="center" wrapText="1"/>
    </xf>
    <xf numFmtId="0" fontId="18" fillId="0" borderId="123" xfId="0" applyFont="1" applyBorder="1" applyAlignment="1">
      <alignment vertical="center" wrapText="1"/>
    </xf>
    <xf numFmtId="0" fontId="18" fillId="0" borderId="18" xfId="0" applyFont="1" applyBorder="1" applyAlignment="1">
      <alignment vertical="center" wrapText="1"/>
    </xf>
    <xf numFmtId="0" fontId="18" fillId="0" borderId="21" xfId="0" applyFont="1" applyBorder="1" applyAlignment="1">
      <alignment vertical="center" wrapText="1"/>
    </xf>
    <xf numFmtId="0" fontId="6" fillId="2" borderId="40" xfId="0" applyFont="1" applyFill="1" applyBorder="1" applyAlignment="1">
      <alignment horizontal="center" vertical="center" wrapText="1"/>
    </xf>
    <xf numFmtId="0" fontId="7" fillId="0" borderId="41" xfId="0" applyFont="1" applyBorder="1"/>
    <xf numFmtId="0" fontId="5" fillId="0" borderId="40" xfId="0" applyFont="1" applyBorder="1" applyAlignment="1">
      <alignment horizontal="left" vertical="center" wrapText="1"/>
    </xf>
    <xf numFmtId="0" fontId="7" fillId="0" borderId="65" xfId="0" applyFont="1" applyBorder="1"/>
    <xf numFmtId="10" fontId="6" fillId="0" borderId="72" xfId="0" applyNumberFormat="1" applyFont="1" applyBorder="1" applyAlignment="1">
      <alignment horizontal="center" vertical="center" wrapText="1"/>
    </xf>
    <xf numFmtId="0" fontId="7" fillId="0" borderId="73" xfId="0" applyFont="1" applyBorder="1"/>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0" borderId="68" xfId="0" applyFont="1" applyBorder="1"/>
    <xf numFmtId="0" fontId="7" fillId="0" borderId="39" xfId="0" applyFont="1" applyBorder="1"/>
    <xf numFmtId="0" fontId="7" fillId="0" borderId="42" xfId="0" applyFont="1" applyBorder="1"/>
    <xf numFmtId="0" fontId="6" fillId="2" borderId="67"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7" fillId="0" borderId="17" xfId="0" applyFont="1" applyBorder="1"/>
    <xf numFmtId="0" fontId="6" fillId="2" borderId="61" xfId="0" applyFont="1" applyFill="1" applyBorder="1" applyAlignment="1">
      <alignment horizontal="center" vertical="center" wrapText="1"/>
    </xf>
    <xf numFmtId="0" fontId="7" fillId="0" borderId="75" xfId="0" applyFont="1" applyBorder="1"/>
    <xf numFmtId="0" fontId="6" fillId="2" borderId="6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7" fillId="0" borderId="19" xfId="0" applyFont="1" applyBorder="1"/>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xf numFmtId="0" fontId="7" fillId="0" borderId="71" xfId="0" applyFont="1" applyBorder="1"/>
    <xf numFmtId="0" fontId="6" fillId="2" borderId="52" xfId="0" applyFont="1" applyFill="1" applyBorder="1" applyAlignment="1">
      <alignment horizontal="center" vertical="center" wrapText="1"/>
    </xf>
    <xf numFmtId="0" fontId="18" fillId="0" borderId="68" xfId="0" applyFont="1" applyBorder="1" applyAlignment="1">
      <alignment horizontal="left" vertical="center" wrapText="1"/>
    </xf>
    <xf numFmtId="0" fontId="18" fillId="0" borderId="46" xfId="0" applyFont="1" applyBorder="1" applyAlignment="1">
      <alignment horizontal="left" vertical="center" wrapText="1"/>
    </xf>
    <xf numFmtId="0" fontId="18" fillId="0" borderId="18" xfId="0" applyFont="1" applyBorder="1" applyAlignment="1">
      <alignment horizontal="left" vertical="center" wrapText="1"/>
    </xf>
    <xf numFmtId="0" fontId="18" fillId="0" borderId="32" xfId="0" applyFont="1" applyBorder="1" applyAlignment="1">
      <alignment horizontal="left" vertical="center" wrapText="1"/>
    </xf>
    <xf numFmtId="0" fontId="5" fillId="0" borderId="38" xfId="0" applyFont="1" applyBorder="1" applyAlignment="1">
      <alignment horizontal="left" vertical="center" wrapText="1"/>
    </xf>
    <xf numFmtId="0" fontId="5" fillId="0" borderId="62" xfId="0" applyFont="1" applyBorder="1" applyAlignment="1">
      <alignment horizontal="left" vertical="center" wrapText="1"/>
    </xf>
    <xf numFmtId="0" fontId="5" fillId="0" borderId="46" xfId="0" applyFont="1" applyBorder="1" applyAlignment="1">
      <alignment horizontal="left" vertical="center" wrapText="1"/>
    </xf>
    <xf numFmtId="0" fontId="5" fillId="0" borderId="18" xfId="0" applyFont="1" applyBorder="1" applyAlignment="1">
      <alignment horizontal="left" vertical="center" wrapText="1"/>
    </xf>
    <xf numFmtId="0" fontId="5" fillId="0" borderId="47" xfId="0" applyFont="1" applyBorder="1" applyAlignment="1">
      <alignment horizontal="left" vertical="center" wrapText="1"/>
    </xf>
    <xf numFmtId="0" fontId="5" fillId="0" borderId="53" xfId="0" applyFont="1" applyBorder="1" applyAlignment="1">
      <alignment horizontal="left" vertical="center" wrapText="1"/>
    </xf>
    <xf numFmtId="0" fontId="6" fillId="0" borderId="13" xfId="0" applyFont="1" applyBorder="1" applyAlignment="1">
      <alignment horizontal="center" vertical="center" wrapText="1"/>
    </xf>
    <xf numFmtId="0" fontId="7" fillId="0" borderId="3" xfId="0" applyFont="1" applyBorder="1"/>
    <xf numFmtId="0" fontId="7" fillId="0" borderId="63" xfId="0" applyFont="1" applyBorder="1"/>
    <xf numFmtId="0" fontId="12" fillId="0" borderId="16" xfId="0" applyFont="1" applyBorder="1" applyAlignment="1">
      <alignment horizontal="left" vertical="center" wrapText="1"/>
    </xf>
    <xf numFmtId="0" fontId="6" fillId="2" borderId="20" xfId="0" applyFont="1" applyFill="1" applyBorder="1" applyAlignment="1">
      <alignment horizontal="center" vertical="center" wrapText="1"/>
    </xf>
    <xf numFmtId="0" fontId="7" fillId="0" borderId="18" xfId="0" applyFont="1" applyBorder="1"/>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34" xfId="0" applyFont="1" applyBorder="1"/>
    <xf numFmtId="0" fontId="12" fillId="0" borderId="2" xfId="0" applyFont="1" applyBorder="1" applyAlignment="1">
      <alignment horizontal="left" vertical="center" wrapText="1"/>
    </xf>
    <xf numFmtId="0" fontId="7" fillId="0" borderId="11" xfId="0" applyFont="1" applyBorder="1"/>
    <xf numFmtId="0" fontId="0" fillId="0" borderId="0" xfId="0"/>
    <xf numFmtId="0" fontId="6" fillId="2" borderId="2" xfId="0" applyFont="1" applyFill="1" applyBorder="1" applyAlignment="1">
      <alignment horizontal="left" vertical="center" wrapText="1"/>
    </xf>
    <xf numFmtId="0" fontId="8" fillId="0" borderId="27" xfId="0" applyFont="1" applyBorder="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7" xfId="0" applyFont="1" applyBorder="1"/>
    <xf numFmtId="0" fontId="8" fillId="0" borderId="56" xfId="0" applyFont="1" applyBorder="1" applyAlignment="1">
      <alignment horizontal="left" vertical="center" wrapText="1"/>
    </xf>
    <xf numFmtId="0" fontId="26" fillId="0" borderId="116" xfId="0" applyFont="1" applyBorder="1" applyAlignment="1">
      <alignment horizontal="center" vertical="center" wrapText="1"/>
    </xf>
    <xf numFmtId="0" fontId="26" fillId="0" borderId="117"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0" fontId="6" fillId="43" borderId="107" xfId="3" applyFont="1" applyFill="1" applyBorder="1" applyAlignment="1">
      <alignment horizontal="left" vertical="center" wrapText="1"/>
    </xf>
    <xf numFmtId="0" fontId="6" fillId="43" borderId="108" xfId="3" applyFont="1" applyFill="1" applyBorder="1" applyAlignment="1">
      <alignment horizontal="left" vertical="center" wrapText="1"/>
    </xf>
    <xf numFmtId="0" fontId="6" fillId="43" borderId="111" xfId="3" applyFont="1" applyFill="1" applyBorder="1" applyAlignment="1">
      <alignment horizontal="left" vertical="center" wrapText="1"/>
    </xf>
    <xf numFmtId="0" fontId="6" fillId="43" borderId="93" xfId="3" applyFont="1" applyFill="1" applyBorder="1" applyAlignment="1">
      <alignment horizontal="left" vertical="center" wrapText="1"/>
    </xf>
    <xf numFmtId="0" fontId="6" fillId="43" borderId="113" xfId="3" applyFont="1" applyFill="1" applyBorder="1" applyAlignment="1">
      <alignment horizontal="left" vertical="center" wrapText="1"/>
    </xf>
    <xf numFmtId="0" fontId="6" fillId="43" borderId="114" xfId="3"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4" xfId="0" applyFont="1" applyBorder="1"/>
    <xf numFmtId="0" fontId="7" fillId="0" borderId="6" xfId="0" applyFont="1" applyBorder="1"/>
    <xf numFmtId="0" fontId="6" fillId="0" borderId="2" xfId="0" applyFont="1" applyBorder="1" applyAlignment="1">
      <alignment horizontal="center" vertical="center"/>
    </xf>
    <xf numFmtId="0" fontId="44" fillId="0" borderId="109" xfId="0" applyFont="1" applyBorder="1" applyAlignment="1">
      <alignment horizontal="center" vertical="center"/>
    </xf>
    <xf numFmtId="0" fontId="44" fillId="0" borderId="112" xfId="0" applyFont="1" applyBorder="1" applyAlignment="1">
      <alignment horizontal="center" vertical="center"/>
    </xf>
    <xf numFmtId="0" fontId="44" fillId="0" borderId="115" xfId="0" applyFont="1" applyBorder="1" applyAlignment="1">
      <alignment horizontal="center" vertical="center"/>
    </xf>
    <xf numFmtId="0" fontId="6" fillId="43" borderId="110"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106" xfId="3" applyFont="1" applyFill="1" applyBorder="1" applyAlignment="1">
      <alignment horizontal="left" vertical="center" wrapText="1"/>
    </xf>
    <xf numFmtId="14" fontId="45" fillId="0" borderId="107" xfId="0" applyNumberFormat="1" applyFont="1" applyBorder="1" applyAlignment="1">
      <alignment horizontal="center" vertical="center"/>
    </xf>
    <xf numFmtId="0" fontId="45" fillId="0" borderId="108" xfId="0" applyFont="1" applyBorder="1" applyAlignment="1">
      <alignment horizontal="center" vertical="center"/>
    </xf>
    <xf numFmtId="0" fontId="45" fillId="0" borderId="111" xfId="0" applyFont="1" applyBorder="1" applyAlignment="1">
      <alignment horizontal="center" vertical="center"/>
    </xf>
    <xf numFmtId="0" fontId="45" fillId="0" borderId="93" xfId="0" applyFont="1" applyBorder="1" applyAlignment="1">
      <alignment horizontal="center" vertical="center"/>
    </xf>
    <xf numFmtId="0" fontId="45" fillId="0" borderId="113" xfId="0" applyFont="1" applyBorder="1" applyAlignment="1">
      <alignment horizontal="center" vertical="center"/>
    </xf>
    <xf numFmtId="0" fontId="45" fillId="0" borderId="114" xfId="0" applyFont="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26" fillId="0" borderId="118" xfId="0" applyFont="1" applyBorder="1" applyAlignment="1">
      <alignment horizontal="center" vertical="center" wrapText="1"/>
    </xf>
    <xf numFmtId="0" fontId="26" fillId="0" borderId="119" xfId="0" applyFont="1" applyBorder="1" applyAlignment="1">
      <alignment horizontal="center" vertical="center" wrapText="1"/>
    </xf>
    <xf numFmtId="0" fontId="0" fillId="0" borderId="118" xfId="0" applyBorder="1" applyAlignment="1">
      <alignment horizontal="center" vertical="center"/>
    </xf>
    <xf numFmtId="0" fontId="0" fillId="0" borderId="119" xfId="0" applyBorder="1" applyAlignment="1">
      <alignment horizontal="center" vertical="center"/>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2" fontId="5" fillId="0" borderId="40" xfId="0" applyNumberFormat="1" applyFont="1" applyBorder="1" applyAlignment="1">
      <alignment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7" fillId="0" borderId="62" xfId="0" applyFont="1" applyBorder="1"/>
    <xf numFmtId="0" fontId="6" fillId="2" borderId="49" xfId="0" applyFont="1" applyFill="1" applyBorder="1" applyAlignment="1">
      <alignment horizontal="center" vertical="center" wrapText="1"/>
    </xf>
    <xf numFmtId="0" fontId="7" fillId="0" borderId="51" xfId="0" applyFont="1" applyBorder="1"/>
    <xf numFmtId="9" fontId="15" fillId="0" borderId="38" xfId="0" applyNumberFormat="1" applyFont="1" applyBorder="1" applyAlignment="1">
      <alignment horizontal="left" vertical="center" wrapText="1"/>
    </xf>
    <xf numFmtId="0" fontId="7" fillId="0" borderId="52" xfId="0" applyFont="1" applyBorder="1"/>
    <xf numFmtId="9" fontId="15" fillId="0" borderId="38" xfId="0" applyNumberFormat="1" applyFont="1" applyBorder="1" applyAlignment="1">
      <alignment horizontal="center" vertical="center" wrapText="1"/>
    </xf>
    <xf numFmtId="0" fontId="7" fillId="0" borderId="44" xfId="0" applyFont="1" applyBorder="1"/>
    <xf numFmtId="2" fontId="5" fillId="0" borderId="72" xfId="0" applyNumberFormat="1" applyFont="1" applyBorder="1" applyAlignment="1">
      <alignment horizontal="center" vertical="center" wrapText="1"/>
    </xf>
    <xf numFmtId="0" fontId="7" fillId="0" borderId="45" xfId="0" applyFont="1" applyBorder="1"/>
    <xf numFmtId="0" fontId="7" fillId="0" borderId="46" xfId="0" applyFont="1" applyBorder="1"/>
    <xf numFmtId="2" fontId="5" fillId="0" borderId="40" xfId="0" applyNumberFormat="1" applyFont="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6" fillId="0" borderId="72" xfId="0" applyFont="1" applyBorder="1" applyAlignment="1">
      <alignment horizontal="center" vertical="center" wrapText="1"/>
    </xf>
    <xf numFmtId="0" fontId="6" fillId="3"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7" xfId="0" applyFont="1" applyBorder="1" applyAlignment="1">
      <alignment horizontal="center" vertical="center" wrapText="1"/>
    </xf>
    <xf numFmtId="172" fontId="6" fillId="0" borderId="66" xfId="0" applyNumberFormat="1" applyFont="1" applyBorder="1" applyAlignment="1">
      <alignment horizontal="center" vertical="center" wrapText="1"/>
    </xf>
    <xf numFmtId="0" fontId="7" fillId="0" borderId="64" xfId="0" applyFont="1" applyBorder="1"/>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47" xfId="0" applyFont="1" applyBorder="1"/>
    <xf numFmtId="49" fontId="7" fillId="0" borderId="69" xfId="0" applyNumberFormat="1" applyFont="1" applyBorder="1" applyAlignment="1">
      <alignment horizontal="left" vertical="center" wrapText="1"/>
    </xf>
    <xf numFmtId="0" fontId="5" fillId="0" borderId="38" xfId="0" applyFont="1" applyBorder="1" applyAlignment="1">
      <alignment horizontal="justify" vertical="center" wrapText="1"/>
    </xf>
    <xf numFmtId="0" fontId="5" fillId="0" borderId="68" xfId="0" applyFont="1" applyBorder="1" applyAlignment="1">
      <alignment horizontal="justify" vertical="center" wrapText="1"/>
    </xf>
    <xf numFmtId="0" fontId="5" fillId="0" borderId="62"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47" xfId="0" applyFont="1" applyBorder="1" applyAlignment="1">
      <alignment horizontal="justify" vertical="center" wrapText="1"/>
    </xf>
    <xf numFmtId="0" fontId="18" fillId="0" borderId="38" xfId="0" applyFont="1" applyBorder="1" applyAlignment="1">
      <alignment horizontal="justify" vertical="center" wrapText="1"/>
    </xf>
    <xf numFmtId="0" fontId="18" fillId="0" borderId="68" xfId="0" applyFont="1" applyBorder="1" applyAlignment="1">
      <alignment horizontal="justify" vertical="center" wrapText="1"/>
    </xf>
    <xf numFmtId="0" fontId="18" fillId="0" borderId="62"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18" xfId="0" applyFont="1" applyBorder="1" applyAlignment="1">
      <alignment horizontal="justify" vertical="center" wrapText="1"/>
    </xf>
    <xf numFmtId="0" fontId="18" fillId="0" borderId="47" xfId="0" applyFont="1" applyBorder="1" applyAlignment="1">
      <alignment horizontal="justify" vertical="center" wrapText="1"/>
    </xf>
    <xf numFmtId="0" fontId="18" fillId="0" borderId="53" xfId="0" applyFont="1" applyBorder="1" applyAlignment="1">
      <alignment horizontal="left" vertical="center" wrapText="1"/>
    </xf>
    <xf numFmtId="0" fontId="22" fillId="0" borderId="56" xfId="0" applyFont="1" applyBorder="1"/>
    <xf numFmtId="0" fontId="22" fillId="0" borderId="5" xfId="0" applyFont="1" applyBorder="1"/>
    <xf numFmtId="4" fontId="6" fillId="0" borderId="38" xfId="0" applyNumberFormat="1" applyFont="1" applyBorder="1" applyAlignment="1">
      <alignment horizontal="center" vertical="center" wrapText="1"/>
    </xf>
    <xf numFmtId="2" fontId="5" fillId="0" borderId="40" xfId="0" applyNumberFormat="1" applyFont="1" applyBorder="1" applyAlignment="1">
      <alignment horizontal="left" vertical="center" wrapText="1"/>
    </xf>
    <xf numFmtId="0" fontId="5" fillId="0" borderId="19" xfId="0" applyFont="1" applyBorder="1"/>
    <xf numFmtId="165" fontId="6" fillId="0" borderId="16" xfId="0" applyNumberFormat="1" applyFont="1" applyBorder="1" applyAlignment="1">
      <alignment vertical="center" wrapText="1"/>
    </xf>
    <xf numFmtId="49" fontId="7" fillId="0" borderId="69" xfId="0" applyNumberFormat="1" applyFont="1" applyBorder="1" applyAlignment="1">
      <alignment horizontal="left" vertical="top" wrapText="1"/>
    </xf>
    <xf numFmtId="0" fontId="18" fillId="0" borderId="32" xfId="0" applyFont="1" applyBorder="1" applyAlignment="1">
      <alignment horizontal="justify" vertical="center" wrapText="1"/>
    </xf>
    <xf numFmtId="175" fontId="6" fillId="0" borderId="38"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7" fillId="0" borderId="41" xfId="0" applyFont="1" applyBorder="1" applyAlignment="1">
      <alignment vertical="center"/>
    </xf>
    <xf numFmtId="0" fontId="7" fillId="0" borderId="74" xfId="0" applyFont="1" applyBorder="1" applyAlignment="1">
      <alignment vertical="center"/>
    </xf>
    <xf numFmtId="174" fontId="6" fillId="0" borderId="16"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7" fillId="0" borderId="79" xfId="0" applyFont="1" applyBorder="1"/>
    <xf numFmtId="0" fontId="6" fillId="2" borderId="80" xfId="0" applyFont="1" applyFill="1" applyBorder="1" applyAlignment="1">
      <alignment horizontal="center" vertical="center" wrapText="1"/>
    </xf>
    <xf numFmtId="0" fontId="7" fillId="0" borderId="81" xfId="0" applyFont="1" applyBorder="1"/>
    <xf numFmtId="0" fontId="6" fillId="2" borderId="82" xfId="0" applyFont="1" applyFill="1" applyBorder="1" applyAlignment="1">
      <alignment horizontal="center" vertical="center" wrapText="1"/>
    </xf>
    <xf numFmtId="0" fontId="7" fillId="0" borderId="83" xfId="0" applyFont="1" applyBorder="1"/>
    <xf numFmtId="174" fontId="6" fillId="0" borderId="16" xfId="0" applyNumberFormat="1" applyFont="1" applyBorder="1" applyAlignment="1">
      <alignment vertical="center" wrapText="1"/>
    </xf>
    <xf numFmtId="0" fontId="7" fillId="0" borderId="76" xfId="0" applyFont="1" applyBorder="1"/>
    <xf numFmtId="0" fontId="5" fillId="46" borderId="38" xfId="0" applyFont="1" applyFill="1" applyBorder="1" applyAlignment="1">
      <alignment vertical="center" wrapText="1"/>
    </xf>
    <xf numFmtId="0" fontId="5" fillId="46" borderId="68" xfId="0" applyFont="1" applyFill="1" applyBorder="1" applyAlignment="1">
      <alignment vertical="center" wrapText="1"/>
    </xf>
    <xf numFmtId="0" fontId="5" fillId="46" borderId="39" xfId="0" applyFont="1" applyFill="1" applyBorder="1" applyAlignment="1">
      <alignment vertical="center" wrapText="1"/>
    </xf>
    <xf numFmtId="0" fontId="5" fillId="46" borderId="42" xfId="0" applyFont="1" applyFill="1" applyBorder="1" applyAlignment="1">
      <alignment vertical="center" wrapText="1"/>
    </xf>
    <xf numFmtId="0" fontId="5" fillId="46" borderId="70" xfId="0" applyFont="1" applyFill="1" applyBorder="1" applyAlignment="1">
      <alignment vertical="center" wrapText="1"/>
    </xf>
    <xf numFmtId="0" fontId="5" fillId="46" borderId="43" xfId="0" applyFont="1" applyFill="1" applyBorder="1" applyAlignment="1">
      <alignment vertical="center" wrapText="1"/>
    </xf>
    <xf numFmtId="2" fontId="5" fillId="0" borderId="92" xfId="0" applyNumberFormat="1" applyFont="1" applyBorder="1" applyAlignment="1">
      <alignment horizontal="justify" vertical="center" wrapText="1"/>
    </xf>
    <xf numFmtId="0" fontId="7" fillId="0" borderId="94" xfId="0" applyFont="1" applyBorder="1" applyAlignment="1">
      <alignment horizontal="justify" vertical="center" wrapText="1"/>
    </xf>
    <xf numFmtId="0" fontId="6" fillId="2" borderId="88" xfId="0" applyFont="1" applyFill="1" applyBorder="1" applyAlignment="1">
      <alignment horizontal="center" vertical="center" wrapText="1"/>
    </xf>
    <xf numFmtId="0" fontId="7" fillId="0" borderId="89" xfId="0" applyFont="1" applyBorder="1"/>
    <xf numFmtId="0" fontId="7" fillId="0" borderId="90" xfId="0" applyFont="1" applyBorder="1"/>
    <xf numFmtId="0" fontId="7" fillId="0" borderId="124" xfId="0" applyFont="1" applyBorder="1"/>
    <xf numFmtId="0" fontId="7" fillId="0" borderId="91" xfId="0" applyFont="1" applyBorder="1" applyAlignment="1">
      <alignment horizontal="justify" vertical="center" wrapText="1"/>
    </xf>
    <xf numFmtId="0" fontId="5" fillId="0" borderId="40" xfId="0" applyFont="1" applyBorder="1" applyAlignment="1">
      <alignment horizontal="justify" vertical="center" wrapText="1"/>
    </xf>
    <xf numFmtId="0" fontId="7" fillId="0" borderId="65" xfId="0" applyFont="1" applyBorder="1" applyAlignment="1">
      <alignment horizontal="justify" vertical="center"/>
    </xf>
    <xf numFmtId="0" fontId="33" fillId="23" borderId="58" xfId="0" applyFont="1" applyFill="1" applyBorder="1" applyAlignment="1">
      <alignment horizontal="center"/>
    </xf>
    <xf numFmtId="0" fontId="33" fillId="24" borderId="58" xfId="0" applyFont="1" applyFill="1" applyBorder="1" applyAlignment="1">
      <alignment horizontal="center"/>
    </xf>
    <xf numFmtId="0" fontId="29" fillId="0" borderId="69" xfId="3" applyFont="1" applyAlignment="1">
      <alignment horizontal="center" vertical="center" wrapText="1"/>
    </xf>
    <xf numFmtId="2" fontId="5" fillId="0" borderId="40" xfId="0" applyNumberFormat="1" applyFont="1" applyBorder="1" applyAlignment="1">
      <alignment horizontal="justify" vertical="center" wrapText="1"/>
    </xf>
    <xf numFmtId="0" fontId="7" fillId="0" borderId="41" xfId="0" applyFont="1" applyBorder="1" applyAlignment="1">
      <alignment horizontal="justify" vertical="center" wrapText="1"/>
    </xf>
    <xf numFmtId="2" fontId="5" fillId="0" borderId="65" xfId="0" applyNumberFormat="1" applyFont="1" applyBorder="1" applyAlignment="1">
      <alignment horizontal="justify" vertical="center" wrapText="1"/>
    </xf>
    <xf numFmtId="0" fontId="7" fillId="0" borderId="44" xfId="0" applyFont="1" applyBorder="1" applyAlignment="1">
      <alignment horizontal="justify" vertical="center" wrapText="1"/>
    </xf>
    <xf numFmtId="0" fontId="5" fillId="0" borderId="32" xfId="0" applyFont="1" applyBorder="1" applyAlignment="1">
      <alignment horizontal="center" vertical="center" wrapText="1"/>
    </xf>
    <xf numFmtId="3" fontId="37" fillId="31" borderId="58" xfId="0" applyNumberFormat="1" applyFont="1" applyFill="1" applyBorder="1" applyAlignment="1">
      <alignment horizontal="center"/>
    </xf>
    <xf numFmtId="1" fontId="37" fillId="30" borderId="104" xfId="0" applyNumberFormat="1" applyFont="1" applyFill="1" applyBorder="1" applyAlignment="1">
      <alignment horizontal="center" vertical="center"/>
    </xf>
    <xf numFmtId="1" fontId="37" fillId="30" borderId="105"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2" fillId="30" borderId="58" xfId="0" applyNumberFormat="1" applyFont="1" applyFill="1" applyBorder="1" applyAlignment="1">
      <alignment horizontal="center" vertical="center" wrapText="1"/>
    </xf>
    <xf numFmtId="1" fontId="32" fillId="30" borderId="59" xfId="0" applyNumberFormat="1" applyFont="1" applyFill="1" applyBorder="1" applyAlignment="1">
      <alignment horizontal="center"/>
    </xf>
    <xf numFmtId="1" fontId="32" fillId="30" borderId="102" xfId="0" applyNumberFormat="1" applyFont="1" applyFill="1" applyBorder="1" applyAlignment="1">
      <alignment horizontal="center"/>
    </xf>
    <xf numFmtId="1" fontId="32" fillId="30" borderId="57" xfId="0" applyNumberFormat="1" applyFont="1" applyFill="1" applyBorder="1" applyAlignment="1">
      <alignment horizontal="center"/>
    </xf>
    <xf numFmtId="1" fontId="32" fillId="34" borderId="58" xfId="0" applyNumberFormat="1" applyFont="1" applyFill="1" applyBorder="1" applyAlignment="1">
      <alignment horizontal="center" vertical="center"/>
    </xf>
    <xf numFmtId="3" fontId="32" fillId="33" borderId="58" xfId="0" applyNumberFormat="1" applyFont="1" applyFill="1" applyBorder="1" applyAlignment="1">
      <alignment horizontal="center" vertical="center" wrapText="1"/>
    </xf>
    <xf numFmtId="0" fontId="32" fillId="0" borderId="58" xfId="0" applyFont="1" applyBorder="1" applyAlignment="1">
      <alignment horizontal="center" vertical="center"/>
    </xf>
    <xf numFmtId="1" fontId="32" fillId="32" borderId="58" xfId="0" applyNumberFormat="1" applyFont="1" applyFill="1" applyBorder="1" applyAlignment="1">
      <alignment horizontal="center" vertical="center"/>
    </xf>
    <xf numFmtId="1" fontId="32" fillId="30" borderId="58" xfId="0" applyNumberFormat="1" applyFont="1" applyFill="1" applyBorder="1" applyAlignment="1">
      <alignment horizontal="center"/>
    </xf>
    <xf numFmtId="0" fontId="32" fillId="37" borderId="59" xfId="0" applyFont="1" applyFill="1" applyBorder="1" applyAlignment="1">
      <alignment horizontal="center" vertical="center"/>
    </xf>
    <xf numFmtId="0" fontId="32" fillId="37" borderId="102" xfId="0" applyFont="1" applyFill="1" applyBorder="1" applyAlignment="1">
      <alignment horizontal="center" vertical="center"/>
    </xf>
    <xf numFmtId="0" fontId="32" fillId="37" borderId="57" xfId="0" applyFont="1" applyFill="1" applyBorder="1" applyAlignment="1">
      <alignment horizontal="center" vertical="center"/>
    </xf>
    <xf numFmtId="0" fontId="32" fillId="0" borderId="97"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32" fillId="0" borderId="101" xfId="0" applyFont="1" applyBorder="1" applyAlignment="1">
      <alignment horizontal="center" vertical="center"/>
    </xf>
    <xf numFmtId="0" fontId="32" fillId="0" borderId="58" xfId="0" applyFont="1" applyBorder="1" applyAlignment="1">
      <alignment horizontal="left" vertical="center" wrapText="1"/>
    </xf>
    <xf numFmtId="1" fontId="32"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cellXfs>
  <cellStyles count="20">
    <cellStyle name="Millares [0]" xfId="1" builtinId="6"/>
    <cellStyle name="Millares [0] 2" xfId="6" xr:uid="{A69D2BA7-B6DA-4C50-9896-53DEEA5D4AD0}"/>
    <cellStyle name="Millares 2" xfId="15" xr:uid="{C19A8DB8-FBF8-41E2-B82B-74710B57E23C}"/>
    <cellStyle name="Millares 2 2" xfId="19" xr:uid="{D5A11B40-C900-44C4-98D3-B4DB6E79ADAC}"/>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3 2 2" xfId="17" xr:uid="{2234E362-B64B-4BB9-8B47-06D3DDC42278}"/>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2 2 2" xfId="18" xr:uid="{E5270CA3-112B-44FC-BF4F-D3312DC1ADA1}"/>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22</xdr:row>
      <xdr:rowOff>76200</xdr:rowOff>
    </xdr:from>
    <xdr:to>
      <xdr:col>6</xdr:col>
      <xdr:colOff>610017</xdr:colOff>
      <xdr:row>22</xdr:row>
      <xdr:rowOff>784668</xdr:rowOff>
    </xdr:to>
    <xdr:pic>
      <xdr:nvPicPr>
        <xdr:cNvPr id="2" name="Imagen 1">
          <a:extLst>
            <a:ext uri="{FF2B5EF4-FFF2-40B4-BE49-F238E27FC236}">
              <a16:creationId xmlns:a16="http://schemas.microsoft.com/office/drawing/2014/main" id="{BB3F0F5D-C4BE-450F-8DB5-340BCFC48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62300" y="22650450"/>
          <a:ext cx="1448217" cy="708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DMUJER%202022/Proyecto%20de%20inversion/Seguimiento/2022/Enero%202022/7718%20Seguimiento%20a%20enero%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DMUJER%202022/Proyecto%20de%20inversion/Seguimiento/2022/Febrero%202022/7718%20Seguimiento%20plan%20de%20acci&#243;n%20a%20febrero%202022%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DB2-BBB4-48EB-A778-EE20CEC26912}">
  <sheetPr>
    <tabColor rgb="FF00B050"/>
  </sheetPr>
  <dimension ref="A1:AP114"/>
  <sheetViews>
    <sheetView topLeftCell="L63" zoomScale="85" zoomScaleNormal="85" workbookViewId="0">
      <selection activeCell="M110" sqref="M110"/>
    </sheetView>
  </sheetViews>
  <sheetFormatPr baseColWidth="10" defaultColWidth="11.42578125" defaultRowHeight="15"/>
  <cols>
    <col min="1" max="1" width="4.85546875" style="492" customWidth="1"/>
    <col min="2" max="2" width="30.7109375" style="492" customWidth="1"/>
    <col min="3" max="3" width="6.42578125" style="492" customWidth="1"/>
    <col min="4" max="4" width="26" style="492" customWidth="1"/>
    <col min="5" max="5" width="18.7109375" style="492" customWidth="1"/>
    <col min="6" max="20" width="16.42578125" style="492" customWidth="1"/>
    <col min="21" max="21" width="15.7109375" style="492" customWidth="1"/>
    <col min="22" max="22" width="11.42578125" style="491"/>
    <col min="23" max="27" width="15.7109375" style="492" customWidth="1"/>
    <col min="28" max="28" width="17.140625" style="492" customWidth="1"/>
    <col min="29" max="29" width="13.28515625" style="492" customWidth="1"/>
    <col min="30" max="35" width="11.42578125" style="492" customWidth="1"/>
    <col min="36" max="36" width="17.7109375" style="492" customWidth="1"/>
    <col min="37" max="37" width="11.42578125" style="492"/>
    <col min="38" max="38" width="15.28515625" style="492" bestFit="1" customWidth="1"/>
    <col min="39" max="39" width="22.85546875" style="492" customWidth="1"/>
    <col min="40" max="40" width="15" style="492" customWidth="1"/>
    <col min="41" max="41" width="13.140625" style="492" customWidth="1"/>
    <col min="42" max="256" width="11.42578125" style="492"/>
    <col min="257" max="257" width="6.42578125" style="492" customWidth="1"/>
    <col min="258" max="258" width="30.7109375" style="492" customWidth="1"/>
    <col min="259" max="259" width="19.42578125" style="492" customWidth="1"/>
    <col min="260" max="260" width="30.7109375" style="492" customWidth="1"/>
    <col min="261" max="263" width="17.85546875" style="492" customWidth="1"/>
    <col min="264" max="277" width="15.7109375" style="492" customWidth="1"/>
    <col min="278" max="278" width="11.42578125" style="492"/>
    <col min="279" max="283" width="15.7109375" style="492" customWidth="1"/>
    <col min="284" max="284" width="11.42578125" style="492"/>
    <col min="285" max="285" width="13.28515625" style="492" customWidth="1"/>
    <col min="286" max="291" width="11.42578125" style="492"/>
    <col min="292" max="292" width="14.5703125" style="492" customWidth="1"/>
    <col min="293" max="512" width="11.42578125" style="492"/>
    <col min="513" max="513" width="6.42578125" style="492" customWidth="1"/>
    <col min="514" max="514" width="30.7109375" style="492" customWidth="1"/>
    <col min="515" max="515" width="19.42578125" style="492" customWidth="1"/>
    <col min="516" max="516" width="30.7109375" style="492" customWidth="1"/>
    <col min="517" max="519" width="17.85546875" style="492" customWidth="1"/>
    <col min="520" max="533" width="15.7109375" style="492" customWidth="1"/>
    <col min="534" max="534" width="11.42578125" style="492"/>
    <col min="535" max="539" width="15.7109375" style="492" customWidth="1"/>
    <col min="540" max="540" width="11.42578125" style="492"/>
    <col min="541" max="541" width="13.28515625" style="492" customWidth="1"/>
    <col min="542" max="547" width="11.42578125" style="492"/>
    <col min="548" max="548" width="14.5703125" style="492" customWidth="1"/>
    <col min="549" max="768" width="11.42578125" style="492"/>
    <col min="769" max="769" width="6.42578125" style="492" customWidth="1"/>
    <col min="770" max="770" width="30.7109375" style="492" customWidth="1"/>
    <col min="771" max="771" width="19.42578125" style="492" customWidth="1"/>
    <col min="772" max="772" width="30.7109375" style="492" customWidth="1"/>
    <col min="773" max="775" width="17.85546875" style="492" customWidth="1"/>
    <col min="776" max="789" width="15.7109375" style="492" customWidth="1"/>
    <col min="790" max="790" width="11.42578125" style="492"/>
    <col min="791" max="795" width="15.7109375" style="492" customWidth="1"/>
    <col min="796" max="796" width="11.42578125" style="492"/>
    <col min="797" max="797" width="13.28515625" style="492" customWidth="1"/>
    <col min="798" max="803" width="11.42578125" style="492"/>
    <col min="804" max="804" width="14.5703125" style="492" customWidth="1"/>
    <col min="805" max="1024" width="11.42578125" style="492"/>
    <col min="1025" max="1025" width="6.42578125" style="492" customWidth="1"/>
    <col min="1026" max="1026" width="30.7109375" style="492" customWidth="1"/>
    <col min="1027" max="1027" width="19.42578125" style="492" customWidth="1"/>
    <col min="1028" max="1028" width="30.7109375" style="492" customWidth="1"/>
    <col min="1029" max="1031" width="17.85546875" style="492" customWidth="1"/>
    <col min="1032" max="1045" width="15.7109375" style="492" customWidth="1"/>
    <col min="1046" max="1046" width="11.42578125" style="492"/>
    <col min="1047" max="1051" width="15.7109375" style="492" customWidth="1"/>
    <col min="1052" max="1052" width="11.42578125" style="492"/>
    <col min="1053" max="1053" width="13.28515625" style="492" customWidth="1"/>
    <col min="1054" max="1059" width="11.42578125" style="492"/>
    <col min="1060" max="1060" width="14.5703125" style="492" customWidth="1"/>
    <col min="1061" max="1280" width="11.42578125" style="492"/>
    <col min="1281" max="1281" width="6.42578125" style="492" customWidth="1"/>
    <col min="1282" max="1282" width="30.7109375" style="492" customWidth="1"/>
    <col min="1283" max="1283" width="19.42578125" style="492" customWidth="1"/>
    <col min="1284" max="1284" width="30.7109375" style="492" customWidth="1"/>
    <col min="1285" max="1287" width="17.85546875" style="492" customWidth="1"/>
    <col min="1288" max="1301" width="15.7109375" style="492" customWidth="1"/>
    <col min="1302" max="1302" width="11.42578125" style="492"/>
    <col min="1303" max="1307" width="15.7109375" style="492" customWidth="1"/>
    <col min="1308" max="1308" width="11.42578125" style="492"/>
    <col min="1309" max="1309" width="13.28515625" style="492" customWidth="1"/>
    <col min="1310" max="1315" width="11.42578125" style="492"/>
    <col min="1316" max="1316" width="14.5703125" style="492" customWidth="1"/>
    <col min="1317" max="1536" width="11.42578125" style="492"/>
    <col min="1537" max="1537" width="6.42578125" style="492" customWidth="1"/>
    <col min="1538" max="1538" width="30.7109375" style="492" customWidth="1"/>
    <col min="1539" max="1539" width="19.42578125" style="492" customWidth="1"/>
    <col min="1540" max="1540" width="30.7109375" style="492" customWidth="1"/>
    <col min="1541" max="1543" width="17.85546875" style="492" customWidth="1"/>
    <col min="1544" max="1557" width="15.7109375" style="492" customWidth="1"/>
    <col min="1558" max="1558" width="11.42578125" style="492"/>
    <col min="1559" max="1563" width="15.7109375" style="492" customWidth="1"/>
    <col min="1564" max="1564" width="11.42578125" style="492"/>
    <col min="1565" max="1565" width="13.28515625" style="492" customWidth="1"/>
    <col min="1566" max="1571" width="11.42578125" style="492"/>
    <col min="1572" max="1572" width="14.5703125" style="492" customWidth="1"/>
    <col min="1573" max="1792" width="11.42578125" style="492"/>
    <col min="1793" max="1793" width="6.42578125" style="492" customWidth="1"/>
    <col min="1794" max="1794" width="30.7109375" style="492" customWidth="1"/>
    <col min="1795" max="1795" width="19.42578125" style="492" customWidth="1"/>
    <col min="1796" max="1796" width="30.7109375" style="492" customWidth="1"/>
    <col min="1797" max="1799" width="17.85546875" style="492" customWidth="1"/>
    <col min="1800" max="1813" width="15.7109375" style="492" customWidth="1"/>
    <col min="1814" max="1814" width="11.42578125" style="492"/>
    <col min="1815" max="1819" width="15.7109375" style="492" customWidth="1"/>
    <col min="1820" max="1820" width="11.42578125" style="492"/>
    <col min="1821" max="1821" width="13.28515625" style="492" customWidth="1"/>
    <col min="1822" max="1827" width="11.42578125" style="492"/>
    <col min="1828" max="1828" width="14.5703125" style="492" customWidth="1"/>
    <col min="1829" max="2048" width="11.42578125" style="492"/>
    <col min="2049" max="2049" width="6.42578125" style="492" customWidth="1"/>
    <col min="2050" max="2050" width="30.7109375" style="492" customWidth="1"/>
    <col min="2051" max="2051" width="19.42578125" style="492" customWidth="1"/>
    <col min="2052" max="2052" width="30.7109375" style="492" customWidth="1"/>
    <col min="2053" max="2055" width="17.85546875" style="492" customWidth="1"/>
    <col min="2056" max="2069" width="15.7109375" style="492" customWidth="1"/>
    <col min="2070" max="2070" width="11.42578125" style="492"/>
    <col min="2071" max="2075" width="15.7109375" style="492" customWidth="1"/>
    <col min="2076" max="2076" width="11.42578125" style="492"/>
    <col min="2077" max="2077" width="13.28515625" style="492" customWidth="1"/>
    <col min="2078" max="2083" width="11.42578125" style="492"/>
    <col min="2084" max="2084" width="14.5703125" style="492" customWidth="1"/>
    <col min="2085" max="2304" width="11.42578125" style="492"/>
    <col min="2305" max="2305" width="6.42578125" style="492" customWidth="1"/>
    <col min="2306" max="2306" width="30.7109375" style="492" customWidth="1"/>
    <col min="2307" max="2307" width="19.42578125" style="492" customWidth="1"/>
    <col min="2308" max="2308" width="30.7109375" style="492" customWidth="1"/>
    <col min="2309" max="2311" width="17.85546875" style="492" customWidth="1"/>
    <col min="2312" max="2325" width="15.7109375" style="492" customWidth="1"/>
    <col min="2326" max="2326" width="11.42578125" style="492"/>
    <col min="2327" max="2331" width="15.7109375" style="492" customWidth="1"/>
    <col min="2332" max="2332" width="11.42578125" style="492"/>
    <col min="2333" max="2333" width="13.28515625" style="492" customWidth="1"/>
    <col min="2334" max="2339" width="11.42578125" style="492"/>
    <col min="2340" max="2340" width="14.5703125" style="492" customWidth="1"/>
    <col min="2341" max="2560" width="11.42578125" style="492"/>
    <col min="2561" max="2561" width="6.42578125" style="492" customWidth="1"/>
    <col min="2562" max="2562" width="30.7109375" style="492" customWidth="1"/>
    <col min="2563" max="2563" width="19.42578125" style="492" customWidth="1"/>
    <col min="2564" max="2564" width="30.7109375" style="492" customWidth="1"/>
    <col min="2565" max="2567" width="17.85546875" style="492" customWidth="1"/>
    <col min="2568" max="2581" width="15.7109375" style="492" customWidth="1"/>
    <col min="2582" max="2582" width="11.42578125" style="492"/>
    <col min="2583" max="2587" width="15.7109375" style="492" customWidth="1"/>
    <col min="2588" max="2588" width="11.42578125" style="492"/>
    <col min="2589" max="2589" width="13.28515625" style="492" customWidth="1"/>
    <col min="2590" max="2595" width="11.42578125" style="492"/>
    <col min="2596" max="2596" width="14.5703125" style="492" customWidth="1"/>
    <col min="2597" max="2816" width="11.42578125" style="492"/>
    <col min="2817" max="2817" width="6.42578125" style="492" customWidth="1"/>
    <col min="2818" max="2818" width="30.7109375" style="492" customWidth="1"/>
    <col min="2819" max="2819" width="19.42578125" style="492" customWidth="1"/>
    <col min="2820" max="2820" width="30.7109375" style="492" customWidth="1"/>
    <col min="2821" max="2823" width="17.85546875" style="492" customWidth="1"/>
    <col min="2824" max="2837" width="15.7109375" style="492" customWidth="1"/>
    <col min="2838" max="2838" width="11.42578125" style="492"/>
    <col min="2839" max="2843" width="15.7109375" style="492" customWidth="1"/>
    <col min="2844" max="2844" width="11.42578125" style="492"/>
    <col min="2845" max="2845" width="13.28515625" style="492" customWidth="1"/>
    <col min="2846" max="2851" width="11.42578125" style="492"/>
    <col min="2852" max="2852" width="14.5703125" style="492" customWidth="1"/>
    <col min="2853" max="3072" width="11.42578125" style="492"/>
    <col min="3073" max="3073" width="6.42578125" style="492" customWidth="1"/>
    <col min="3074" max="3074" width="30.7109375" style="492" customWidth="1"/>
    <col min="3075" max="3075" width="19.42578125" style="492" customWidth="1"/>
    <col min="3076" max="3076" width="30.7109375" style="492" customWidth="1"/>
    <col min="3077" max="3079" width="17.85546875" style="492" customWidth="1"/>
    <col min="3080" max="3093" width="15.7109375" style="492" customWidth="1"/>
    <col min="3094" max="3094" width="11.42578125" style="492"/>
    <col min="3095" max="3099" width="15.7109375" style="492" customWidth="1"/>
    <col min="3100" max="3100" width="11.42578125" style="492"/>
    <col min="3101" max="3101" width="13.28515625" style="492" customWidth="1"/>
    <col min="3102" max="3107" width="11.42578125" style="492"/>
    <col min="3108" max="3108" width="14.5703125" style="492" customWidth="1"/>
    <col min="3109" max="3328" width="11.42578125" style="492"/>
    <col min="3329" max="3329" width="6.42578125" style="492" customWidth="1"/>
    <col min="3330" max="3330" width="30.7109375" style="492" customWidth="1"/>
    <col min="3331" max="3331" width="19.42578125" style="492" customWidth="1"/>
    <col min="3332" max="3332" width="30.7109375" style="492" customWidth="1"/>
    <col min="3333" max="3335" width="17.85546875" style="492" customWidth="1"/>
    <col min="3336" max="3349" width="15.7109375" style="492" customWidth="1"/>
    <col min="3350" max="3350" width="11.42578125" style="492"/>
    <col min="3351" max="3355" width="15.7109375" style="492" customWidth="1"/>
    <col min="3356" max="3356" width="11.42578125" style="492"/>
    <col min="3357" max="3357" width="13.28515625" style="492" customWidth="1"/>
    <col min="3358" max="3363" width="11.42578125" style="492"/>
    <col min="3364" max="3364" width="14.5703125" style="492" customWidth="1"/>
    <col min="3365" max="3584" width="11.42578125" style="492"/>
    <col min="3585" max="3585" width="6.42578125" style="492" customWidth="1"/>
    <col min="3586" max="3586" width="30.7109375" style="492" customWidth="1"/>
    <col min="3587" max="3587" width="19.42578125" style="492" customWidth="1"/>
    <col min="3588" max="3588" width="30.7109375" style="492" customWidth="1"/>
    <col min="3589" max="3591" width="17.85546875" style="492" customWidth="1"/>
    <col min="3592" max="3605" width="15.7109375" style="492" customWidth="1"/>
    <col min="3606" max="3606" width="11.42578125" style="492"/>
    <col min="3607" max="3611" width="15.7109375" style="492" customWidth="1"/>
    <col min="3612" max="3612" width="11.42578125" style="492"/>
    <col min="3613" max="3613" width="13.28515625" style="492" customWidth="1"/>
    <col min="3614" max="3619" width="11.42578125" style="492"/>
    <col min="3620" max="3620" width="14.5703125" style="492" customWidth="1"/>
    <col min="3621" max="3840" width="11.42578125" style="492"/>
    <col min="3841" max="3841" width="6.42578125" style="492" customWidth="1"/>
    <col min="3842" max="3842" width="30.7109375" style="492" customWidth="1"/>
    <col min="3843" max="3843" width="19.42578125" style="492" customWidth="1"/>
    <col min="3844" max="3844" width="30.7109375" style="492" customWidth="1"/>
    <col min="3845" max="3847" width="17.85546875" style="492" customWidth="1"/>
    <col min="3848" max="3861" width="15.7109375" style="492" customWidth="1"/>
    <col min="3862" max="3862" width="11.42578125" style="492"/>
    <col min="3863" max="3867" width="15.7109375" style="492" customWidth="1"/>
    <col min="3868" max="3868" width="11.42578125" style="492"/>
    <col min="3869" max="3869" width="13.28515625" style="492" customWidth="1"/>
    <col min="3870" max="3875" width="11.42578125" style="492"/>
    <col min="3876" max="3876" width="14.5703125" style="492" customWidth="1"/>
    <col min="3877" max="4096" width="11.42578125" style="492"/>
    <col min="4097" max="4097" width="6.42578125" style="492" customWidth="1"/>
    <col min="4098" max="4098" width="30.7109375" style="492" customWidth="1"/>
    <col min="4099" max="4099" width="19.42578125" style="492" customWidth="1"/>
    <col min="4100" max="4100" width="30.7109375" style="492" customWidth="1"/>
    <col min="4101" max="4103" width="17.85546875" style="492" customWidth="1"/>
    <col min="4104" max="4117" width="15.7109375" style="492" customWidth="1"/>
    <col min="4118" max="4118" width="11.42578125" style="492"/>
    <col min="4119" max="4123" width="15.7109375" style="492" customWidth="1"/>
    <col min="4124" max="4124" width="11.42578125" style="492"/>
    <col min="4125" max="4125" width="13.28515625" style="492" customWidth="1"/>
    <col min="4126" max="4131" width="11.42578125" style="492"/>
    <col min="4132" max="4132" width="14.5703125" style="492" customWidth="1"/>
    <col min="4133" max="4352" width="11.42578125" style="492"/>
    <col min="4353" max="4353" width="6.42578125" style="492" customWidth="1"/>
    <col min="4354" max="4354" width="30.7109375" style="492" customWidth="1"/>
    <col min="4355" max="4355" width="19.42578125" style="492" customWidth="1"/>
    <col min="4356" max="4356" width="30.7109375" style="492" customWidth="1"/>
    <col min="4357" max="4359" width="17.85546875" style="492" customWidth="1"/>
    <col min="4360" max="4373" width="15.7109375" style="492" customWidth="1"/>
    <col min="4374" max="4374" width="11.42578125" style="492"/>
    <col min="4375" max="4379" width="15.7109375" style="492" customWidth="1"/>
    <col min="4380" max="4380" width="11.42578125" style="492"/>
    <col min="4381" max="4381" width="13.28515625" style="492" customWidth="1"/>
    <col min="4382" max="4387" width="11.42578125" style="492"/>
    <col min="4388" max="4388" width="14.5703125" style="492" customWidth="1"/>
    <col min="4389" max="4608" width="11.42578125" style="492"/>
    <col min="4609" max="4609" width="6.42578125" style="492" customWidth="1"/>
    <col min="4610" max="4610" width="30.7109375" style="492" customWidth="1"/>
    <col min="4611" max="4611" width="19.42578125" style="492" customWidth="1"/>
    <col min="4612" max="4612" width="30.7109375" style="492" customWidth="1"/>
    <col min="4613" max="4615" width="17.85546875" style="492" customWidth="1"/>
    <col min="4616" max="4629" width="15.7109375" style="492" customWidth="1"/>
    <col min="4630" max="4630" width="11.42578125" style="492"/>
    <col min="4631" max="4635" width="15.7109375" style="492" customWidth="1"/>
    <col min="4636" max="4636" width="11.42578125" style="492"/>
    <col min="4637" max="4637" width="13.28515625" style="492" customWidth="1"/>
    <col min="4638" max="4643" width="11.42578125" style="492"/>
    <col min="4644" max="4644" width="14.5703125" style="492" customWidth="1"/>
    <col min="4645" max="4864" width="11.42578125" style="492"/>
    <col min="4865" max="4865" width="6.42578125" style="492" customWidth="1"/>
    <col min="4866" max="4866" width="30.7109375" style="492" customWidth="1"/>
    <col min="4867" max="4867" width="19.42578125" style="492" customWidth="1"/>
    <col min="4868" max="4868" width="30.7109375" style="492" customWidth="1"/>
    <col min="4869" max="4871" width="17.85546875" style="492" customWidth="1"/>
    <col min="4872" max="4885" width="15.7109375" style="492" customWidth="1"/>
    <col min="4886" max="4886" width="11.42578125" style="492"/>
    <col min="4887" max="4891" width="15.7109375" style="492" customWidth="1"/>
    <col min="4892" max="4892" width="11.42578125" style="492"/>
    <col min="4893" max="4893" width="13.28515625" style="492" customWidth="1"/>
    <col min="4894" max="4899" width="11.42578125" style="492"/>
    <col min="4900" max="4900" width="14.5703125" style="492" customWidth="1"/>
    <col min="4901" max="5120" width="11.42578125" style="492"/>
    <col min="5121" max="5121" width="6.42578125" style="492" customWidth="1"/>
    <col min="5122" max="5122" width="30.7109375" style="492" customWidth="1"/>
    <col min="5123" max="5123" width="19.42578125" style="492" customWidth="1"/>
    <col min="5124" max="5124" width="30.7109375" style="492" customWidth="1"/>
    <col min="5125" max="5127" width="17.85546875" style="492" customWidth="1"/>
    <col min="5128" max="5141" width="15.7109375" style="492" customWidth="1"/>
    <col min="5142" max="5142" width="11.42578125" style="492"/>
    <col min="5143" max="5147" width="15.7109375" style="492" customWidth="1"/>
    <col min="5148" max="5148" width="11.42578125" style="492"/>
    <col min="5149" max="5149" width="13.28515625" style="492" customWidth="1"/>
    <col min="5150" max="5155" width="11.42578125" style="492"/>
    <col min="5156" max="5156" width="14.5703125" style="492" customWidth="1"/>
    <col min="5157" max="5376" width="11.42578125" style="492"/>
    <col min="5377" max="5377" width="6.42578125" style="492" customWidth="1"/>
    <col min="5378" max="5378" width="30.7109375" style="492" customWidth="1"/>
    <col min="5379" max="5379" width="19.42578125" style="492" customWidth="1"/>
    <col min="5380" max="5380" width="30.7109375" style="492" customWidth="1"/>
    <col min="5381" max="5383" width="17.85546875" style="492" customWidth="1"/>
    <col min="5384" max="5397" width="15.7109375" style="492" customWidth="1"/>
    <col min="5398" max="5398" width="11.42578125" style="492"/>
    <col min="5399" max="5403" width="15.7109375" style="492" customWidth="1"/>
    <col min="5404" max="5404" width="11.42578125" style="492"/>
    <col min="5405" max="5405" width="13.28515625" style="492" customWidth="1"/>
    <col min="5406" max="5411" width="11.42578125" style="492"/>
    <col min="5412" max="5412" width="14.5703125" style="492" customWidth="1"/>
    <col min="5413" max="5632" width="11.42578125" style="492"/>
    <col min="5633" max="5633" width="6.42578125" style="492" customWidth="1"/>
    <col min="5634" max="5634" width="30.7109375" style="492" customWidth="1"/>
    <col min="5635" max="5635" width="19.42578125" style="492" customWidth="1"/>
    <col min="5636" max="5636" width="30.7109375" style="492" customWidth="1"/>
    <col min="5637" max="5639" width="17.85546875" style="492" customWidth="1"/>
    <col min="5640" max="5653" width="15.7109375" style="492" customWidth="1"/>
    <col min="5654" max="5654" width="11.42578125" style="492"/>
    <col min="5655" max="5659" width="15.7109375" style="492" customWidth="1"/>
    <col min="5660" max="5660" width="11.42578125" style="492"/>
    <col min="5661" max="5661" width="13.28515625" style="492" customWidth="1"/>
    <col min="5662" max="5667" width="11.42578125" style="492"/>
    <col min="5668" max="5668" width="14.5703125" style="492" customWidth="1"/>
    <col min="5669" max="5888" width="11.42578125" style="492"/>
    <col min="5889" max="5889" width="6.42578125" style="492" customWidth="1"/>
    <col min="5890" max="5890" width="30.7109375" style="492" customWidth="1"/>
    <col min="5891" max="5891" width="19.42578125" style="492" customWidth="1"/>
    <col min="5892" max="5892" width="30.7109375" style="492" customWidth="1"/>
    <col min="5893" max="5895" width="17.85546875" style="492" customWidth="1"/>
    <col min="5896" max="5909" width="15.7109375" style="492" customWidth="1"/>
    <col min="5910" max="5910" width="11.42578125" style="492"/>
    <col min="5911" max="5915" width="15.7109375" style="492" customWidth="1"/>
    <col min="5916" max="5916" width="11.42578125" style="492"/>
    <col min="5917" max="5917" width="13.28515625" style="492" customWidth="1"/>
    <col min="5918" max="5923" width="11.42578125" style="492"/>
    <col min="5924" max="5924" width="14.5703125" style="492" customWidth="1"/>
    <col min="5925" max="6144" width="11.42578125" style="492"/>
    <col min="6145" max="6145" width="6.42578125" style="492" customWidth="1"/>
    <col min="6146" max="6146" width="30.7109375" style="492" customWidth="1"/>
    <col min="6147" max="6147" width="19.42578125" style="492" customWidth="1"/>
    <col min="6148" max="6148" width="30.7109375" style="492" customWidth="1"/>
    <col min="6149" max="6151" width="17.85546875" style="492" customWidth="1"/>
    <col min="6152" max="6165" width="15.7109375" style="492" customWidth="1"/>
    <col min="6166" max="6166" width="11.42578125" style="492"/>
    <col min="6167" max="6171" width="15.7109375" style="492" customWidth="1"/>
    <col min="6172" max="6172" width="11.42578125" style="492"/>
    <col min="6173" max="6173" width="13.28515625" style="492" customWidth="1"/>
    <col min="6174" max="6179" width="11.42578125" style="492"/>
    <col min="6180" max="6180" width="14.5703125" style="492" customWidth="1"/>
    <col min="6181" max="6400" width="11.42578125" style="492"/>
    <col min="6401" max="6401" width="6.42578125" style="492" customWidth="1"/>
    <col min="6402" max="6402" width="30.7109375" style="492" customWidth="1"/>
    <col min="6403" max="6403" width="19.42578125" style="492" customWidth="1"/>
    <col min="6404" max="6404" width="30.7109375" style="492" customWidth="1"/>
    <col min="6405" max="6407" width="17.85546875" style="492" customWidth="1"/>
    <col min="6408" max="6421" width="15.7109375" style="492" customWidth="1"/>
    <col min="6422" max="6422" width="11.42578125" style="492"/>
    <col min="6423" max="6427" width="15.7109375" style="492" customWidth="1"/>
    <col min="6428" max="6428" width="11.42578125" style="492"/>
    <col min="6429" max="6429" width="13.28515625" style="492" customWidth="1"/>
    <col min="6430" max="6435" width="11.42578125" style="492"/>
    <col min="6436" max="6436" width="14.5703125" style="492" customWidth="1"/>
    <col min="6437" max="6656" width="11.42578125" style="492"/>
    <col min="6657" max="6657" width="6.42578125" style="492" customWidth="1"/>
    <col min="6658" max="6658" width="30.7109375" style="492" customWidth="1"/>
    <col min="6659" max="6659" width="19.42578125" style="492" customWidth="1"/>
    <col min="6660" max="6660" width="30.7109375" style="492" customWidth="1"/>
    <col min="6661" max="6663" width="17.85546875" style="492" customWidth="1"/>
    <col min="6664" max="6677" width="15.7109375" style="492" customWidth="1"/>
    <col min="6678" max="6678" width="11.42578125" style="492"/>
    <col min="6679" max="6683" width="15.7109375" style="492" customWidth="1"/>
    <col min="6684" max="6684" width="11.42578125" style="492"/>
    <col min="6685" max="6685" width="13.28515625" style="492" customWidth="1"/>
    <col min="6686" max="6691" width="11.42578125" style="492"/>
    <col min="6692" max="6692" width="14.5703125" style="492" customWidth="1"/>
    <col min="6693" max="6912" width="11.42578125" style="492"/>
    <col min="6913" max="6913" width="6.42578125" style="492" customWidth="1"/>
    <col min="6914" max="6914" width="30.7109375" style="492" customWidth="1"/>
    <col min="6915" max="6915" width="19.42578125" style="492" customWidth="1"/>
    <col min="6916" max="6916" width="30.7109375" style="492" customWidth="1"/>
    <col min="6917" max="6919" width="17.85546875" style="492" customWidth="1"/>
    <col min="6920" max="6933" width="15.7109375" style="492" customWidth="1"/>
    <col min="6934" max="6934" width="11.42578125" style="492"/>
    <col min="6935" max="6939" width="15.7109375" style="492" customWidth="1"/>
    <col min="6940" max="6940" width="11.42578125" style="492"/>
    <col min="6941" max="6941" width="13.28515625" style="492" customWidth="1"/>
    <col min="6942" max="6947" width="11.42578125" style="492"/>
    <col min="6948" max="6948" width="14.5703125" style="492" customWidth="1"/>
    <col min="6949" max="7168" width="11.42578125" style="492"/>
    <col min="7169" max="7169" width="6.42578125" style="492" customWidth="1"/>
    <col min="7170" max="7170" width="30.7109375" style="492" customWidth="1"/>
    <col min="7171" max="7171" width="19.42578125" style="492" customWidth="1"/>
    <col min="7172" max="7172" width="30.7109375" style="492" customWidth="1"/>
    <col min="7173" max="7175" width="17.85546875" style="492" customWidth="1"/>
    <col min="7176" max="7189" width="15.7109375" style="492" customWidth="1"/>
    <col min="7190" max="7190" width="11.42578125" style="492"/>
    <col min="7191" max="7195" width="15.7109375" style="492" customWidth="1"/>
    <col min="7196" max="7196" width="11.42578125" style="492"/>
    <col min="7197" max="7197" width="13.28515625" style="492" customWidth="1"/>
    <col min="7198" max="7203" width="11.42578125" style="492"/>
    <col min="7204" max="7204" width="14.5703125" style="492" customWidth="1"/>
    <col min="7205" max="7424" width="11.42578125" style="492"/>
    <col min="7425" max="7425" width="6.42578125" style="492" customWidth="1"/>
    <col min="7426" max="7426" width="30.7109375" style="492" customWidth="1"/>
    <col min="7427" max="7427" width="19.42578125" style="492" customWidth="1"/>
    <col min="7428" max="7428" width="30.7109375" style="492" customWidth="1"/>
    <col min="7429" max="7431" width="17.85546875" style="492" customWidth="1"/>
    <col min="7432" max="7445" width="15.7109375" style="492" customWidth="1"/>
    <col min="7446" max="7446" width="11.42578125" style="492"/>
    <col min="7447" max="7451" width="15.7109375" style="492" customWidth="1"/>
    <col min="7452" max="7452" width="11.42578125" style="492"/>
    <col min="7453" max="7453" width="13.28515625" style="492" customWidth="1"/>
    <col min="7454" max="7459" width="11.42578125" style="492"/>
    <col min="7460" max="7460" width="14.5703125" style="492" customWidth="1"/>
    <col min="7461" max="7680" width="11.42578125" style="492"/>
    <col min="7681" max="7681" width="6.42578125" style="492" customWidth="1"/>
    <col min="7682" max="7682" width="30.7109375" style="492" customWidth="1"/>
    <col min="7683" max="7683" width="19.42578125" style="492" customWidth="1"/>
    <col min="7684" max="7684" width="30.7109375" style="492" customWidth="1"/>
    <col min="7685" max="7687" width="17.85546875" style="492" customWidth="1"/>
    <col min="7688" max="7701" width="15.7109375" style="492" customWidth="1"/>
    <col min="7702" max="7702" width="11.42578125" style="492"/>
    <col min="7703" max="7707" width="15.7109375" style="492" customWidth="1"/>
    <col min="7708" max="7708" width="11.42578125" style="492"/>
    <col min="7709" max="7709" width="13.28515625" style="492" customWidth="1"/>
    <col min="7710" max="7715" width="11.42578125" style="492"/>
    <col min="7716" max="7716" width="14.5703125" style="492" customWidth="1"/>
    <col min="7717" max="7936" width="11.42578125" style="492"/>
    <col min="7937" max="7937" width="6.42578125" style="492" customWidth="1"/>
    <col min="7938" max="7938" width="30.7109375" style="492" customWidth="1"/>
    <col min="7939" max="7939" width="19.42578125" style="492" customWidth="1"/>
    <col min="7940" max="7940" width="30.7109375" style="492" customWidth="1"/>
    <col min="7941" max="7943" width="17.85546875" style="492" customWidth="1"/>
    <col min="7944" max="7957" width="15.7109375" style="492" customWidth="1"/>
    <col min="7958" max="7958" width="11.42578125" style="492"/>
    <col min="7959" max="7963" width="15.7109375" style="492" customWidth="1"/>
    <col min="7964" max="7964" width="11.42578125" style="492"/>
    <col min="7965" max="7965" width="13.28515625" style="492" customWidth="1"/>
    <col min="7966" max="7971" width="11.42578125" style="492"/>
    <col min="7972" max="7972" width="14.5703125" style="492" customWidth="1"/>
    <col min="7973" max="8192" width="11.42578125" style="492"/>
    <col min="8193" max="8193" width="6.42578125" style="492" customWidth="1"/>
    <col min="8194" max="8194" width="30.7109375" style="492" customWidth="1"/>
    <col min="8195" max="8195" width="19.42578125" style="492" customWidth="1"/>
    <col min="8196" max="8196" width="30.7109375" style="492" customWidth="1"/>
    <col min="8197" max="8199" width="17.85546875" style="492" customWidth="1"/>
    <col min="8200" max="8213" width="15.7109375" style="492" customWidth="1"/>
    <col min="8214" max="8214" width="11.42578125" style="492"/>
    <col min="8215" max="8219" width="15.7109375" style="492" customWidth="1"/>
    <col min="8220" max="8220" width="11.42578125" style="492"/>
    <col min="8221" max="8221" width="13.28515625" style="492" customWidth="1"/>
    <col min="8222" max="8227" width="11.42578125" style="492"/>
    <col min="8228" max="8228" width="14.5703125" style="492" customWidth="1"/>
    <col min="8229" max="8448" width="11.42578125" style="492"/>
    <col min="8449" max="8449" width="6.42578125" style="492" customWidth="1"/>
    <col min="8450" max="8450" width="30.7109375" style="492" customWidth="1"/>
    <col min="8451" max="8451" width="19.42578125" style="492" customWidth="1"/>
    <col min="8452" max="8452" width="30.7109375" style="492" customWidth="1"/>
    <col min="8453" max="8455" width="17.85546875" style="492" customWidth="1"/>
    <col min="8456" max="8469" width="15.7109375" style="492" customWidth="1"/>
    <col min="8470" max="8470" width="11.42578125" style="492"/>
    <col min="8471" max="8475" width="15.7109375" style="492" customWidth="1"/>
    <col min="8476" max="8476" width="11.42578125" style="492"/>
    <col min="8477" max="8477" width="13.28515625" style="492" customWidth="1"/>
    <col min="8478" max="8483" width="11.42578125" style="492"/>
    <col min="8484" max="8484" width="14.5703125" style="492" customWidth="1"/>
    <col min="8485" max="8704" width="11.42578125" style="492"/>
    <col min="8705" max="8705" width="6.42578125" style="492" customWidth="1"/>
    <col min="8706" max="8706" width="30.7109375" style="492" customWidth="1"/>
    <col min="8707" max="8707" width="19.42578125" style="492" customWidth="1"/>
    <col min="8708" max="8708" width="30.7109375" style="492" customWidth="1"/>
    <col min="8709" max="8711" width="17.85546875" style="492" customWidth="1"/>
    <col min="8712" max="8725" width="15.7109375" style="492" customWidth="1"/>
    <col min="8726" max="8726" width="11.42578125" style="492"/>
    <col min="8727" max="8731" width="15.7109375" style="492" customWidth="1"/>
    <col min="8732" max="8732" width="11.42578125" style="492"/>
    <col min="8733" max="8733" width="13.28515625" style="492" customWidth="1"/>
    <col min="8734" max="8739" width="11.42578125" style="492"/>
    <col min="8740" max="8740" width="14.5703125" style="492" customWidth="1"/>
    <col min="8741" max="8960" width="11.42578125" style="492"/>
    <col min="8961" max="8961" width="6.42578125" style="492" customWidth="1"/>
    <col min="8962" max="8962" width="30.7109375" style="492" customWidth="1"/>
    <col min="8963" max="8963" width="19.42578125" style="492" customWidth="1"/>
    <col min="8964" max="8964" width="30.7109375" style="492" customWidth="1"/>
    <col min="8965" max="8967" width="17.85546875" style="492" customWidth="1"/>
    <col min="8968" max="8981" width="15.7109375" style="492" customWidth="1"/>
    <col min="8982" max="8982" width="11.42578125" style="492"/>
    <col min="8983" max="8987" width="15.7109375" style="492" customWidth="1"/>
    <col min="8988" max="8988" width="11.42578125" style="492"/>
    <col min="8989" max="8989" width="13.28515625" style="492" customWidth="1"/>
    <col min="8990" max="8995" width="11.42578125" style="492"/>
    <col min="8996" max="8996" width="14.5703125" style="492" customWidth="1"/>
    <col min="8997" max="9216" width="11.42578125" style="492"/>
    <col min="9217" max="9217" width="6.42578125" style="492" customWidth="1"/>
    <col min="9218" max="9218" width="30.7109375" style="492" customWidth="1"/>
    <col min="9219" max="9219" width="19.42578125" style="492" customWidth="1"/>
    <col min="9220" max="9220" width="30.7109375" style="492" customWidth="1"/>
    <col min="9221" max="9223" width="17.85546875" style="492" customWidth="1"/>
    <col min="9224" max="9237" width="15.7109375" style="492" customWidth="1"/>
    <col min="9238" max="9238" width="11.42578125" style="492"/>
    <col min="9239" max="9243" width="15.7109375" style="492" customWidth="1"/>
    <col min="9244" max="9244" width="11.42578125" style="492"/>
    <col min="9245" max="9245" width="13.28515625" style="492" customWidth="1"/>
    <col min="9246" max="9251" width="11.42578125" style="492"/>
    <col min="9252" max="9252" width="14.5703125" style="492" customWidth="1"/>
    <col min="9253" max="9472" width="11.42578125" style="492"/>
    <col min="9473" max="9473" width="6.42578125" style="492" customWidth="1"/>
    <col min="9474" max="9474" width="30.7109375" style="492" customWidth="1"/>
    <col min="9475" max="9475" width="19.42578125" style="492" customWidth="1"/>
    <col min="9476" max="9476" width="30.7109375" style="492" customWidth="1"/>
    <col min="9477" max="9479" width="17.85546875" style="492" customWidth="1"/>
    <col min="9480" max="9493" width="15.7109375" style="492" customWidth="1"/>
    <col min="9494" max="9494" width="11.42578125" style="492"/>
    <col min="9495" max="9499" width="15.7109375" style="492" customWidth="1"/>
    <col min="9500" max="9500" width="11.42578125" style="492"/>
    <col min="9501" max="9501" width="13.28515625" style="492" customWidth="1"/>
    <col min="9502" max="9507" width="11.42578125" style="492"/>
    <col min="9508" max="9508" width="14.5703125" style="492" customWidth="1"/>
    <col min="9509" max="9728" width="11.42578125" style="492"/>
    <col min="9729" max="9729" width="6.42578125" style="492" customWidth="1"/>
    <col min="9730" max="9730" width="30.7109375" style="492" customWidth="1"/>
    <col min="9731" max="9731" width="19.42578125" style="492" customWidth="1"/>
    <col min="9732" max="9732" width="30.7109375" style="492" customWidth="1"/>
    <col min="9733" max="9735" width="17.85546875" style="492" customWidth="1"/>
    <col min="9736" max="9749" width="15.7109375" style="492" customWidth="1"/>
    <col min="9750" max="9750" width="11.42578125" style="492"/>
    <col min="9751" max="9755" width="15.7109375" style="492" customWidth="1"/>
    <col min="9756" max="9756" width="11.42578125" style="492"/>
    <col min="9757" max="9757" width="13.28515625" style="492" customWidth="1"/>
    <col min="9758" max="9763" width="11.42578125" style="492"/>
    <col min="9764" max="9764" width="14.5703125" style="492" customWidth="1"/>
    <col min="9765" max="9984" width="11.42578125" style="492"/>
    <col min="9985" max="9985" width="6.42578125" style="492" customWidth="1"/>
    <col min="9986" max="9986" width="30.7109375" style="492" customWidth="1"/>
    <col min="9987" max="9987" width="19.42578125" style="492" customWidth="1"/>
    <col min="9988" max="9988" width="30.7109375" style="492" customWidth="1"/>
    <col min="9989" max="9991" width="17.85546875" style="492" customWidth="1"/>
    <col min="9992" max="10005" width="15.7109375" style="492" customWidth="1"/>
    <col min="10006" max="10006" width="11.42578125" style="492"/>
    <col min="10007" max="10011" width="15.7109375" style="492" customWidth="1"/>
    <col min="10012" max="10012" width="11.42578125" style="492"/>
    <col min="10013" max="10013" width="13.28515625" style="492" customWidth="1"/>
    <col min="10014" max="10019" width="11.42578125" style="492"/>
    <col min="10020" max="10020" width="14.5703125" style="492" customWidth="1"/>
    <col min="10021" max="10240" width="11.42578125" style="492"/>
    <col min="10241" max="10241" width="6.42578125" style="492" customWidth="1"/>
    <col min="10242" max="10242" width="30.7109375" style="492" customWidth="1"/>
    <col min="10243" max="10243" width="19.42578125" style="492" customWidth="1"/>
    <col min="10244" max="10244" width="30.7109375" style="492" customWidth="1"/>
    <col min="10245" max="10247" width="17.85546875" style="492" customWidth="1"/>
    <col min="10248" max="10261" width="15.7109375" style="492" customWidth="1"/>
    <col min="10262" max="10262" width="11.42578125" style="492"/>
    <col min="10263" max="10267" width="15.7109375" style="492" customWidth="1"/>
    <col min="10268" max="10268" width="11.42578125" style="492"/>
    <col min="10269" max="10269" width="13.28515625" style="492" customWidth="1"/>
    <col min="10270" max="10275" width="11.42578125" style="492"/>
    <col min="10276" max="10276" width="14.5703125" style="492" customWidth="1"/>
    <col min="10277" max="10496" width="11.42578125" style="492"/>
    <col min="10497" max="10497" width="6.42578125" style="492" customWidth="1"/>
    <col min="10498" max="10498" width="30.7109375" style="492" customWidth="1"/>
    <col min="10499" max="10499" width="19.42578125" style="492" customWidth="1"/>
    <col min="10500" max="10500" width="30.7109375" style="492" customWidth="1"/>
    <col min="10501" max="10503" width="17.85546875" style="492" customWidth="1"/>
    <col min="10504" max="10517" width="15.7109375" style="492" customWidth="1"/>
    <col min="10518" max="10518" width="11.42578125" style="492"/>
    <col min="10519" max="10523" width="15.7109375" style="492" customWidth="1"/>
    <col min="10524" max="10524" width="11.42578125" style="492"/>
    <col min="10525" max="10525" width="13.28515625" style="492" customWidth="1"/>
    <col min="10526" max="10531" width="11.42578125" style="492"/>
    <col min="10532" max="10532" width="14.5703125" style="492" customWidth="1"/>
    <col min="10533" max="10752" width="11.42578125" style="492"/>
    <col min="10753" max="10753" width="6.42578125" style="492" customWidth="1"/>
    <col min="10754" max="10754" width="30.7109375" style="492" customWidth="1"/>
    <col min="10755" max="10755" width="19.42578125" style="492" customWidth="1"/>
    <col min="10756" max="10756" width="30.7109375" style="492" customWidth="1"/>
    <col min="10757" max="10759" width="17.85546875" style="492" customWidth="1"/>
    <col min="10760" max="10773" width="15.7109375" style="492" customWidth="1"/>
    <col min="10774" max="10774" width="11.42578125" style="492"/>
    <col min="10775" max="10779" width="15.7109375" style="492" customWidth="1"/>
    <col min="10780" max="10780" width="11.42578125" style="492"/>
    <col min="10781" max="10781" width="13.28515625" style="492" customWidth="1"/>
    <col min="10782" max="10787" width="11.42578125" style="492"/>
    <col min="10788" max="10788" width="14.5703125" style="492" customWidth="1"/>
    <col min="10789" max="11008" width="11.42578125" style="492"/>
    <col min="11009" max="11009" width="6.42578125" style="492" customWidth="1"/>
    <col min="11010" max="11010" width="30.7109375" style="492" customWidth="1"/>
    <col min="11011" max="11011" width="19.42578125" style="492" customWidth="1"/>
    <col min="11012" max="11012" width="30.7109375" style="492" customWidth="1"/>
    <col min="11013" max="11015" width="17.85546875" style="492" customWidth="1"/>
    <col min="11016" max="11029" width="15.7109375" style="492" customWidth="1"/>
    <col min="11030" max="11030" width="11.42578125" style="492"/>
    <col min="11031" max="11035" width="15.7109375" style="492" customWidth="1"/>
    <col min="11036" max="11036" width="11.42578125" style="492"/>
    <col min="11037" max="11037" width="13.28515625" style="492" customWidth="1"/>
    <col min="11038" max="11043" width="11.42578125" style="492"/>
    <col min="11044" max="11044" width="14.5703125" style="492" customWidth="1"/>
    <col min="11045" max="11264" width="11.42578125" style="492"/>
    <col min="11265" max="11265" width="6.42578125" style="492" customWidth="1"/>
    <col min="11266" max="11266" width="30.7109375" style="492" customWidth="1"/>
    <col min="11267" max="11267" width="19.42578125" style="492" customWidth="1"/>
    <col min="11268" max="11268" width="30.7109375" style="492" customWidth="1"/>
    <col min="11269" max="11271" width="17.85546875" style="492" customWidth="1"/>
    <col min="11272" max="11285" width="15.7109375" style="492" customWidth="1"/>
    <col min="11286" max="11286" width="11.42578125" style="492"/>
    <col min="11287" max="11291" width="15.7109375" style="492" customWidth="1"/>
    <col min="11292" max="11292" width="11.42578125" style="492"/>
    <col min="11293" max="11293" width="13.28515625" style="492" customWidth="1"/>
    <col min="11294" max="11299" width="11.42578125" style="492"/>
    <col min="11300" max="11300" width="14.5703125" style="492" customWidth="1"/>
    <col min="11301" max="11520" width="11.42578125" style="492"/>
    <col min="11521" max="11521" width="6.42578125" style="492" customWidth="1"/>
    <col min="11522" max="11522" width="30.7109375" style="492" customWidth="1"/>
    <col min="11523" max="11523" width="19.42578125" style="492" customWidth="1"/>
    <col min="11524" max="11524" width="30.7109375" style="492" customWidth="1"/>
    <col min="11525" max="11527" width="17.85546875" style="492" customWidth="1"/>
    <col min="11528" max="11541" width="15.7109375" style="492" customWidth="1"/>
    <col min="11542" max="11542" width="11.42578125" style="492"/>
    <col min="11543" max="11547" width="15.7109375" style="492" customWidth="1"/>
    <col min="11548" max="11548" width="11.42578125" style="492"/>
    <col min="11549" max="11549" width="13.28515625" style="492" customWidth="1"/>
    <col min="11550" max="11555" width="11.42578125" style="492"/>
    <col min="11556" max="11556" width="14.5703125" style="492" customWidth="1"/>
    <col min="11557" max="11776" width="11.42578125" style="492"/>
    <col min="11777" max="11777" width="6.42578125" style="492" customWidth="1"/>
    <col min="11778" max="11778" width="30.7109375" style="492" customWidth="1"/>
    <col min="11779" max="11779" width="19.42578125" style="492" customWidth="1"/>
    <col min="11780" max="11780" width="30.7109375" style="492" customWidth="1"/>
    <col min="11781" max="11783" width="17.85546875" style="492" customWidth="1"/>
    <col min="11784" max="11797" width="15.7109375" style="492" customWidth="1"/>
    <col min="11798" max="11798" width="11.42578125" style="492"/>
    <col min="11799" max="11803" width="15.7109375" style="492" customWidth="1"/>
    <col min="11804" max="11804" width="11.42578125" style="492"/>
    <col min="11805" max="11805" width="13.28515625" style="492" customWidth="1"/>
    <col min="11806" max="11811" width="11.42578125" style="492"/>
    <col min="11812" max="11812" width="14.5703125" style="492" customWidth="1"/>
    <col min="11813" max="12032" width="11.42578125" style="492"/>
    <col min="12033" max="12033" width="6.42578125" style="492" customWidth="1"/>
    <col min="12034" max="12034" width="30.7109375" style="492" customWidth="1"/>
    <col min="12035" max="12035" width="19.42578125" style="492" customWidth="1"/>
    <col min="12036" max="12036" width="30.7109375" style="492" customWidth="1"/>
    <col min="12037" max="12039" width="17.85546875" style="492" customWidth="1"/>
    <col min="12040" max="12053" width="15.7109375" style="492" customWidth="1"/>
    <col min="12054" max="12054" width="11.42578125" style="492"/>
    <col min="12055" max="12059" width="15.7109375" style="492" customWidth="1"/>
    <col min="12060" max="12060" width="11.42578125" style="492"/>
    <col min="12061" max="12061" width="13.28515625" style="492" customWidth="1"/>
    <col min="12062" max="12067" width="11.42578125" style="492"/>
    <col min="12068" max="12068" width="14.5703125" style="492" customWidth="1"/>
    <col min="12069" max="12288" width="11.42578125" style="492"/>
    <col min="12289" max="12289" width="6.42578125" style="492" customWidth="1"/>
    <col min="12290" max="12290" width="30.7109375" style="492" customWidth="1"/>
    <col min="12291" max="12291" width="19.42578125" style="492" customWidth="1"/>
    <col min="12292" max="12292" width="30.7109375" style="492" customWidth="1"/>
    <col min="12293" max="12295" width="17.85546875" style="492" customWidth="1"/>
    <col min="12296" max="12309" width="15.7109375" style="492" customWidth="1"/>
    <col min="12310" max="12310" width="11.42578125" style="492"/>
    <col min="12311" max="12315" width="15.7109375" style="492" customWidth="1"/>
    <col min="12316" max="12316" width="11.42578125" style="492"/>
    <col min="12317" max="12317" width="13.28515625" style="492" customWidth="1"/>
    <col min="12318" max="12323" width="11.42578125" style="492"/>
    <col min="12324" max="12324" width="14.5703125" style="492" customWidth="1"/>
    <col min="12325" max="12544" width="11.42578125" style="492"/>
    <col min="12545" max="12545" width="6.42578125" style="492" customWidth="1"/>
    <col min="12546" max="12546" width="30.7109375" style="492" customWidth="1"/>
    <col min="12547" max="12547" width="19.42578125" style="492" customWidth="1"/>
    <col min="12548" max="12548" width="30.7109375" style="492" customWidth="1"/>
    <col min="12549" max="12551" width="17.85546875" style="492" customWidth="1"/>
    <col min="12552" max="12565" width="15.7109375" style="492" customWidth="1"/>
    <col min="12566" max="12566" width="11.42578125" style="492"/>
    <col min="12567" max="12571" width="15.7109375" style="492" customWidth="1"/>
    <col min="12572" max="12572" width="11.42578125" style="492"/>
    <col min="12573" max="12573" width="13.28515625" style="492" customWidth="1"/>
    <col min="12574" max="12579" width="11.42578125" style="492"/>
    <col min="12580" max="12580" width="14.5703125" style="492" customWidth="1"/>
    <col min="12581" max="12800" width="11.42578125" style="492"/>
    <col min="12801" max="12801" width="6.42578125" style="492" customWidth="1"/>
    <col min="12802" max="12802" width="30.7109375" style="492" customWidth="1"/>
    <col min="12803" max="12803" width="19.42578125" style="492" customWidth="1"/>
    <col min="12804" max="12804" width="30.7109375" style="492" customWidth="1"/>
    <col min="12805" max="12807" width="17.85546875" style="492" customWidth="1"/>
    <col min="12808" max="12821" width="15.7109375" style="492" customWidth="1"/>
    <col min="12822" max="12822" width="11.42578125" style="492"/>
    <col min="12823" max="12827" width="15.7109375" style="492" customWidth="1"/>
    <col min="12828" max="12828" width="11.42578125" style="492"/>
    <col min="12829" max="12829" width="13.28515625" style="492" customWidth="1"/>
    <col min="12830" max="12835" width="11.42578125" style="492"/>
    <col min="12836" max="12836" width="14.5703125" style="492" customWidth="1"/>
    <col min="12837" max="13056" width="11.42578125" style="492"/>
    <col min="13057" max="13057" width="6.42578125" style="492" customWidth="1"/>
    <col min="13058" max="13058" width="30.7109375" style="492" customWidth="1"/>
    <col min="13059" max="13059" width="19.42578125" style="492" customWidth="1"/>
    <col min="13060" max="13060" width="30.7109375" style="492" customWidth="1"/>
    <col min="13061" max="13063" width="17.85546875" style="492" customWidth="1"/>
    <col min="13064" max="13077" width="15.7109375" style="492" customWidth="1"/>
    <col min="13078" max="13078" width="11.42578125" style="492"/>
    <col min="13079" max="13083" width="15.7109375" style="492" customWidth="1"/>
    <col min="13084" max="13084" width="11.42578125" style="492"/>
    <col min="13085" max="13085" width="13.28515625" style="492" customWidth="1"/>
    <col min="13086" max="13091" width="11.42578125" style="492"/>
    <col min="13092" max="13092" width="14.5703125" style="492" customWidth="1"/>
    <col min="13093" max="13312" width="11.42578125" style="492"/>
    <col min="13313" max="13313" width="6.42578125" style="492" customWidth="1"/>
    <col min="13314" max="13314" width="30.7109375" style="492" customWidth="1"/>
    <col min="13315" max="13315" width="19.42578125" style="492" customWidth="1"/>
    <col min="13316" max="13316" width="30.7109375" style="492" customWidth="1"/>
    <col min="13317" max="13319" width="17.85546875" style="492" customWidth="1"/>
    <col min="13320" max="13333" width="15.7109375" style="492" customWidth="1"/>
    <col min="13334" max="13334" width="11.42578125" style="492"/>
    <col min="13335" max="13339" width="15.7109375" style="492" customWidth="1"/>
    <col min="13340" max="13340" width="11.42578125" style="492"/>
    <col min="13341" max="13341" width="13.28515625" style="492" customWidth="1"/>
    <col min="13342" max="13347" width="11.42578125" style="492"/>
    <col min="13348" max="13348" width="14.5703125" style="492" customWidth="1"/>
    <col min="13349" max="13568" width="11.42578125" style="492"/>
    <col min="13569" max="13569" width="6.42578125" style="492" customWidth="1"/>
    <col min="13570" max="13570" width="30.7109375" style="492" customWidth="1"/>
    <col min="13571" max="13571" width="19.42578125" style="492" customWidth="1"/>
    <col min="13572" max="13572" width="30.7109375" style="492" customWidth="1"/>
    <col min="13573" max="13575" width="17.85546875" style="492" customWidth="1"/>
    <col min="13576" max="13589" width="15.7109375" style="492" customWidth="1"/>
    <col min="13590" max="13590" width="11.42578125" style="492"/>
    <col min="13591" max="13595" width="15.7109375" style="492" customWidth="1"/>
    <col min="13596" max="13596" width="11.42578125" style="492"/>
    <col min="13597" max="13597" width="13.28515625" style="492" customWidth="1"/>
    <col min="13598" max="13603" width="11.42578125" style="492"/>
    <col min="13604" max="13604" width="14.5703125" style="492" customWidth="1"/>
    <col min="13605" max="13824" width="11.42578125" style="492"/>
    <col min="13825" max="13825" width="6.42578125" style="492" customWidth="1"/>
    <col min="13826" max="13826" width="30.7109375" style="492" customWidth="1"/>
    <col min="13827" max="13827" width="19.42578125" style="492" customWidth="1"/>
    <col min="13828" max="13828" width="30.7109375" style="492" customWidth="1"/>
    <col min="13829" max="13831" width="17.85546875" style="492" customWidth="1"/>
    <col min="13832" max="13845" width="15.7109375" style="492" customWidth="1"/>
    <col min="13846" max="13846" width="11.42578125" style="492"/>
    <col min="13847" max="13851" width="15.7109375" style="492" customWidth="1"/>
    <col min="13852" max="13852" width="11.42578125" style="492"/>
    <col min="13853" max="13853" width="13.28515625" style="492" customWidth="1"/>
    <col min="13854" max="13859" width="11.42578125" style="492"/>
    <col min="13860" max="13860" width="14.5703125" style="492" customWidth="1"/>
    <col min="13861" max="14080" width="11.42578125" style="492"/>
    <col min="14081" max="14081" width="6.42578125" style="492" customWidth="1"/>
    <col min="14082" max="14082" width="30.7109375" style="492" customWidth="1"/>
    <col min="14083" max="14083" width="19.42578125" style="492" customWidth="1"/>
    <col min="14084" max="14084" width="30.7109375" style="492" customWidth="1"/>
    <col min="14085" max="14087" width="17.85546875" style="492" customWidth="1"/>
    <col min="14088" max="14101" width="15.7109375" style="492" customWidth="1"/>
    <col min="14102" max="14102" width="11.42578125" style="492"/>
    <col min="14103" max="14107" width="15.7109375" style="492" customWidth="1"/>
    <col min="14108" max="14108" width="11.42578125" style="492"/>
    <col min="14109" max="14109" width="13.28515625" style="492" customWidth="1"/>
    <col min="14110" max="14115" width="11.42578125" style="492"/>
    <col min="14116" max="14116" width="14.5703125" style="492" customWidth="1"/>
    <col min="14117" max="14336" width="11.42578125" style="492"/>
    <col min="14337" max="14337" width="6.42578125" style="492" customWidth="1"/>
    <col min="14338" max="14338" width="30.7109375" style="492" customWidth="1"/>
    <col min="14339" max="14339" width="19.42578125" style="492" customWidth="1"/>
    <col min="14340" max="14340" width="30.7109375" style="492" customWidth="1"/>
    <col min="14341" max="14343" width="17.85546875" style="492" customWidth="1"/>
    <col min="14344" max="14357" width="15.7109375" style="492" customWidth="1"/>
    <col min="14358" max="14358" width="11.42578125" style="492"/>
    <col min="14359" max="14363" width="15.7109375" style="492" customWidth="1"/>
    <col min="14364" max="14364" width="11.42578125" style="492"/>
    <col min="14365" max="14365" width="13.28515625" style="492" customWidth="1"/>
    <col min="14366" max="14371" width="11.42578125" style="492"/>
    <col min="14372" max="14372" width="14.5703125" style="492" customWidth="1"/>
    <col min="14373" max="14592" width="11.42578125" style="492"/>
    <col min="14593" max="14593" width="6.42578125" style="492" customWidth="1"/>
    <col min="14594" max="14594" width="30.7109375" style="492" customWidth="1"/>
    <col min="14595" max="14595" width="19.42578125" style="492" customWidth="1"/>
    <col min="14596" max="14596" width="30.7109375" style="492" customWidth="1"/>
    <col min="14597" max="14599" width="17.85546875" style="492" customWidth="1"/>
    <col min="14600" max="14613" width="15.7109375" style="492" customWidth="1"/>
    <col min="14614" max="14614" width="11.42578125" style="492"/>
    <col min="14615" max="14619" width="15.7109375" style="492" customWidth="1"/>
    <col min="14620" max="14620" width="11.42578125" style="492"/>
    <col min="14621" max="14621" width="13.28515625" style="492" customWidth="1"/>
    <col min="14622" max="14627" width="11.42578125" style="492"/>
    <col min="14628" max="14628" width="14.5703125" style="492" customWidth="1"/>
    <col min="14629" max="14848" width="11.42578125" style="492"/>
    <col min="14849" max="14849" width="6.42578125" style="492" customWidth="1"/>
    <col min="14850" max="14850" width="30.7109375" style="492" customWidth="1"/>
    <col min="14851" max="14851" width="19.42578125" style="492" customWidth="1"/>
    <col min="14852" max="14852" width="30.7109375" style="492" customWidth="1"/>
    <col min="14853" max="14855" width="17.85546875" style="492" customWidth="1"/>
    <col min="14856" max="14869" width="15.7109375" style="492" customWidth="1"/>
    <col min="14870" max="14870" width="11.42578125" style="492"/>
    <col min="14871" max="14875" width="15.7109375" style="492" customWidth="1"/>
    <col min="14876" max="14876" width="11.42578125" style="492"/>
    <col min="14877" max="14877" width="13.28515625" style="492" customWidth="1"/>
    <col min="14878" max="14883" width="11.42578125" style="492"/>
    <col min="14884" max="14884" width="14.5703125" style="492" customWidth="1"/>
    <col min="14885" max="15104" width="11.42578125" style="492"/>
    <col min="15105" max="15105" width="6.42578125" style="492" customWidth="1"/>
    <col min="15106" max="15106" width="30.7109375" style="492" customWidth="1"/>
    <col min="15107" max="15107" width="19.42578125" style="492" customWidth="1"/>
    <col min="15108" max="15108" width="30.7109375" style="492" customWidth="1"/>
    <col min="15109" max="15111" width="17.85546875" style="492" customWidth="1"/>
    <col min="15112" max="15125" width="15.7109375" style="492" customWidth="1"/>
    <col min="15126" max="15126" width="11.42578125" style="492"/>
    <col min="15127" max="15131" width="15.7109375" style="492" customWidth="1"/>
    <col min="15132" max="15132" width="11.42578125" style="492"/>
    <col min="15133" max="15133" width="13.28515625" style="492" customWidth="1"/>
    <col min="15134" max="15139" width="11.42578125" style="492"/>
    <col min="15140" max="15140" width="14.5703125" style="492" customWidth="1"/>
    <col min="15141" max="15360" width="11.42578125" style="492"/>
    <col min="15361" max="15361" width="6.42578125" style="492" customWidth="1"/>
    <col min="15362" max="15362" width="30.7109375" style="492" customWidth="1"/>
    <col min="15363" max="15363" width="19.42578125" style="492" customWidth="1"/>
    <col min="15364" max="15364" width="30.7109375" style="492" customWidth="1"/>
    <col min="15365" max="15367" width="17.85546875" style="492" customWidth="1"/>
    <col min="15368" max="15381" width="15.7109375" style="492" customWidth="1"/>
    <col min="15382" max="15382" width="11.42578125" style="492"/>
    <col min="15383" max="15387" width="15.7109375" style="492" customWidth="1"/>
    <col min="15388" max="15388" width="11.42578125" style="492"/>
    <col min="15389" max="15389" width="13.28515625" style="492" customWidth="1"/>
    <col min="15390" max="15395" width="11.42578125" style="492"/>
    <col min="15396" max="15396" width="14.5703125" style="492" customWidth="1"/>
    <col min="15397" max="15616" width="11.42578125" style="492"/>
    <col min="15617" max="15617" width="6.42578125" style="492" customWidth="1"/>
    <col min="15618" max="15618" width="30.7109375" style="492" customWidth="1"/>
    <col min="15619" max="15619" width="19.42578125" style="492" customWidth="1"/>
    <col min="15620" max="15620" width="30.7109375" style="492" customWidth="1"/>
    <col min="15621" max="15623" width="17.85546875" style="492" customWidth="1"/>
    <col min="15624" max="15637" width="15.7109375" style="492" customWidth="1"/>
    <col min="15638" max="15638" width="11.42578125" style="492"/>
    <col min="15639" max="15643" width="15.7109375" style="492" customWidth="1"/>
    <col min="15644" max="15644" width="11.42578125" style="492"/>
    <col min="15645" max="15645" width="13.28515625" style="492" customWidth="1"/>
    <col min="15646" max="15651" width="11.42578125" style="492"/>
    <col min="15652" max="15652" width="14.5703125" style="492" customWidth="1"/>
    <col min="15653" max="15872" width="11.42578125" style="492"/>
    <col min="15873" max="15873" width="6.42578125" style="492" customWidth="1"/>
    <col min="15874" max="15874" width="30.7109375" style="492" customWidth="1"/>
    <col min="15875" max="15875" width="19.42578125" style="492" customWidth="1"/>
    <col min="15876" max="15876" width="30.7109375" style="492" customWidth="1"/>
    <col min="15877" max="15879" width="17.85546875" style="492" customWidth="1"/>
    <col min="15880" max="15893" width="15.7109375" style="492" customWidth="1"/>
    <col min="15894" max="15894" width="11.42578125" style="492"/>
    <col min="15895" max="15899" width="15.7109375" style="492" customWidth="1"/>
    <col min="15900" max="15900" width="11.42578125" style="492"/>
    <col min="15901" max="15901" width="13.28515625" style="492" customWidth="1"/>
    <col min="15902" max="15907" width="11.42578125" style="492"/>
    <col min="15908" max="15908" width="14.5703125" style="492" customWidth="1"/>
    <col min="15909" max="16128" width="11.42578125" style="492"/>
    <col min="16129" max="16129" width="6.42578125" style="492" customWidth="1"/>
    <col min="16130" max="16130" width="30.7109375" style="492" customWidth="1"/>
    <col min="16131" max="16131" width="19.42578125" style="492" customWidth="1"/>
    <col min="16132" max="16132" width="30.7109375" style="492" customWidth="1"/>
    <col min="16133" max="16135" width="17.85546875" style="492" customWidth="1"/>
    <col min="16136" max="16149" width="15.7109375" style="492" customWidth="1"/>
    <col min="16150" max="16150" width="11.42578125" style="492"/>
    <col min="16151" max="16155" width="15.7109375" style="492" customWidth="1"/>
    <col min="16156" max="16156" width="11.42578125" style="492"/>
    <col min="16157" max="16157" width="13.28515625" style="492" customWidth="1"/>
    <col min="16158" max="16163" width="11.42578125" style="492"/>
    <col min="16164" max="16164" width="14.5703125" style="492" customWidth="1"/>
    <col min="16165" max="16384" width="11.42578125" style="492"/>
  </cols>
  <sheetData>
    <row r="1" spans="1:40">
      <c r="A1" s="461"/>
      <c r="B1" s="462"/>
      <c r="C1" s="462"/>
      <c r="D1" s="462"/>
      <c r="E1" s="463"/>
      <c r="F1" s="463"/>
      <c r="G1" s="463"/>
      <c r="H1" s="597" t="s">
        <v>0</v>
      </c>
      <c r="I1" s="597"/>
      <c r="J1" s="597"/>
      <c r="K1" s="597"/>
      <c r="L1" s="597"/>
      <c r="M1" s="597"/>
      <c r="N1" s="597"/>
      <c r="O1" s="597"/>
      <c r="P1" s="597"/>
      <c r="Q1" s="597"/>
      <c r="R1" s="597"/>
      <c r="S1" s="597"/>
      <c r="T1" s="597"/>
      <c r="U1" s="597"/>
      <c r="W1" s="463"/>
      <c r="X1" s="597" t="s">
        <v>1</v>
      </c>
      <c r="Y1" s="597"/>
      <c r="Z1" s="597"/>
      <c r="AA1" s="597"/>
      <c r="AB1" s="597"/>
      <c r="AC1" s="597"/>
      <c r="AD1" s="597"/>
      <c r="AE1" s="597"/>
      <c r="AF1" s="597"/>
      <c r="AG1" s="597"/>
      <c r="AH1" s="597"/>
      <c r="AI1" s="597"/>
      <c r="AJ1" s="597"/>
      <c r="AK1" s="597"/>
    </row>
    <row r="2" spans="1:40" ht="24" hidden="1" customHeight="1">
      <c r="A2" s="464"/>
      <c r="B2" s="465"/>
      <c r="C2" s="465"/>
      <c r="D2" s="465"/>
      <c r="E2" s="463" t="s">
        <v>2</v>
      </c>
      <c r="F2" s="463"/>
      <c r="G2" s="463"/>
      <c r="H2" s="463" t="s">
        <v>3</v>
      </c>
      <c r="I2" s="463" t="s">
        <v>4</v>
      </c>
      <c r="J2" s="463" t="s">
        <v>5</v>
      </c>
      <c r="K2" s="463" t="s">
        <v>6</v>
      </c>
      <c r="L2" s="463" t="s">
        <v>7</v>
      </c>
      <c r="M2" s="463" t="s">
        <v>8</v>
      </c>
      <c r="N2" s="463" t="s">
        <v>9</v>
      </c>
      <c r="O2" s="463" t="s">
        <v>10</v>
      </c>
      <c r="P2" s="463" t="s">
        <v>11</v>
      </c>
      <c r="Q2" s="463" t="s">
        <v>12</v>
      </c>
      <c r="R2" s="463" t="s">
        <v>13</v>
      </c>
      <c r="S2" s="463" t="s">
        <v>14</v>
      </c>
      <c r="T2" s="463" t="s">
        <v>15</v>
      </c>
      <c r="U2" s="463" t="s">
        <v>16</v>
      </c>
      <c r="W2" s="463"/>
      <c r="X2" s="463" t="s">
        <v>3</v>
      </c>
      <c r="Y2" s="463" t="s">
        <v>4</v>
      </c>
      <c r="Z2" s="463" t="s">
        <v>5</v>
      </c>
      <c r="AA2" s="463" t="s">
        <v>6</v>
      </c>
      <c r="AB2" s="463" t="s">
        <v>7</v>
      </c>
      <c r="AC2" s="463" t="s">
        <v>8</v>
      </c>
      <c r="AD2" s="463" t="s">
        <v>9</v>
      </c>
      <c r="AE2" s="463" t="s">
        <v>10</v>
      </c>
      <c r="AF2" s="463" t="s">
        <v>11</v>
      </c>
      <c r="AG2" s="463" t="s">
        <v>12</v>
      </c>
      <c r="AH2" s="463" t="s">
        <v>13</v>
      </c>
      <c r="AI2" s="463" t="s">
        <v>14</v>
      </c>
      <c r="AJ2" s="463" t="s">
        <v>15</v>
      </c>
      <c r="AK2" s="463" t="s">
        <v>16</v>
      </c>
    </row>
    <row r="3" spans="1:40" ht="27" customHeight="1">
      <c r="A3" s="597" t="s">
        <v>17</v>
      </c>
      <c r="B3" s="597"/>
      <c r="C3" s="613"/>
      <c r="D3" s="613"/>
      <c r="E3" s="493">
        <f>13853951000-981027123-3270000000</f>
        <v>9602923877</v>
      </c>
      <c r="F3" s="493"/>
      <c r="G3" s="493"/>
      <c r="H3" s="494">
        <f>+'Metas 1'!Q22+'Metas 2'!Q22+'Metas 3'!Q22+'Metas 4 (Contrato relevos)'!Q22+'Metas 5'!Q22+'Metas 6 (ONU Mujeres)'!Q22+'Metas 7 (Unidades Moviles)'!Q22</f>
        <v>6726921106</v>
      </c>
      <c r="I3" s="494">
        <f>+'Metas 1'!R22+'Metas 2'!R22+'Metas 3'!R22+'Metas 4 (Contrato relevos)'!R22+'Metas 5'!R22+'Metas 6 (ONU Mujeres)'!R22+'Metas 7 (Unidades Moviles)'!R22</f>
        <v>90000000</v>
      </c>
      <c r="J3" s="494">
        <f>+'Metas 1'!S22+'Metas 2'!S22+'Metas 3'!S22+'Metas 4 (Contrato relevos)'!S22+'Metas 5'!S22+'Metas 6 (ONU Mujeres)'!S22+'Metas 7 (Unidades Moviles)'!S22</f>
        <v>2262603187</v>
      </c>
      <c r="K3" s="494">
        <f>+'Metas 1'!T22+'Metas 2'!T22+'Metas 3'!T22+'Metas 4 (Contrato relevos)'!T22+'Metas 5'!T22+'Metas 6 (ONU Mujeres)'!T22+'Metas 7 (Unidades Moviles)'!T22</f>
        <v>87122000</v>
      </c>
      <c r="L3" s="494">
        <f>+'Metas 1'!U22+'Metas 2'!U22+'Metas 3'!U22+'Metas 4 (Contrato relevos)'!U22+'Metas 5'!U22+'Metas 6 (ONU Mujeres)'!U22+'Metas 7 (Unidades Moviles)'!U22</f>
        <v>4217725695</v>
      </c>
      <c r="M3" s="494">
        <f>+'Metas 1'!V22+'Metas 2'!V22+'Metas 3'!V22+'Metas 4 (Contrato relevos)'!V22+'Metas 5'!V22+'Metas 6 (ONU Mujeres)'!V22+'Metas 7 (Unidades Moviles)'!V22</f>
        <v>22959012</v>
      </c>
      <c r="N3" s="494">
        <f>+'Metas 1'!W22+'Metas 2'!W22+'Metas 3'!W22+'Metas 4 (Contrato relevos)'!W22+'Metas 5'!W22+'Metas 6 (ONU Mujeres)'!W22+'Metas 7 (Unidades Moviles)'!W22</f>
        <v>-932027123</v>
      </c>
      <c r="O3" s="494">
        <f>+'Metas 1'!X22+'Metas 2'!X22+'Metas 3'!X22+'Metas 4 (Contrato relevos)'!X22+'Metas 5'!X22+'Metas 6 (ONU Mujeres)'!X22+'Metas 7 (Unidades Moviles)'!X22</f>
        <v>-2872380000</v>
      </c>
      <c r="P3" s="494">
        <f>+'Metas 1'!Y22+'Metas 2'!Y22+'Metas 3'!Y22+'Metas 4 (Contrato relevos)'!Y22+'Metas 5'!Y22+'Metas 6 (ONU Mujeres)'!Y22+'Metas 7 (Unidades Moviles)'!Y22</f>
        <v>0</v>
      </c>
      <c r="Q3" s="494">
        <f>+'Metas 1'!Z22+'Metas 2'!Z22+'Metas 3'!Z22+'Metas 4 (Contrato relevos)'!Z22+'Metas 5'!Z22+'Metas 6 (ONU Mujeres)'!Z22+'Metas 7 (Unidades Moviles)'!Z22</f>
        <v>0</v>
      </c>
      <c r="R3" s="494">
        <f>+'Metas 1'!AA22+'Metas 2'!AA22+'Metas 3'!AA22+'Metas 4 (Contrato relevos)'!AA22+'Metas 5'!AA22+'Metas 6 (ONU Mujeres)'!AA22+'Metas 7 (Unidades Moviles)'!AA22</f>
        <v>0</v>
      </c>
      <c r="S3" s="494">
        <f>+'Metas 1'!AB22+'Metas 2'!AB22+'Metas 3'!AB22+'Metas 4 (Contrato relevos)'!AB22+'Metas 5'!AB22+'Metas 6 (ONU Mujeres)'!AB22+'Metas 7 (Unidades Moviles)'!AB22</f>
        <v>0</v>
      </c>
      <c r="T3" s="494">
        <f>SUM(H3:S3)</f>
        <v>9602923877</v>
      </c>
      <c r="U3" s="495"/>
      <c r="W3" s="495"/>
      <c r="X3" s="494">
        <f>+'Metas 1'!C22+'Metas 2'!C22+'Metas 3'!C22+'Metas 4 (Contrato relevos)'!C22+'Metas 5'!C22+'Metas 6 (ONU Mujeres)'!C22+'Metas 7 (Unidades Moviles)'!C22</f>
        <v>0</v>
      </c>
      <c r="Y3" s="494">
        <f>+'Metas 1'!D22+'Metas 2'!D22+'Metas 3'!D22+'Metas 4 (Contrato relevos)'!D22+'Metas 5'!D22+'Metas 6 (ONU Mujeres)'!D22+'Metas 7 (Unidades Moviles)'!D22</f>
        <v>0</v>
      </c>
      <c r="Z3" s="494">
        <f>+'Metas 1'!E22+'Metas 2'!E22+'Metas 3'!E22+'Metas 4 (Contrato relevos)'!E22+'Metas 5'!E22+'Metas 6 (ONU Mujeres)'!E22+'Metas 7 (Unidades Moviles)'!E22</f>
        <v>0</v>
      </c>
      <c r="AA3" s="494">
        <f>+'Metas 1'!F22+'Metas 2'!F22+'Metas 3'!F22+'Metas 4 (Contrato relevos)'!F22+'Metas 5'!F22+'Metas 6 (ONU Mujeres)'!F22+'Metas 7 (Unidades Moviles)'!F22</f>
        <v>0</v>
      </c>
      <c r="AB3" s="494">
        <f>+'Metas 1'!G22+'Metas 2'!G22+'Metas 3'!G22+'Metas 4 (Contrato relevos)'!G22+'Metas 5'!G22+'Metas 6 (ONU Mujeres)'!G22+'Metas 7 (Unidades Moviles)'!G22</f>
        <v>0</v>
      </c>
      <c r="AC3" s="494">
        <f>+'Metas 1'!H22+'Metas 2'!H22+'Metas 3'!H22+'Metas 4 (Contrato relevos)'!H22+'Metas 5'!H22+'Metas 6 (ONU Mujeres)'!H22+'Metas 7 (Unidades Moviles)'!H22</f>
        <v>0</v>
      </c>
      <c r="AD3" s="494">
        <f>+'Metas 1'!I22+'Metas 2'!I22+'Metas 3'!I22+'Metas 4 (Contrato relevos)'!I22+'Metas 5'!I22+'Metas 6 (ONU Mujeres)'!I22+'Metas 7 (Unidades Moviles)'!I22</f>
        <v>0</v>
      </c>
      <c r="AE3" s="494">
        <f>+'Metas 1'!J22+'Metas 2'!J22+'Metas 3'!J22+'Metas 4 (Contrato relevos)'!J22+'Metas 5'!J22+'Metas 6 (ONU Mujeres)'!J22+'Metas 7 (Unidades Moviles)'!J22</f>
        <v>0</v>
      </c>
      <c r="AF3" s="494">
        <f>+'Metas 1'!K22+'Metas 2'!K22+'Metas 3'!K22+'Metas 4 (Contrato relevos)'!K22+'Metas 5'!K22+'Metas 6 (ONU Mujeres)'!K22+'Metas 7 (Unidades Moviles)'!K22</f>
        <v>0</v>
      </c>
      <c r="AG3" s="494">
        <f>+'Metas 1'!L22+'Metas 2'!L22+'Metas 3'!L22+'Metas 4 (Contrato relevos)'!L22+'Metas 5'!L22+'Metas 6 (ONU Mujeres)'!L22+'Metas 7 (Unidades Moviles)'!L22</f>
        <v>0</v>
      </c>
      <c r="AH3" s="494">
        <f>+'Metas 1'!M22+'Metas 2'!M22+'Metas 3'!M22+'Metas 4 (Contrato relevos)'!M22+'Metas 5'!M22+'Metas 6 (ONU Mujeres)'!M22+'Metas 7 (Unidades Moviles)'!M22</f>
        <v>0</v>
      </c>
      <c r="AI3" s="494">
        <f>+'Metas 1'!N22+'Metas 2'!N22+'Metas 3'!N22+'Metas 4 (Contrato relevos)'!N22+'Metas 5'!N22+'Metas 6 (ONU Mujeres)'!N22+'Metas 7 (Unidades Moviles)'!N22</f>
        <v>0</v>
      </c>
      <c r="AJ3" s="494">
        <f>SUM(X3:AI3)</f>
        <v>0</v>
      </c>
      <c r="AK3" s="496"/>
    </row>
    <row r="4" spans="1:40" ht="27" customHeight="1">
      <c r="A4" s="597" t="s">
        <v>18</v>
      </c>
      <c r="B4" s="597"/>
      <c r="C4" s="613"/>
      <c r="D4" s="613"/>
      <c r="E4" s="495"/>
      <c r="F4" s="495"/>
      <c r="G4" s="495"/>
      <c r="H4" s="494">
        <f>+'Metas 1'!Q23+'Metas 2'!Q23+'Metas 3'!Q23+'Metas 4 (Contrato relevos)'!Q23+'Metas 5'!Q23+'Metas 6 (ONU Mujeres)'!Q23+'Metas 7 (Unidades Moviles)'!Q23</f>
        <v>6689497774</v>
      </c>
      <c r="I4" s="494">
        <f>+'Metas 1'!R23+'Metas 2'!R23+'Metas 3'!R23+'Metas 4 (Contrato relevos)'!R23+'Metas 5'!R23+'Metas 6 (ONU Mujeres)'!R23+'Metas 7 (Unidades Moviles)'!R23</f>
        <v>0</v>
      </c>
      <c r="J4" s="494">
        <f>+'Metas 1'!S23+'Metas 2'!S23+'Metas 3'!S23+'Metas 4 (Contrato relevos)'!S23+'Metas 5'!S23+'Metas 6 (ONU Mujeres)'!S23+'Metas 7 (Unidades Moviles)'!S23</f>
        <v>-5137626</v>
      </c>
      <c r="K4" s="494">
        <f>+'Metas 1'!T23+'Metas 2'!T23+'Metas 3'!T23+'Metas 4 (Contrato relevos)'!T23+'Metas 5'!T23+'Metas 6 (ONU Mujeres)'!T23+'Metas 7 (Unidades Moviles)'!T23</f>
        <v>30140193</v>
      </c>
      <c r="L4" s="494">
        <f>+'Metas 1'!U23+'Metas 2'!U23+'Metas 3'!U23+'Metas 4 (Contrato relevos)'!U23+'Metas 5'!U23+'Metas 6 (ONU Mujeres)'!U23+'Metas 7 (Unidades Moviles)'!U23</f>
        <v>131189539</v>
      </c>
      <c r="M4" s="494">
        <f>+'Metas 1'!V23+'Metas 2'!V23+'Metas 3'!V23+'Metas 4 (Contrato relevos)'!V23+'Metas 5'!V23+'Metas 6 (ONU Mujeres)'!V23+'Metas 7 (Unidades Moviles)'!V23</f>
        <v>1466125582</v>
      </c>
      <c r="N4" s="494">
        <f>+'Metas 1'!W23+'Metas 2'!W23+'Metas 3'!W23+'Metas 4 (Contrato relevos)'!W23+'Metas 5'!W23+'Metas 6 (ONU Mujeres)'!W23+'Metas 7 (Unidades Moviles)'!W23</f>
        <v>0</v>
      </c>
      <c r="O4" s="494">
        <f>+'Metas 1'!X23+'Metas 2'!X23+'Metas 3'!X23+'Metas 4 (Contrato relevos)'!X23+'Metas 5'!X23+'Metas 6 (ONU Mujeres)'!X23+'Metas 7 (Unidades Moviles)'!X23</f>
        <v>629600000</v>
      </c>
      <c r="P4" s="494">
        <f>+'Metas 1'!Y23+'Metas 2'!Y23+'Metas 3'!Y23+'Metas 4 (Contrato relevos)'!Y23+'Metas 5'!Y23+'Metas 6 (ONU Mujeres)'!Y23+'Metas 7 (Unidades Moviles)'!Y23</f>
        <v>118051414</v>
      </c>
      <c r="Q4" s="494">
        <f>+'Metas 1'!Z23+'Metas 2'!Z23+'Metas 3'!Z23+'Metas 4 (Contrato relevos)'!Z23+'Metas 5'!Z23+'Metas 6 (ONU Mujeres)'!Z23+'Metas 7 (Unidades Moviles)'!Z23</f>
        <v>177608628</v>
      </c>
      <c r="R4" s="494">
        <f>+'Metas 1'!AA23+'Metas 2'!AA23+'Metas 3'!AA23+'Metas 4 (Contrato relevos)'!AA23+'Metas 5'!AA23+'Metas 6 (ONU Mujeres)'!AA23+'Metas 7 (Unidades Moviles)'!AA23</f>
        <v>14957357</v>
      </c>
      <c r="S4" s="494">
        <f>+'Metas 1'!AB23+'Metas 2'!AB23+'Metas 3'!AB23+'Metas 4 (Contrato relevos)'!AB23+'Metas 5'!AB23+'Metas 6 (ONU Mujeres)'!AB23+'Metas 7 (Unidades Moviles)'!AB23</f>
        <v>0</v>
      </c>
      <c r="T4" s="494">
        <f>SUM(H4:S4)</f>
        <v>9252032861</v>
      </c>
      <c r="U4" s="495">
        <f>IFERROR(T4/(SUMIF(H4:S4,"&gt;0",H3:S3))," ")</f>
        <v>1.1307308210854223</v>
      </c>
      <c r="W4" s="495"/>
      <c r="X4" s="494">
        <f>+'Metas 1'!C23+'Metas 2'!C23+'Metas 3'!C23+'Metas 4 (Contrato relevos)'!C23+'Metas 5'!C23+'Metas 6 (ONU Mujeres)'!C23+'Metas 7 (Unidades Moviles)'!C23</f>
        <v>5753056358</v>
      </c>
      <c r="Y4" s="494">
        <f>+'Metas 1'!D23+'Metas 2'!D23+'Metas 3'!D23+'Metas 4 (Contrato relevos)'!D23+'Metas 5'!D23+'Metas 6 (ONU Mujeres)'!D23+'Metas 7 (Unidades Moviles)'!D23</f>
        <v>0</v>
      </c>
      <c r="Z4" s="494">
        <f>+'Metas 1'!E23+'Metas 2'!E23+'Metas 3'!E23+'Metas 4 (Contrato relevos)'!E23+'Metas 5'!E23+'Metas 6 (ONU Mujeres)'!E23+'Metas 7 (Unidades Moviles)'!E23</f>
        <v>-19600000</v>
      </c>
      <c r="AA4" s="494">
        <f>+'Metas 1'!F23+'Metas 2'!F23+'Metas 3'!F23+'Metas 4 (Contrato relevos)'!F23+'Metas 5'!F23+'Metas 6 (ONU Mujeres)'!F23+'Metas 7 (Unidades Moviles)'!F23</f>
        <v>0</v>
      </c>
      <c r="AB4" s="494">
        <f>+'Metas 1'!G23+'Metas 2'!G23+'Metas 3'!G23+'Metas 4 (Contrato relevos)'!G23+'Metas 5'!G23+'Metas 6 (ONU Mujeres)'!G23+'Metas 7 (Unidades Moviles)'!G23</f>
        <v>-7947937</v>
      </c>
      <c r="AC4" s="494">
        <f>+'Metas 1'!H23+'Metas 2'!H23+'Metas 3'!H23+'Metas 4 (Contrato relevos)'!H23+'Metas 5'!H23+'Metas 6 (ONU Mujeres)'!H23+'Metas 7 (Unidades Moviles)'!H23</f>
        <v>-13247774</v>
      </c>
      <c r="AD4" s="494">
        <f>+'Metas 1'!I23+'Metas 2'!I23+'Metas 3'!I23+'Metas 4 (Contrato relevos)'!I23+'Metas 5'!I23+'Metas 6 (ONU Mujeres)'!I23+'Metas 7 (Unidades Moviles)'!I23</f>
        <v>0</v>
      </c>
      <c r="AE4" s="494">
        <f>+'Metas 1'!J23+'Metas 2'!J23+'Metas 3'!J23+'Metas 4 (Contrato relevos)'!J23+'Metas 5'!J23+'Metas 6 (ONU Mujeres)'!J23+'Metas 7 (Unidades Moviles)'!J23</f>
        <v>0</v>
      </c>
      <c r="AF4" s="494">
        <f>+'Metas 1'!K23+'Metas 2'!K23+'Metas 3'!K23+'Metas 4 (Contrato relevos)'!K23+'Metas 5'!K23+'Metas 6 (ONU Mujeres)'!K23+'Metas 7 (Unidades Moviles)'!K23</f>
        <v>0</v>
      </c>
      <c r="AG4" s="494">
        <f>+'Metas 1'!L23+'Metas 2'!L23+'Metas 3'!L23+'Metas 4 (Contrato relevos)'!L23+'Metas 5'!L23+'Metas 6 (ONU Mujeres)'!L23+'Metas 7 (Unidades Moviles)'!L23</f>
        <v>0</v>
      </c>
      <c r="AH4" s="494">
        <f>+'Metas 1'!M23+'Metas 2'!M23+'Metas 3'!M23+'Metas 4 (Contrato relevos)'!M23+'Metas 5'!M23+'Metas 6 (ONU Mujeres)'!M23+'Metas 7 (Unidades Moviles)'!M23</f>
        <v>2</v>
      </c>
      <c r="AI4" s="494">
        <f>+'Metas 1'!N23+'Metas 2'!N23+'Metas 3'!N23+'Metas 4 (Contrato relevos)'!N23+'Metas 5'!N23+'Metas 6 (ONU Mujeres)'!N23+'Metas 7 (Unidades Moviles)'!N23</f>
        <v>0</v>
      </c>
      <c r="AJ4" s="494">
        <f>SUM(X4:AI4)</f>
        <v>5712260649</v>
      </c>
      <c r="AK4" s="496"/>
    </row>
    <row r="5" spans="1:40" ht="27" customHeight="1">
      <c r="A5" s="597" t="s">
        <v>19</v>
      </c>
      <c r="B5" s="597"/>
      <c r="C5" s="613"/>
      <c r="D5" s="613"/>
      <c r="E5" s="493">
        <f>13853951000-981027123-3270000000</f>
        <v>9602923877</v>
      </c>
      <c r="F5" s="493"/>
      <c r="G5" s="493"/>
      <c r="H5" s="494">
        <f>+'Metas 1'!Q24+'Metas 2'!Q24+'Metas 3'!Q24+'Metas 4 (Contrato relevos)'!Q24+'Metas 5'!Q24+'Metas 6 (ONU Mujeres)'!Q24+'Metas 7 (Unidades Moviles)'!Q24</f>
        <v>0</v>
      </c>
      <c r="I5" s="494">
        <f>+'Metas 1'!R24+'Metas 2'!R24+'Metas 3'!R24+'Metas 4 (Contrato relevos)'!R24+'Metas 5'!R24+'Metas 6 (ONU Mujeres)'!R24+'Metas 7 (Unidades Moviles)'!R24</f>
        <v>285410170.99999994</v>
      </c>
      <c r="J5" s="494">
        <f>+'Metas 1'!S24+'Metas 2'!S24+'Metas 3'!S24+'Metas 4 (Contrato relevos)'!S24+'Metas 5'!S24+'Metas 6 (ONU Mujeres)'!S24+'Metas 7 (Unidades Moviles)'!S24</f>
        <v>589199007</v>
      </c>
      <c r="K5" s="494">
        <f>+'Metas 1'!T24+'Metas 2'!T24+'Metas 3'!T24+'Metas 4 (Contrato relevos)'!T24+'Metas 5'!T24+'Metas 6 (ONU Mujeres)'!T24+'Metas 7 (Unidades Moviles)'!T24</f>
        <v>602699007</v>
      </c>
      <c r="L5" s="494">
        <f>+'Metas 1'!U24+'Metas 2'!U24+'Metas 3'!U24+'Metas 4 (Contrato relevos)'!U24+'Metas 5'!U24+'Metas 6 (ONU Mujeres)'!U24+'Metas 7 (Unidades Moviles)'!U24</f>
        <v>1109990533</v>
      </c>
      <c r="M5" s="494">
        <f>+'Metas 1'!V24+'Metas 2'!V24+'Metas 3'!V24+'Metas 4 (Contrato relevos)'!V24+'Metas 5'!V24+'Metas 6 (ONU Mujeres)'!V24+'Metas 7 (Unidades Moviles)'!V24</f>
        <v>1107838917</v>
      </c>
      <c r="N5" s="494">
        <f>+'Metas 1'!W24+'Metas 2'!W24+'Metas 3'!W24+'Metas 4 (Contrato relevos)'!W24+'Metas 5'!W24+'Metas 6 (ONU Mujeres)'!W24+'Metas 7 (Unidades Moviles)'!W24</f>
        <v>2020257523</v>
      </c>
      <c r="O5" s="494">
        <f>+'Metas 1'!X24+'Metas 2'!X24+'Metas 3'!X24+'Metas 4 (Contrato relevos)'!X24+'Metas 5'!X24+'Metas 6 (ONU Mujeres)'!X24+'Metas 7 (Unidades Moviles)'!X24</f>
        <v>663997659</v>
      </c>
      <c r="P5" s="494">
        <f>+'Metas 1'!Y24+'Metas 2'!Y24+'Metas 3'!Y24+'Metas 4 (Contrato relevos)'!Y24+'Metas 5'!Y24+'Metas 6 (ONU Mujeres)'!Y24+'Metas 7 (Unidades Moviles)'!Y24</f>
        <v>602790005</v>
      </c>
      <c r="Q5" s="494">
        <f>+'Metas 1'!Z24+'Metas 2'!Z24+'Metas 3'!Z24+'Metas 4 (Contrato relevos)'!Z24+'Metas 5'!Z24+'Metas 6 (ONU Mujeres)'!Z24+'Metas 7 (Unidades Moviles)'!Z24</f>
        <v>603597658</v>
      </c>
      <c r="R5" s="494">
        <f>+'Metas 1'!AA24+'Metas 2'!AA24+'Metas 3'!AA24+'Metas 4 (Contrato relevos)'!AA24+'Metas 5'!AA24+'Metas 6 (ONU Mujeres)'!AA24+'Metas 7 (Unidades Moviles)'!AA24</f>
        <v>730124327</v>
      </c>
      <c r="S5" s="494">
        <f>+'Metas 1'!AB24+'Metas 2'!AB24+'Metas 3'!AB24+'Metas 4 (Contrato relevos)'!AB24+'Metas 5'!AB24+'Metas 6 (ONU Mujeres)'!AB24+'Metas 7 (Unidades Moviles)'!AB24</f>
        <v>1287019070</v>
      </c>
      <c r="T5" s="494">
        <f>SUM(H5:S5)</f>
        <v>9602923877</v>
      </c>
      <c r="U5" s="495"/>
      <c r="W5" s="495"/>
      <c r="X5" s="494">
        <f>+'Metas 1'!C24+'Metas 2'!C24+'Metas 3'!C24+'Metas 4 (Contrato relevos)'!C24+'Metas 5'!C24+'Metas 6 (ONU Mujeres)'!C24+'Metas 7 (Unidades Moviles)'!C24</f>
        <v>0</v>
      </c>
      <c r="Y5" s="494">
        <f>+'Metas 1'!D24+'Metas 2'!D24+'Metas 3'!D24+'Metas 4 (Contrato relevos)'!D24+'Metas 5'!D24+'Metas 6 (ONU Mujeres)'!D24+'Metas 7 (Unidades Moviles)'!D24</f>
        <v>1257629814</v>
      </c>
      <c r="Z5" s="494">
        <f>+'Metas 1'!E24+'Metas 2'!E24+'Metas 3'!E24+'Metas 4 (Contrato relevos)'!E24+'Metas 5'!E24+'Metas 6 (ONU Mujeres)'!E24+'Metas 7 (Unidades Moviles)'!E24</f>
        <v>1752256565</v>
      </c>
      <c r="AA5" s="494">
        <f>+'Metas 1'!F24+'Metas 2'!F24+'Metas 3'!F24+'Metas 4 (Contrato relevos)'!F24+'Metas 5'!F24+'Metas 6 (ONU Mujeres)'!F24+'Metas 7 (Unidades Moviles)'!F24</f>
        <v>1780223391</v>
      </c>
      <c r="AB5" s="494">
        <f>+'Metas 1'!G24+'Metas 2'!G24+'Metas 3'!G24+'Metas 4 (Contrato relevos)'!G24+'Metas 5'!G24+'Metas 6 (ONU Mujeres)'!G24+'Metas 7 (Unidades Moviles)'!G24</f>
        <v>922150877</v>
      </c>
      <c r="AC5" s="494">
        <f>+'Metas 1'!H24+'Metas 2'!H24+'Metas 3'!H24+'Metas 4 (Contrato relevos)'!H24+'Metas 5'!H24+'Metas 6 (ONU Mujeres)'!H24+'Metas 7 (Unidades Moviles)'!H24</f>
        <v>0</v>
      </c>
      <c r="AD5" s="494">
        <f>+'Metas 1'!I24+'Metas 2'!I24+'Metas 3'!I24+'Metas 4 (Contrato relevos)'!I24+'Metas 5'!I24+'Metas 6 (ONU Mujeres)'!I24+'Metas 7 (Unidades Moviles)'!I24</f>
        <v>0</v>
      </c>
      <c r="AE5" s="494" t="e">
        <f>+'Metas 1'!J24+'Metas 2'!J24+'Metas 3'!J24+'Metas 4 (Contrato relevos)'!J24+'Metas 5'!J24+'Metas 6 (ONU Mujeres)'!J24+'Metas 7 (Unidades Moviles)'!J24</f>
        <v>#VALUE!</v>
      </c>
      <c r="AF5" s="494" t="e">
        <f>+'Metas 1'!K24+'Metas 2'!K24+'Metas 3'!K24+'Metas 4 (Contrato relevos)'!K24+'Metas 5'!K24+'Metas 6 (ONU Mujeres)'!K24+'Metas 7 (Unidades Moviles)'!K24</f>
        <v>#VALUE!</v>
      </c>
      <c r="AG5" s="494" t="e">
        <f>+'Metas 1'!L24+'Metas 2'!L24+'Metas 3'!L24+'Metas 4 (Contrato relevos)'!L24+'Metas 5'!L24+'Metas 6 (ONU Mujeres)'!L24+'Metas 7 (Unidades Moviles)'!L24</f>
        <v>#VALUE!</v>
      </c>
      <c r="AH5" s="494" t="e">
        <f>+'Metas 1'!M24+'Metas 2'!M24+'Metas 3'!M24+'Metas 4 (Contrato relevos)'!M24+'Metas 5'!M24+'Metas 6 (ONU Mujeres)'!M24+'Metas 7 (Unidades Moviles)'!M24</f>
        <v>#VALUE!</v>
      </c>
      <c r="AI5" s="494" t="e">
        <f>+'Metas 1'!N24+'Metas 2'!N24+'Metas 3'!N24+'Metas 4 (Contrato relevos)'!N24+'Metas 5'!N24+'Metas 6 (ONU Mujeres)'!N24+'Metas 7 (Unidades Moviles)'!N24</f>
        <v>#VALUE!</v>
      </c>
      <c r="AJ5" s="494" t="e">
        <f>SUM(X5:AI5)</f>
        <v>#VALUE!</v>
      </c>
      <c r="AK5" s="496"/>
    </row>
    <row r="6" spans="1:40" ht="27" customHeight="1">
      <c r="A6" s="597" t="s">
        <v>20</v>
      </c>
      <c r="B6" s="597"/>
      <c r="C6" s="613"/>
      <c r="D6" s="613"/>
      <c r="E6" s="495"/>
      <c r="F6" s="495"/>
      <c r="G6" s="495"/>
      <c r="H6" s="494">
        <f>+'Metas 1'!Q25+'Metas 2'!Q25+'Metas 3'!Q25+'Metas 4 (Contrato relevos)'!Q25+'Metas 5'!Q25+'Metas 6 (ONU Mujeres)'!Q25+'Metas 7 (Unidades Moviles)'!Q25</f>
        <v>0</v>
      </c>
      <c r="I6" s="494">
        <f>+'Metas 1'!R25+'Metas 2'!R25+'Metas 3'!R25+'Metas 4 (Contrato relevos)'!R25+'Metas 5'!R25+'Metas 6 (ONU Mujeres)'!R25+'Metas 7 (Unidades Moviles)'!R25</f>
        <v>96238222</v>
      </c>
      <c r="J6" s="494">
        <f>+'Metas 1'!S25+'Metas 2'!S25+'Metas 3'!S25+'Metas 4 (Contrato relevos)'!S25+'Metas 5'!S25+'Metas 6 (ONU Mujeres)'!S25+'Metas 7 (Unidades Moviles)'!S25</f>
        <v>567797313</v>
      </c>
      <c r="K6" s="494">
        <f>+'Metas 1'!T25+'Metas 2'!T25+'Metas 3'!T25+'Metas 4 (Contrato relevos)'!T25+'Metas 5'!T25+'Metas 6 (ONU Mujeres)'!T25+'Metas 7 (Unidades Moviles)'!T25</f>
        <v>609032369</v>
      </c>
      <c r="L6" s="494">
        <f>+'Metas 1'!U25+'Metas 2'!U25+'Metas 3'!U25+'Metas 4 (Contrato relevos)'!U25+'Metas 5'!U25+'Metas 6 (ONU Mujeres)'!U25+'Metas 7 (Unidades Moviles)'!U25</f>
        <v>573723468</v>
      </c>
      <c r="M6" s="494">
        <f>+'Metas 1'!V25+'Metas 2'!V25+'Metas 3'!V25+'Metas 4 (Contrato relevos)'!V25+'Metas 5'!V25+'Metas 6 (ONU Mujeres)'!V25+'Metas 7 (Unidades Moviles)'!V25</f>
        <v>752863105</v>
      </c>
      <c r="N6" s="494">
        <f>+'Metas 1'!W25+'Metas 2'!W25+'Metas 3'!W25+'Metas 4 (Contrato relevos)'!W25+'Metas 5'!W25+'Metas 6 (ONU Mujeres)'!W25+'Metas 7 (Unidades Moviles)'!W25</f>
        <v>614315970</v>
      </c>
      <c r="O6" s="494">
        <f>+'Metas 1'!X25+'Metas 2'!X25+'Metas 3'!X25+'Metas 4 (Contrato relevos)'!X25+'Metas 5'!X25+'Metas 6 (ONU Mujeres)'!X25+'Metas 7 (Unidades Moviles)'!X25</f>
        <v>592888394</v>
      </c>
      <c r="P6" s="494">
        <f>+'Metas 1'!Y25+'Metas 2'!Y25+'Metas 3'!Y25+'Metas 4 (Contrato relevos)'!Y25+'Metas 5'!Y25+'Metas 6 (ONU Mujeres)'!Y25+'Metas 7 (Unidades Moviles)'!Y25</f>
        <v>599875238</v>
      </c>
      <c r="Q6" s="494">
        <f>+'Metas 1'!Z25+'Metas 2'!Z25+'Metas 3'!Z25+'Metas 4 (Contrato relevos)'!Z25+'Metas 5'!Z25+'Metas 6 (ONU Mujeres)'!Z25+'Metas 7 (Unidades Moviles)'!Z25</f>
        <v>1075264297</v>
      </c>
      <c r="R6" s="494">
        <f>+'Metas 1'!AA25+'Metas 2'!AA25+'Metas 3'!AA25+'Metas 4 (Contrato relevos)'!AA25+'Metas 5'!AA25+'Metas 6 (ONU Mujeres)'!AA25+'Metas 7 (Unidades Moviles)'!AA25</f>
        <v>818341135</v>
      </c>
      <c r="S6" s="494">
        <f>+'Metas 1'!AB25+'Metas 2'!AB25+'Metas 3'!AB25+'Metas 4 (Contrato relevos)'!AB25+'Metas 5'!AB25+'Metas 6 (ONU Mujeres)'!AB25+'Metas 7 (Unidades Moviles)'!AB25</f>
        <v>0</v>
      </c>
      <c r="T6" s="494">
        <f>SUM(H6:S6)</f>
        <v>6300339511</v>
      </c>
      <c r="U6" s="495">
        <f>IFERROR(T6/(SUMIF(H6:S6,"&gt;0",H5:S5))," ")</f>
        <v>0.75762525632768463</v>
      </c>
      <c r="W6" s="495"/>
      <c r="X6" s="494">
        <f>+'Metas 1'!C25+'Metas 2'!C25+'Metas 3'!C25+'Metas 4 (Contrato relevos)'!C25+'Metas 5'!C25+'Metas 6 (ONU Mujeres)'!C25+'Metas 7 (Unidades Moviles)'!C25</f>
        <v>77754654</v>
      </c>
      <c r="Y6" s="494">
        <f>+'Metas 1'!D25+'Metas 2'!D25+'Metas 3'!D25+'Metas 4 (Contrato relevos)'!D25+'Metas 5'!D25+'Metas 6 (ONU Mujeres)'!D25+'Metas 7 (Unidades Moviles)'!D25</f>
        <v>195328162</v>
      </c>
      <c r="Z6" s="494">
        <f>+'Metas 1'!E25+'Metas 2'!E25+'Metas 3'!E25+'Metas 4 (Contrato relevos)'!E25+'Metas 5'!E25+'Metas 6 (ONU Mujeres)'!E25+'Metas 7 (Unidades Moviles)'!E25</f>
        <v>705786665</v>
      </c>
      <c r="AA6" s="494">
        <f>+'Metas 1'!F25+'Metas 2'!F25+'Metas 3'!F25+'Metas 4 (Contrato relevos)'!F25+'Metas 5'!F25+'Metas 6 (ONU Mujeres)'!F25+'Metas 7 (Unidades Moviles)'!F25</f>
        <v>64338749</v>
      </c>
      <c r="AB6" s="494">
        <f>+'Metas 1'!G25+'Metas 2'!G25+'Metas 3'!G25+'Metas 4 (Contrato relevos)'!G25+'Metas 5'!G25+'Metas 6 (ONU Mujeres)'!G25+'Metas 7 (Unidades Moviles)'!G25</f>
        <v>316725059</v>
      </c>
      <c r="AC6" s="494">
        <f>+'Metas 1'!H25+'Metas 2'!H25+'Metas 3'!H25+'Metas 4 (Contrato relevos)'!H25+'Metas 5'!H25+'Metas 6 (ONU Mujeres)'!H25+'Metas 7 (Unidades Moviles)'!H25</f>
        <v>2004084</v>
      </c>
      <c r="AD6" s="494">
        <f>+'Metas 1'!I25+'Metas 2'!I25+'Metas 3'!I25+'Metas 4 (Contrato relevos)'!I25+'Metas 5'!I25+'Metas 6 (ONU Mujeres)'!I25+'Metas 7 (Unidades Moviles)'!I25</f>
        <v>2004084</v>
      </c>
      <c r="AE6" s="494">
        <f>+'Metas 1'!J25+'Metas 2'!J25+'Metas 3'!J25+'Metas 4 (Contrato relevos)'!J25+'Metas 5'!J25+'Metas 6 (ONU Mujeres)'!J25+'Metas 7 (Unidades Moviles)'!J25</f>
        <v>1379029</v>
      </c>
      <c r="AF6" s="494">
        <f>+'Metas 1'!K25+'Metas 2'!K25+'Metas 3'!K25+'Metas 4 (Contrato relevos)'!K25+'Metas 5'!K25+'Metas 6 (ONU Mujeres)'!K25+'Metas 7 (Unidades Moviles)'!K25</f>
        <v>0</v>
      </c>
      <c r="AG6" s="494">
        <f>+'Metas 1'!L25+'Metas 2'!L25+'Metas 3'!L25+'Metas 4 (Contrato relevos)'!L25+'Metas 5'!L25+'Metas 6 (ONU Mujeres)'!L25+'Metas 7 (Unidades Moviles)'!L25</f>
        <v>0</v>
      </c>
      <c r="AH6" s="494">
        <f>+'Metas 1'!M25+'Metas 2'!M25+'Metas 3'!M25+'Metas 4 (Contrato relevos)'!M25+'Metas 5'!M25+'Metas 6 (ONU Mujeres)'!M25+'Metas 7 (Unidades Moviles)'!M25</f>
        <v>2</v>
      </c>
      <c r="AI6" s="494">
        <f>+'Metas 1'!N25+'Metas 2'!N25+'Metas 3'!N25+'Metas 4 (Contrato relevos)'!N25+'Metas 5'!N25+'Metas 6 (ONU Mujeres)'!N25+'Metas 7 (Unidades Moviles)'!N25</f>
        <v>0</v>
      </c>
      <c r="AJ6" s="494">
        <f>SUM(X6:AI6)</f>
        <v>1365320488</v>
      </c>
      <c r="AK6" s="495" t="str">
        <f>IFERROR(AJ6/(SUMIF(X6:AI6,"&gt;0",X5:AI5))," ")</f>
        <v xml:space="preserve"> </v>
      </c>
    </row>
    <row r="8" spans="1:40" ht="45">
      <c r="A8" s="464"/>
      <c r="B8" s="465"/>
      <c r="C8" s="465"/>
      <c r="D8" s="465"/>
      <c r="E8" s="463" t="str">
        <f>+E2</f>
        <v>PROGRAMACION</v>
      </c>
      <c r="F8" s="463" t="s">
        <v>21</v>
      </c>
      <c r="G8" s="463"/>
      <c r="H8" s="463" t="s">
        <v>3</v>
      </c>
      <c r="I8" s="463" t="s">
        <v>4</v>
      </c>
      <c r="J8" s="463" t="s">
        <v>5</v>
      </c>
      <c r="K8" s="463" t="s">
        <v>6</v>
      </c>
      <c r="L8" s="463" t="s">
        <v>7</v>
      </c>
      <c r="M8" s="463" t="s">
        <v>8</v>
      </c>
      <c r="N8" s="463" t="s">
        <v>9</v>
      </c>
      <c r="O8" s="463" t="s">
        <v>10</v>
      </c>
      <c r="P8" s="463" t="s">
        <v>11</v>
      </c>
      <c r="Q8" s="463" t="s">
        <v>12</v>
      </c>
      <c r="R8" s="463" t="s">
        <v>13</v>
      </c>
      <c r="S8" s="463" t="s">
        <v>14</v>
      </c>
      <c r="T8" s="463" t="s">
        <v>15</v>
      </c>
      <c r="U8" s="463" t="s">
        <v>16</v>
      </c>
      <c r="W8" s="463"/>
      <c r="X8" s="463" t="s">
        <v>3</v>
      </c>
      <c r="Y8" s="463" t="s">
        <v>4</v>
      </c>
      <c r="Z8" s="463" t="s">
        <v>5</v>
      </c>
      <c r="AA8" s="463" t="s">
        <v>6</v>
      </c>
      <c r="AB8" s="463" t="s">
        <v>7</v>
      </c>
      <c r="AC8" s="463" t="s">
        <v>8</v>
      </c>
      <c r="AD8" s="463" t="s">
        <v>9</v>
      </c>
      <c r="AE8" s="463" t="s">
        <v>10</v>
      </c>
      <c r="AF8" s="463" t="s">
        <v>11</v>
      </c>
      <c r="AG8" s="463" t="s">
        <v>12</v>
      </c>
      <c r="AH8" s="463" t="s">
        <v>13</v>
      </c>
      <c r="AI8" s="463" t="s">
        <v>14</v>
      </c>
      <c r="AJ8" s="463" t="s">
        <v>15</v>
      </c>
      <c r="AK8" s="463" t="s">
        <v>16</v>
      </c>
      <c r="AM8" s="497" t="s">
        <v>22</v>
      </c>
    </row>
    <row r="9" spans="1:40">
      <c r="A9" s="498"/>
      <c r="B9" s="498" t="s">
        <v>23</v>
      </c>
      <c r="C9" s="498"/>
      <c r="D9" s="499"/>
    </row>
    <row r="10" spans="1:40">
      <c r="A10" s="612">
        <v>1</v>
      </c>
      <c r="B10" s="601" t="str">
        <f>+'Metas 1'!A34</f>
        <v xml:space="preserve">1. Diseñar 1 documento de lineamientos técnicos para la formulación de las bases del sistema distrital de cuidado. </v>
      </c>
      <c r="C10" s="602">
        <f>+'Metas 1'!B34</f>
        <v>0.1</v>
      </c>
      <c r="D10" s="500" t="s">
        <v>24</v>
      </c>
      <c r="E10" s="501">
        <v>340713963</v>
      </c>
      <c r="F10" s="501">
        <f>+T10</f>
        <v>388140078</v>
      </c>
      <c r="G10" s="501">
        <f t="shared" ref="G10:G51" si="0">E10-F10</f>
        <v>-47426115</v>
      </c>
      <c r="H10" s="501">
        <f>+'Metas 1'!Q$22</f>
        <v>291713963</v>
      </c>
      <c r="I10" s="501">
        <f>+'Metas 1'!R$22</f>
        <v>0</v>
      </c>
      <c r="J10" s="501">
        <f>+'Metas 1'!S$22</f>
        <v>0</v>
      </c>
      <c r="K10" s="501">
        <f>+'Metas 1'!T$22</f>
        <v>0</v>
      </c>
      <c r="L10" s="501">
        <f>+'Metas 1'!U$22</f>
        <v>14000000</v>
      </c>
      <c r="M10" s="501">
        <f>+'Metas 1'!V$22</f>
        <v>0</v>
      </c>
      <c r="N10" s="501">
        <f>+'Metas 1'!W$22</f>
        <v>0</v>
      </c>
      <c r="O10" s="501">
        <f>+'Metas 1'!X$22</f>
        <v>35000000</v>
      </c>
      <c r="P10" s="501">
        <f>+'Metas 1'!Y$22</f>
        <v>0</v>
      </c>
      <c r="Q10" s="501">
        <f>+'Metas 1'!Z$22</f>
        <v>47426115</v>
      </c>
      <c r="R10" s="501">
        <f>+'Metas 1'!AA$22</f>
        <v>0</v>
      </c>
      <c r="S10" s="501">
        <f>+'Metas 1'!AB$22</f>
        <v>0</v>
      </c>
      <c r="T10" s="501">
        <f>+'Metas 1'!AC$22</f>
        <v>388140078</v>
      </c>
      <c r="U10" s="501">
        <f>+'Metas 1'!AD$22</f>
        <v>0</v>
      </c>
      <c r="V10" s="502"/>
      <c r="W10" s="503"/>
      <c r="X10" s="501">
        <f>+'Metas 1'!C$22</f>
        <v>0</v>
      </c>
      <c r="Y10" s="501">
        <f>+'Metas 1'!D$22</f>
        <v>0</v>
      </c>
      <c r="Z10" s="501">
        <f>+'Metas 1'!E$22</f>
        <v>0</v>
      </c>
      <c r="AA10" s="501">
        <f>+'Metas 1'!F$22</f>
        <v>0</v>
      </c>
      <c r="AB10" s="501">
        <f>+'Metas 1'!G$22</f>
        <v>0</v>
      </c>
      <c r="AC10" s="501">
        <f>+'Metas 1'!H$22</f>
        <v>0</v>
      </c>
      <c r="AD10" s="501">
        <f>+'Metas 1'!I$22</f>
        <v>0</v>
      </c>
      <c r="AE10" s="501">
        <f>+'Metas 1'!J$22</f>
        <v>0</v>
      </c>
      <c r="AF10" s="501">
        <f>+'Metas 1'!K$22</f>
        <v>0</v>
      </c>
      <c r="AG10" s="501">
        <f>+'Metas 1'!L$22</f>
        <v>0</v>
      </c>
      <c r="AH10" s="501">
        <f>+'Metas 1'!M$22</f>
        <v>0</v>
      </c>
      <c r="AI10" s="501">
        <f>+'Metas 1'!N$22</f>
        <v>0</v>
      </c>
      <c r="AJ10" s="501">
        <f>+'Metas 1'!O$22</f>
        <v>0</v>
      </c>
      <c r="AK10" s="501">
        <f>+'Metas 1'!P$22</f>
        <v>0</v>
      </c>
      <c r="AM10" s="504">
        <v>340713963</v>
      </c>
      <c r="AN10" s="504">
        <f>+T10-AM10</f>
        <v>47426115</v>
      </c>
    </row>
    <row r="11" spans="1:40">
      <c r="A11" s="612"/>
      <c r="B11" s="601"/>
      <c r="C11" s="603"/>
      <c r="D11" s="500" t="s">
        <v>18</v>
      </c>
      <c r="E11" s="501"/>
      <c r="F11" s="501"/>
      <c r="G11" s="501">
        <f t="shared" si="0"/>
        <v>0</v>
      </c>
      <c r="H11" s="501">
        <f>+'Metas 1'!Q$23</f>
        <v>291713963</v>
      </c>
      <c r="I11" s="501">
        <f>+'Metas 1'!R$23</f>
        <v>0</v>
      </c>
      <c r="J11" s="501">
        <f>+'Metas 1'!S$23</f>
        <v>-5124327</v>
      </c>
      <c r="K11" s="501">
        <f>+'Metas 1'!T$23</f>
        <v>-1608166</v>
      </c>
      <c r="L11" s="501">
        <f>+'Metas 1'!U$23</f>
        <v>18226536</v>
      </c>
      <c r="M11" s="501">
        <f>+'Metas 1'!V$23</f>
        <v>0</v>
      </c>
      <c r="N11" s="501">
        <f>+'Metas 1'!W$23</f>
        <v>0</v>
      </c>
      <c r="O11" s="501">
        <f>+'Metas 1'!X$23</f>
        <v>42000000</v>
      </c>
      <c r="P11" s="501">
        <f>+'Metas 1'!Y$23</f>
        <v>2995122</v>
      </c>
      <c r="Q11" s="501">
        <f>+'Metas 1'!Z$23</f>
        <v>-1</v>
      </c>
      <c r="R11" s="501">
        <f>+'Metas 1'!AA$23</f>
        <v>1</v>
      </c>
      <c r="S11" s="501">
        <f>+'Metas 1'!AB$23</f>
        <v>0</v>
      </c>
      <c r="T11" s="501">
        <f>+'Metas 1'!AC$23</f>
        <v>348203128</v>
      </c>
      <c r="U11" s="501">
        <f>+'Metas 1'!AD$23</f>
        <v>0.89710686356898195</v>
      </c>
      <c r="V11" s="502">
        <f>+T11/T10</f>
        <v>0.89710686356898195</v>
      </c>
      <c r="W11" s="503"/>
      <c r="X11" s="501">
        <f>+'Metas 1'!C$23</f>
        <v>706330045</v>
      </c>
      <c r="Y11" s="501">
        <f>+'Metas 1'!D$23</f>
        <v>0</v>
      </c>
      <c r="Z11" s="501">
        <f>+'Metas 1'!E$23</f>
        <v>-2744000</v>
      </c>
      <c r="AA11" s="501">
        <f>+'Metas 1'!F$23</f>
        <v>0</v>
      </c>
      <c r="AB11" s="501">
        <f>+'Metas 1'!G$23</f>
        <v>-179378</v>
      </c>
      <c r="AC11" s="501">
        <f>+'Metas 1'!H$23</f>
        <v>0</v>
      </c>
      <c r="AD11" s="501">
        <f>+'Metas 1'!I$23</f>
        <v>0</v>
      </c>
      <c r="AE11" s="501">
        <f>+'Metas 1'!J$23</f>
        <v>0</v>
      </c>
      <c r="AF11" s="501">
        <f>+'Metas 1'!K$23</f>
        <v>0</v>
      </c>
      <c r="AG11" s="501">
        <f>+'Metas 1'!L$23</f>
        <v>0</v>
      </c>
      <c r="AH11" s="501">
        <f>+'Metas 1'!M$23</f>
        <v>0</v>
      </c>
      <c r="AI11" s="501">
        <f>+'Metas 1'!N$23</f>
        <v>0</v>
      </c>
      <c r="AJ11" s="501">
        <f>+'Metas 1'!O$23</f>
        <v>703406667</v>
      </c>
      <c r="AK11" s="501">
        <f>+'Metas 1'!P$23</f>
        <v>0</v>
      </c>
    </row>
    <row r="12" spans="1:40">
      <c r="A12" s="612"/>
      <c r="B12" s="601"/>
      <c r="C12" s="603"/>
      <c r="D12" s="500" t="s">
        <v>19</v>
      </c>
      <c r="E12" s="501">
        <v>340713963</v>
      </c>
      <c r="F12" s="501">
        <f>+T12</f>
        <v>340713963</v>
      </c>
      <c r="G12" s="501">
        <f t="shared" si="0"/>
        <v>0</v>
      </c>
      <c r="H12" s="501">
        <f>+'Metas 1'!Q$24</f>
        <v>0</v>
      </c>
      <c r="I12" s="501">
        <f>+'Metas 1'!R$24</f>
        <v>11192930</v>
      </c>
      <c r="J12" s="501">
        <f>+'Metas 1'!S$24</f>
        <v>25522700</v>
      </c>
      <c r="K12" s="501">
        <f>+'Metas 1'!T$24</f>
        <v>25522700</v>
      </c>
      <c r="L12" s="501">
        <f>+'Metas 1'!U$24</f>
        <v>25522700</v>
      </c>
      <c r="M12" s="501">
        <f>+'Metas 1'!V$24</f>
        <v>25522700</v>
      </c>
      <c r="N12" s="501">
        <f>+'Metas 1'!W$24</f>
        <v>39522700</v>
      </c>
      <c r="O12" s="501">
        <f>+'Metas 1'!X$24</f>
        <v>25522700</v>
      </c>
      <c r="P12" s="501">
        <f>+'Metas 1'!Y$24</f>
        <v>25522700</v>
      </c>
      <c r="Q12" s="501">
        <f>+'Metas 1'!Z$24</f>
        <v>25522700</v>
      </c>
      <c r="R12" s="501">
        <f>+'Metas 1'!AA$24</f>
        <v>32522700</v>
      </c>
      <c r="S12" s="501">
        <f>+'Metas 1'!AB$24</f>
        <v>78816733</v>
      </c>
      <c r="T12" s="501">
        <f>+'Metas 1'!AC$24</f>
        <v>340713963</v>
      </c>
      <c r="U12" s="501">
        <f>+'Metas 1'!AD$24</f>
        <v>0</v>
      </c>
      <c r="V12" s="502"/>
      <c r="W12" s="503"/>
      <c r="X12" s="501">
        <f>+'Metas 1'!C$24</f>
        <v>0</v>
      </c>
      <c r="Y12" s="501">
        <f>+'Metas 1'!D$24</f>
        <v>6150667</v>
      </c>
      <c r="Z12" s="501">
        <f>+'Metas 1'!E$24</f>
        <v>0</v>
      </c>
      <c r="AA12" s="501">
        <f>+'Metas 1'!F$24</f>
        <v>697256000</v>
      </c>
      <c r="AB12" s="501">
        <f>+'Metas 1'!G$24</f>
        <v>0</v>
      </c>
      <c r="AC12" s="501">
        <f>+'Metas 1'!H$24</f>
        <v>0</v>
      </c>
      <c r="AD12" s="501">
        <f>+'Metas 1'!I$24</f>
        <v>0</v>
      </c>
      <c r="AE12" s="501">
        <f>+'Metas 1'!J$24</f>
        <v>0</v>
      </c>
      <c r="AF12" s="501">
        <f>+'Metas 1'!K$24</f>
        <v>0</v>
      </c>
      <c r="AG12" s="501">
        <f>+'Metas 1'!L$24</f>
        <v>0</v>
      </c>
      <c r="AH12" s="501">
        <f>+'Metas 1'!M$24</f>
        <v>0</v>
      </c>
      <c r="AI12" s="501">
        <f>+'Metas 1'!N$24</f>
        <v>0</v>
      </c>
      <c r="AJ12" s="501">
        <f>+'Metas 1'!O$24</f>
        <v>703406667</v>
      </c>
      <c r="AK12" s="501">
        <f>+'Metas 1'!P$24</f>
        <v>0</v>
      </c>
    </row>
    <row r="13" spans="1:40">
      <c r="A13" s="612"/>
      <c r="B13" s="601"/>
      <c r="C13" s="603"/>
      <c r="D13" s="500" t="s">
        <v>20</v>
      </c>
      <c r="E13" s="501"/>
      <c r="F13" s="501"/>
      <c r="G13" s="501">
        <f t="shared" si="0"/>
        <v>0</v>
      </c>
      <c r="H13" s="501">
        <f>+'Metas 1'!Q$25</f>
        <v>0</v>
      </c>
      <c r="I13" s="501">
        <f>+'Metas 1'!R$25</f>
        <v>6932787</v>
      </c>
      <c r="J13" s="501">
        <f>+'Metas 1'!S$25</f>
        <v>23074033</v>
      </c>
      <c r="K13" s="501">
        <f>+'Metas 1'!T$25</f>
        <v>27829900</v>
      </c>
      <c r="L13" s="501">
        <f>+'Metas 1'!U$25</f>
        <v>21252700</v>
      </c>
      <c r="M13" s="501">
        <f>+'Metas 1'!V$25</f>
        <v>46409235</v>
      </c>
      <c r="N13" s="501">
        <f>+'Metas 1'!W$25</f>
        <v>26411700</v>
      </c>
      <c r="O13" s="501">
        <f>+'Metas 1'!X$25</f>
        <v>25403700</v>
      </c>
      <c r="P13" s="501">
        <f>+'Metas 1'!Y$25</f>
        <v>22909367</v>
      </c>
      <c r="Q13" s="501">
        <f>+'Metas 1'!Z$25</f>
        <v>26246033</v>
      </c>
      <c r="R13" s="501">
        <f>+'Metas 1'!AA$25</f>
        <v>27957822</v>
      </c>
      <c r="S13" s="501">
        <f>+'Metas 1'!AB$25</f>
        <v>0</v>
      </c>
      <c r="T13" s="501">
        <f>+'Metas 1'!AC$25</f>
        <v>254427277</v>
      </c>
      <c r="U13" s="501">
        <f>+'Metas 1'!AD$25</f>
        <v>0.74674743224421358</v>
      </c>
      <c r="V13" s="502"/>
      <c r="W13" s="503"/>
      <c r="X13" s="501">
        <f>+'Metas 1'!C$25</f>
        <v>3150000</v>
      </c>
      <c r="Y13" s="501">
        <f>+'Metas 1'!D$25</f>
        <v>256667</v>
      </c>
      <c r="Z13" s="501">
        <f>+'Metas 1'!E$25</f>
        <v>400000000</v>
      </c>
      <c r="AA13" s="501">
        <f>+'Metas 1'!F$25</f>
        <v>0</v>
      </c>
      <c r="AB13" s="501">
        <f>+'Metas 1'!G$25</f>
        <v>300000000</v>
      </c>
      <c r="AC13" s="501">
        <f>+'Metas 1'!H$25</f>
        <v>0</v>
      </c>
      <c r="AD13" s="501">
        <f>+'Metas 1'!I$25</f>
        <v>0</v>
      </c>
      <c r="AE13" s="501">
        <f>+'Metas 1'!J$25</f>
        <v>0</v>
      </c>
      <c r="AF13" s="501">
        <f>+'Metas 1'!K$25</f>
        <v>0</v>
      </c>
      <c r="AG13" s="501">
        <f>+'Metas 1'!L$25</f>
        <v>0</v>
      </c>
      <c r="AH13" s="501">
        <f>+'Metas 1'!M$25</f>
        <v>0</v>
      </c>
      <c r="AI13" s="501">
        <f>+'Metas 1'!N$25</f>
        <v>0</v>
      </c>
      <c r="AJ13" s="501">
        <f>+'Metas 1'!O$25</f>
        <v>703406667</v>
      </c>
      <c r="AK13" s="501">
        <f>+'Metas 1'!P$25</f>
        <v>1</v>
      </c>
    </row>
    <row r="14" spans="1:40">
      <c r="A14" s="612"/>
      <c r="B14" s="601"/>
      <c r="C14" s="603"/>
      <c r="D14" s="500" t="s">
        <v>25</v>
      </c>
      <c r="E14" s="505">
        <f>+Hoja1!$AS$32</f>
        <v>0</v>
      </c>
      <c r="F14" s="506">
        <f>+'Metas 1'!$W$17</f>
        <v>1</v>
      </c>
      <c r="G14" s="501">
        <f t="shared" si="0"/>
        <v>-1</v>
      </c>
      <c r="H14" s="507">
        <f>+'Metas 1'!D$34</f>
        <v>0.72113654999999999</v>
      </c>
      <c r="I14" s="507">
        <f>+'Metas 1'!E$34</f>
        <v>0.74927310000000003</v>
      </c>
      <c r="J14" s="507">
        <f>+'Metas 1'!F$34</f>
        <v>0.77740965000000006</v>
      </c>
      <c r="K14" s="507">
        <f>+'Metas 1'!G$34</f>
        <v>0.8055462000000001</v>
      </c>
      <c r="L14" s="507">
        <f>+'Metas 1'!H$34</f>
        <v>0.83368275000000014</v>
      </c>
      <c r="M14" s="507">
        <f>+'Metas 1'!I$34</f>
        <v>0.86181930000000018</v>
      </c>
      <c r="N14" s="507">
        <f>+'Metas 1'!J$34</f>
        <v>0.88482895000000017</v>
      </c>
      <c r="O14" s="507">
        <f>+'Metas 1'!K$34</f>
        <v>0.90783860000000016</v>
      </c>
      <c r="P14" s="507">
        <f>+'Metas 1'!L$34</f>
        <v>0.93084825000000015</v>
      </c>
      <c r="Q14" s="507">
        <f>+'Metas 1'!M$34</f>
        <v>0.95385790000000015</v>
      </c>
      <c r="R14" s="507">
        <f>+'Metas 1'!N$34</f>
        <v>0.97686755000000014</v>
      </c>
      <c r="S14" s="507">
        <f>+'Metas 1'!O$34</f>
        <v>0.99987720000000013</v>
      </c>
      <c r="T14" s="507">
        <f>+'Metas 1'!P$34</f>
        <v>0.99987720000000013</v>
      </c>
      <c r="U14" s="507">
        <f>+'Metas 1'!P$34</f>
        <v>0.99987720000000013</v>
      </c>
      <c r="V14" s="502"/>
      <c r="W14" s="508"/>
    </row>
    <row r="15" spans="1:40">
      <c r="A15" s="612"/>
      <c r="B15" s="601"/>
      <c r="C15" s="603"/>
      <c r="D15" s="500" t="s">
        <v>26</v>
      </c>
      <c r="E15" s="507"/>
      <c r="F15" s="507"/>
      <c r="G15" s="507">
        <f t="shared" si="0"/>
        <v>0</v>
      </c>
      <c r="H15" s="507">
        <f>+'Metas 1'!D$35</f>
        <v>0.72113654999999999</v>
      </c>
      <c r="I15" s="507">
        <f>+'Metas 1'!E$35</f>
        <v>0.74927310000000003</v>
      </c>
      <c r="J15" s="507">
        <f>+'Metas 1'!F$35</f>
        <v>0.77740965000000006</v>
      </c>
      <c r="K15" s="507">
        <f>+'Metas 1'!G$35</f>
        <v>0.8055462000000001</v>
      </c>
      <c r="L15" s="507">
        <f>+'Metas 1'!H$35</f>
        <v>0.81833275000000005</v>
      </c>
      <c r="M15" s="507">
        <f>+'Metas 1'!I$35</f>
        <v>0.8387943000000001</v>
      </c>
      <c r="N15" s="507">
        <f>+'Metas 1'!J$35</f>
        <v>0.88228085000000012</v>
      </c>
      <c r="O15" s="507">
        <f>+'Metas 1'!K$35</f>
        <v>0.90785395000000013</v>
      </c>
      <c r="P15" s="507">
        <f>+'Metas 1'!L$35</f>
        <v>0.93138550000000009</v>
      </c>
      <c r="Q15" s="507">
        <f>+'Metas 1'!M$35</f>
        <v>0.95491705000000004</v>
      </c>
      <c r="R15" s="507">
        <f>+'Metas 1'!N$35</f>
        <v>0.9784486</v>
      </c>
      <c r="S15" s="507">
        <f>+'Metas 1'!O$35</f>
        <v>0.9784486</v>
      </c>
      <c r="T15" s="507">
        <f>+'Metas 1'!P$35</f>
        <v>0.9784486</v>
      </c>
      <c r="U15" s="507">
        <f>+'Metas 1'!P$35</f>
        <v>0.9784486</v>
      </c>
      <c r="V15" s="502"/>
      <c r="W15" s="508"/>
    </row>
    <row r="16" spans="1:40">
      <c r="A16" s="598">
        <f>+A10+1</f>
        <v>2</v>
      </c>
      <c r="B16" s="601" t="str">
        <f>+'Metas 2'!A34</f>
        <v>2. Coordinar y articular 13 secretarías del nivel distrital para la implementación del sistema distrital de cuidado</v>
      </c>
      <c r="C16" s="602">
        <f>+'Metas 2'!B34</f>
        <v>0.15000000000000002</v>
      </c>
      <c r="D16" s="500" t="s">
        <v>24</v>
      </c>
      <c r="E16" s="501">
        <v>254977520</v>
      </c>
      <c r="F16" s="501">
        <f>+T16</f>
        <v>283398970</v>
      </c>
      <c r="G16" s="501">
        <f t="shared" si="0"/>
        <v>-28421450</v>
      </c>
      <c r="H16" s="501">
        <f>+'Metas 2'!Q$22</f>
        <v>205977520</v>
      </c>
      <c r="I16" s="501">
        <f>+'Metas 2'!R$22</f>
        <v>0</v>
      </c>
      <c r="J16" s="501">
        <f>+'Metas 2'!S$22</f>
        <v>0</v>
      </c>
      <c r="K16" s="501">
        <f>+'Metas 2'!T$22</f>
        <v>0</v>
      </c>
      <c r="L16" s="501">
        <f>+'Metas 2'!U$22</f>
        <v>16380000</v>
      </c>
      <c r="M16" s="501">
        <f>+'Metas 2'!V$22</f>
        <v>0</v>
      </c>
      <c r="N16" s="501">
        <f>+'Metas 2'!W$22</f>
        <v>0</v>
      </c>
      <c r="O16" s="501">
        <f>+'Metas 2'!X$22</f>
        <v>32620000</v>
      </c>
      <c r="P16" s="501">
        <f>+'Metas 2'!Y$22</f>
        <v>0</v>
      </c>
      <c r="Q16" s="501">
        <f>+'Metas 2'!Z$22</f>
        <v>28421450</v>
      </c>
      <c r="R16" s="501">
        <f>+'Metas 2'!AA$22</f>
        <v>0</v>
      </c>
      <c r="S16" s="501">
        <f>+'Metas 2'!AB$22</f>
        <v>0</v>
      </c>
      <c r="T16" s="501">
        <f>+'Metas 2'!AC$22</f>
        <v>283398970</v>
      </c>
      <c r="U16" s="501">
        <f>+'Metas 2'!AD$22</f>
        <v>0</v>
      </c>
      <c r="V16" s="502"/>
      <c r="W16" s="503"/>
      <c r="X16" s="501">
        <f>+'Metas 2'!C$22</f>
        <v>0</v>
      </c>
      <c r="Y16" s="501">
        <f>+'Metas 2'!D$22</f>
        <v>0</v>
      </c>
      <c r="Z16" s="501">
        <f>+'Metas 2'!E$22</f>
        <v>0</v>
      </c>
      <c r="AA16" s="501">
        <f>+'Metas 2'!F$22</f>
        <v>0</v>
      </c>
      <c r="AB16" s="501">
        <f>+'Metas 2'!G$22</f>
        <v>0</v>
      </c>
      <c r="AC16" s="501">
        <f>+'Metas 2'!H$22</f>
        <v>0</v>
      </c>
      <c r="AD16" s="501">
        <f>+'Metas 2'!I$22</f>
        <v>0</v>
      </c>
      <c r="AE16" s="501">
        <f>+'Metas 2'!J$22</f>
        <v>0</v>
      </c>
      <c r="AF16" s="501">
        <f>+'Metas 2'!K$22</f>
        <v>0</v>
      </c>
      <c r="AG16" s="501">
        <f>+'Metas 2'!L$22</f>
        <v>0</v>
      </c>
      <c r="AH16" s="501">
        <f>+'Metas 2'!M$22</f>
        <v>0</v>
      </c>
      <c r="AI16" s="501">
        <f>+'Metas 2'!N$22</f>
        <v>0</v>
      </c>
      <c r="AJ16" s="501">
        <f>+'Metas 2'!O$22</f>
        <v>0</v>
      </c>
      <c r="AK16" s="501">
        <f>+'Metas 2'!P$22</f>
        <v>0</v>
      </c>
      <c r="AM16" s="504">
        <v>254977520</v>
      </c>
      <c r="AN16" s="504">
        <f>+T16-AM16</f>
        <v>28421450</v>
      </c>
    </row>
    <row r="17" spans="1:42">
      <c r="A17" s="599"/>
      <c r="B17" s="601"/>
      <c r="C17" s="603"/>
      <c r="D17" s="500" t="s">
        <v>18</v>
      </c>
      <c r="E17" s="501"/>
      <c r="F17" s="501"/>
      <c r="G17" s="501">
        <f t="shared" si="0"/>
        <v>0</v>
      </c>
      <c r="H17" s="501">
        <f>+'Metas 2'!Q$23</f>
        <v>205977520</v>
      </c>
      <c r="I17" s="501">
        <f>+'Metas 2'!R$23</f>
        <v>0</v>
      </c>
      <c r="J17" s="501">
        <f>+'Metas 2'!S$23</f>
        <v>-5618373</v>
      </c>
      <c r="K17" s="501">
        <f>+'Metas 2'!T$23</f>
        <v>-1771200</v>
      </c>
      <c r="L17" s="501">
        <f>+'Metas 2'!U$23</f>
        <v>18226535</v>
      </c>
      <c r="M17" s="501">
        <f>+'Metas 2'!V$23</f>
        <v>0</v>
      </c>
      <c r="N17" s="501">
        <f>+'Metas 2'!W$23</f>
        <v>0</v>
      </c>
      <c r="O17" s="501">
        <f>+'Metas 2'!X$23</f>
        <v>42000000</v>
      </c>
      <c r="P17" s="501">
        <f>+'Metas 2'!Y$23</f>
        <v>2995122</v>
      </c>
      <c r="Q17" s="501">
        <f>+'Metas 2'!Z$23</f>
        <v>0</v>
      </c>
      <c r="R17" s="501">
        <f>+'Metas 2'!AA$23</f>
        <v>0</v>
      </c>
      <c r="S17" s="501">
        <f>+'Metas 2'!AB$23</f>
        <v>0</v>
      </c>
      <c r="T17" s="501">
        <f>+'Metas 2'!AC$23</f>
        <v>261809604</v>
      </c>
      <c r="U17" s="501">
        <f>+'Metas 2'!AD$23</f>
        <v>0.92381988544277349</v>
      </c>
      <c r="V17" s="502">
        <f>+T17/T16</f>
        <v>0.92381988544277349</v>
      </c>
      <c r="W17" s="503"/>
      <c r="X17" s="501">
        <f>+'Metas 2'!C$23</f>
        <v>3608711</v>
      </c>
      <c r="Y17" s="501">
        <f>+'Metas 2'!D$23</f>
        <v>0</v>
      </c>
      <c r="Z17" s="501">
        <f>+'Metas 2'!E$23</f>
        <v>-3136000</v>
      </c>
      <c r="AA17" s="501">
        <f>+'Metas 2'!F$23</f>
        <v>0</v>
      </c>
      <c r="AB17" s="501">
        <f>+'Metas 2'!G$23</f>
        <v>-179378</v>
      </c>
      <c r="AC17" s="501">
        <f>+'Metas 2'!H$23</f>
        <v>0</v>
      </c>
      <c r="AD17" s="501">
        <f>+'Metas 2'!I$23</f>
        <v>0</v>
      </c>
      <c r="AE17" s="501">
        <f>+'Metas 2'!J$23</f>
        <v>0</v>
      </c>
      <c r="AF17" s="501">
        <f>+'Metas 2'!K$23</f>
        <v>0</v>
      </c>
      <c r="AG17" s="501">
        <f>+'Metas 2'!L$23</f>
        <v>0</v>
      </c>
      <c r="AH17" s="501">
        <f>+'Metas 2'!M$23</f>
        <v>0</v>
      </c>
      <c r="AI17" s="501">
        <f>+'Metas 2'!N$23</f>
        <v>0</v>
      </c>
      <c r="AJ17" s="501">
        <f>+'Metas 2'!O$23</f>
        <v>293333</v>
      </c>
      <c r="AK17" s="501" t="str">
        <f>+'Metas 2'!P$23</f>
        <v xml:space="preserve"> </v>
      </c>
    </row>
    <row r="18" spans="1:42">
      <c r="A18" s="599"/>
      <c r="B18" s="601"/>
      <c r="C18" s="603"/>
      <c r="D18" s="500" t="s">
        <v>19</v>
      </c>
      <c r="E18" s="501">
        <v>254977520</v>
      </c>
      <c r="F18" s="501">
        <f>+T18</f>
        <v>254977520</v>
      </c>
      <c r="G18" s="501">
        <f t="shared" si="0"/>
        <v>0</v>
      </c>
      <c r="H18" s="501">
        <f>+'Metas 2'!Q$24</f>
        <v>0</v>
      </c>
      <c r="I18" s="501">
        <f>+'Metas 2'!R$24</f>
        <v>11266053</v>
      </c>
      <c r="J18" s="501">
        <f>+'Metas 2'!S$24</f>
        <v>17724800</v>
      </c>
      <c r="K18" s="501">
        <f>+'Metas 2'!T$24</f>
        <v>17724800</v>
      </c>
      <c r="L18" s="501">
        <f>+'Metas 2'!U$24</f>
        <v>17724800</v>
      </c>
      <c r="M18" s="501">
        <f>+'Metas 2'!V$24</f>
        <v>17724800</v>
      </c>
      <c r="N18" s="501">
        <f>+'Metas 2'!W$24</f>
        <v>34104800</v>
      </c>
      <c r="O18" s="501">
        <f>+'Metas 2'!X$24</f>
        <v>16931467</v>
      </c>
      <c r="P18" s="501">
        <f>+'Metas 2'!Y$24</f>
        <v>16931467</v>
      </c>
      <c r="Q18" s="501">
        <f>+'Metas 2'!Z$24</f>
        <v>16931466</v>
      </c>
      <c r="R18" s="501">
        <f>+'Metas 2'!AA$24</f>
        <v>24724800</v>
      </c>
      <c r="S18" s="501">
        <f>+'Metas 2'!AB$24</f>
        <v>63188267</v>
      </c>
      <c r="T18" s="501">
        <f>+'Metas 2'!AC$24</f>
        <v>254977520</v>
      </c>
      <c r="U18" s="501">
        <f>+'Metas 2'!AD$24</f>
        <v>0</v>
      </c>
      <c r="V18" s="502"/>
      <c r="W18" s="503"/>
      <c r="X18" s="501">
        <f>+'Metas 2'!C$24</f>
        <v>0</v>
      </c>
      <c r="Y18" s="501">
        <f>+'Metas 2'!D$24</f>
        <v>293333</v>
      </c>
      <c r="Z18" s="501">
        <f>+'Metas 2'!E$24</f>
        <v>0</v>
      </c>
      <c r="AA18" s="501">
        <f>+'Metas 2'!F$24</f>
        <v>0</v>
      </c>
      <c r="AB18" s="501">
        <f>+'Metas 2'!G$24</f>
        <v>0</v>
      </c>
      <c r="AC18" s="501">
        <f>+'Metas 2'!H$24</f>
        <v>0</v>
      </c>
      <c r="AD18" s="501">
        <f>+'Metas 2'!I$24</f>
        <v>0</v>
      </c>
      <c r="AE18" s="501" t="str">
        <f>+'Metas 2'!J$24</f>
        <v> </v>
      </c>
      <c r="AF18" s="501" t="str">
        <f>+'Metas 2'!K$24</f>
        <v> </v>
      </c>
      <c r="AG18" s="501" t="str">
        <f>+'Metas 2'!L$24</f>
        <v> </v>
      </c>
      <c r="AH18" s="501" t="str">
        <f>+'Metas 2'!M$24</f>
        <v> </v>
      </c>
      <c r="AI18" s="501" t="str">
        <f>+'Metas 2'!N$24</f>
        <v> </v>
      </c>
      <c r="AJ18" s="501">
        <f>+'Metas 2'!O$24</f>
        <v>293333</v>
      </c>
      <c r="AK18" s="501">
        <f>+'Metas 2'!P$24</f>
        <v>0</v>
      </c>
    </row>
    <row r="19" spans="1:42">
      <c r="A19" s="599"/>
      <c r="B19" s="601"/>
      <c r="C19" s="603"/>
      <c r="D19" s="500" t="s">
        <v>20</v>
      </c>
      <c r="E19" s="501"/>
      <c r="F19" s="501"/>
      <c r="G19" s="501">
        <f t="shared" si="0"/>
        <v>0</v>
      </c>
      <c r="H19" s="501">
        <f>+'Metas 2'!Q$25</f>
        <v>0</v>
      </c>
      <c r="I19" s="501">
        <f>+'Metas 2'!R$25</f>
        <v>4014213</v>
      </c>
      <c r="J19" s="501">
        <f>+'Metas 2'!S$25</f>
        <v>16927467</v>
      </c>
      <c r="K19" s="501">
        <f>+'Metas 2'!T$25</f>
        <v>18493867</v>
      </c>
      <c r="L19" s="501">
        <f>+'Metas 2'!U$25</f>
        <v>12844800</v>
      </c>
      <c r="M19" s="501">
        <f>+'Metas 2'!V$25</f>
        <v>38991335</v>
      </c>
      <c r="N19" s="501">
        <f>+'Metas 2'!W$25</f>
        <v>18740800</v>
      </c>
      <c r="O19" s="501">
        <f>+'Metas 2'!X$25</f>
        <v>17588800</v>
      </c>
      <c r="P19" s="501">
        <f>+'Metas 2'!Y$25</f>
        <v>14738133</v>
      </c>
      <c r="Q19" s="501">
        <f>+'Metas 2'!Z$25</f>
        <v>18551467</v>
      </c>
      <c r="R19" s="501">
        <f>+'Metas 2'!AA$25</f>
        <v>20079922</v>
      </c>
      <c r="S19" s="501">
        <f>+'Metas 2'!AB$25</f>
        <v>0</v>
      </c>
      <c r="T19" s="501">
        <f>+'Metas 2'!AC$25</f>
        <v>180970804</v>
      </c>
      <c r="U19" s="501">
        <f>+'Metas 2'!AD$25</f>
        <v>0.70975199696035951</v>
      </c>
      <c r="V19" s="502"/>
      <c r="W19" s="503"/>
      <c r="X19" s="501">
        <f>+'Metas 2'!C$25</f>
        <v>0</v>
      </c>
      <c r="Y19" s="501">
        <f>+'Metas 2'!D$25</f>
        <v>293333</v>
      </c>
      <c r="Z19" s="501">
        <f>+'Metas 2'!E$25</f>
        <v>0</v>
      </c>
      <c r="AA19" s="501">
        <f>+'Metas 2'!F$25</f>
        <v>0</v>
      </c>
      <c r="AB19" s="501">
        <f>+'Metas 2'!G$25</f>
        <v>0</v>
      </c>
      <c r="AC19" s="501">
        <f>+'Metas 2'!H$25</f>
        <v>0</v>
      </c>
      <c r="AD19" s="501">
        <f>+'Metas 2'!I$25</f>
        <v>0</v>
      </c>
      <c r="AE19" s="501">
        <f>+'Metas 2'!J$25</f>
        <v>0</v>
      </c>
      <c r="AF19" s="501">
        <f>+'Metas 2'!K$25</f>
        <v>0</v>
      </c>
      <c r="AG19" s="501">
        <f>+'Metas 2'!L$25</f>
        <v>0</v>
      </c>
      <c r="AH19" s="501">
        <f>+'Metas 2'!M$25</f>
        <v>0</v>
      </c>
      <c r="AI19" s="501">
        <f>+'Metas 2'!N$25</f>
        <v>0</v>
      </c>
      <c r="AJ19" s="501">
        <f>+'Metas 2'!O$25</f>
        <v>293333</v>
      </c>
      <c r="AK19" s="501">
        <f>+'Metas 2'!P$25</f>
        <v>1</v>
      </c>
    </row>
    <row r="20" spans="1:42">
      <c r="A20" s="599"/>
      <c r="B20" s="601"/>
      <c r="C20" s="603"/>
      <c r="D20" s="500" t="s">
        <v>25</v>
      </c>
      <c r="E20" s="505">
        <f>+Hoja1!$AS$33</f>
        <v>0</v>
      </c>
      <c r="F20" s="506">
        <f>+'Metas 2'!$W$17</f>
        <v>13</v>
      </c>
      <c r="G20" s="506">
        <f t="shared" si="0"/>
        <v>-13</v>
      </c>
      <c r="H20" s="506">
        <f>+'Metas 2'!D$34</f>
        <v>13</v>
      </c>
      <c r="I20" s="506">
        <f>+'Metas 2'!E$34</f>
        <v>13</v>
      </c>
      <c r="J20" s="506">
        <f>+'Metas 2'!F$34</f>
        <v>13</v>
      </c>
      <c r="K20" s="506">
        <f>+'Metas 2'!G$34</f>
        <v>13</v>
      </c>
      <c r="L20" s="506">
        <f>+'Metas 2'!H$34</f>
        <v>13</v>
      </c>
      <c r="M20" s="506">
        <f>+'Metas 2'!I$34</f>
        <v>13</v>
      </c>
      <c r="N20" s="506">
        <f>+'Metas 2'!J$34</f>
        <v>13</v>
      </c>
      <c r="O20" s="506">
        <f>+'Metas 2'!K$34</f>
        <v>13</v>
      </c>
      <c r="P20" s="506">
        <f>+'Metas 2'!L$34</f>
        <v>13</v>
      </c>
      <c r="Q20" s="506">
        <f>+'Metas 2'!M$34</f>
        <v>13</v>
      </c>
      <c r="R20" s="506">
        <f>+'Metas 2'!N$34</f>
        <v>13</v>
      </c>
      <c r="S20" s="506">
        <f>+'Metas 2'!O$34</f>
        <v>13</v>
      </c>
      <c r="T20" s="505">
        <f>+'Metas 2'!P$34</f>
        <v>13</v>
      </c>
      <c r="U20" s="509">
        <f>+'Metas 2'!P$34</f>
        <v>13</v>
      </c>
      <c r="V20" s="502"/>
      <c r="W20" s="508"/>
    </row>
    <row r="21" spans="1:42">
      <c r="A21" s="600"/>
      <c r="B21" s="601"/>
      <c r="C21" s="603"/>
      <c r="D21" s="500" t="s">
        <v>26</v>
      </c>
      <c r="E21" s="507"/>
      <c r="F21" s="507"/>
      <c r="G21" s="506">
        <f t="shared" si="0"/>
        <v>0</v>
      </c>
      <c r="H21" s="506">
        <f>+'Metas 2'!D$35</f>
        <v>0</v>
      </c>
      <c r="I21" s="506">
        <f>+'Metas 2'!E$35</f>
        <v>13</v>
      </c>
      <c r="J21" s="506">
        <f>+'Metas 2'!F$35</f>
        <v>13</v>
      </c>
      <c r="K21" s="506">
        <f>+'Metas 2'!G$35</f>
        <v>13</v>
      </c>
      <c r="L21" s="506">
        <f>+'Metas 2'!H$35</f>
        <v>13</v>
      </c>
      <c r="M21" s="506">
        <f>+'Metas 2'!I$35</f>
        <v>13</v>
      </c>
      <c r="N21" s="506">
        <f>+'Metas 2'!J$35</f>
        <v>13</v>
      </c>
      <c r="O21" s="506">
        <f>+'Metas 2'!K$35</f>
        <v>13</v>
      </c>
      <c r="P21" s="506">
        <f>+'Metas 2'!L$35</f>
        <v>13</v>
      </c>
      <c r="Q21" s="506">
        <f>+'Metas 2'!M$35</f>
        <v>13</v>
      </c>
      <c r="R21" s="506">
        <f>+'Metas 2'!N$35</f>
        <v>13</v>
      </c>
      <c r="S21" s="506">
        <f>+'Metas 2'!O$35</f>
        <v>0</v>
      </c>
      <c r="T21" s="506">
        <f>+'Metas 2'!P$35</f>
        <v>13</v>
      </c>
      <c r="U21" s="509">
        <f>+'Metas 2'!P$35</f>
        <v>13</v>
      </c>
      <c r="V21" s="502"/>
      <c r="W21" s="508"/>
    </row>
    <row r="22" spans="1:42">
      <c r="A22" s="598">
        <f>+A16+1</f>
        <v>3</v>
      </c>
      <c r="B22" s="609" t="str">
        <f>+'Metas 3'!A34</f>
        <v>3. Gestionar 1 estrategia para la adecuación de infraestructura de manzanas de cuidado</v>
      </c>
      <c r="C22" s="602">
        <f>+'Metas 3'!B34</f>
        <v>0.15000000000000002</v>
      </c>
      <c r="D22" s="500" t="s">
        <v>24</v>
      </c>
      <c r="E22" s="501">
        <v>2501008965</v>
      </c>
      <c r="F22" s="501">
        <f>+T22</f>
        <v>2521271810</v>
      </c>
      <c r="G22" s="501">
        <f t="shared" si="0"/>
        <v>-20262845</v>
      </c>
      <c r="H22" s="501">
        <f>+'Metas 3'!Q$22</f>
        <v>2207643126</v>
      </c>
      <c r="I22" s="501">
        <f>+'Metas 3'!R$22</f>
        <v>22500000</v>
      </c>
      <c r="J22" s="501">
        <f>+'Metas 3'!S$22</f>
        <v>0</v>
      </c>
      <c r="K22" s="501">
        <f>+'Metas 3'!T$22</f>
        <v>19980500</v>
      </c>
      <c r="L22" s="501">
        <f>+'Metas 3'!U$22</f>
        <v>147905833</v>
      </c>
      <c r="M22" s="501">
        <f>+'Metas 3'!V$22</f>
        <v>10479506</v>
      </c>
      <c r="N22" s="501">
        <f>+'Metas 3'!W$22</f>
        <v>15000000</v>
      </c>
      <c r="O22" s="501">
        <f>+'Metas 3'!X$22</f>
        <v>77500000</v>
      </c>
      <c r="P22" s="501">
        <f>+'Metas 3'!Y$22</f>
        <v>0</v>
      </c>
      <c r="Q22" s="501">
        <f>+'Metas 3'!Z$22</f>
        <v>20262845</v>
      </c>
      <c r="R22" s="501">
        <f>+'Metas 3'!AA$22</f>
        <v>0</v>
      </c>
      <c r="S22" s="501">
        <f>+'Metas 3'!AB$22</f>
        <v>0</v>
      </c>
      <c r="T22" s="501">
        <f>+'Metas 3'!AC$22</f>
        <v>2521271810</v>
      </c>
      <c r="U22" s="501">
        <f>+'Metas 3'!AD$22</f>
        <v>0</v>
      </c>
      <c r="V22" s="502"/>
      <c r="W22" s="503"/>
      <c r="X22" s="501">
        <f>+'Metas 3'!C$22</f>
        <v>0</v>
      </c>
      <c r="Y22" s="501">
        <f>+'Metas 3'!D$22</f>
        <v>0</v>
      </c>
      <c r="Z22" s="501">
        <f>+'Metas 3'!E$22</f>
        <v>0</v>
      </c>
      <c r="AA22" s="501">
        <f>+'Metas 3'!F$22</f>
        <v>0</v>
      </c>
      <c r="AB22" s="501">
        <f>+'Metas 3'!G$22</f>
        <v>0</v>
      </c>
      <c r="AC22" s="501">
        <f>+'Metas 3'!H$22</f>
        <v>0</v>
      </c>
      <c r="AD22" s="501">
        <f>+'Metas 3'!I$22</f>
        <v>0</v>
      </c>
      <c r="AE22" s="501">
        <f>+'Metas 3'!J$22</f>
        <v>0</v>
      </c>
      <c r="AF22" s="501">
        <f>+'Metas 3'!K$22</f>
        <v>0</v>
      </c>
      <c r="AG22" s="501">
        <f>+'Metas 3'!L$22</f>
        <v>0</v>
      </c>
      <c r="AH22" s="501">
        <f>+'Metas 3'!M$22</f>
        <v>0</v>
      </c>
      <c r="AI22" s="501">
        <f>+'Metas 3'!N$22</f>
        <v>0</v>
      </c>
      <c r="AJ22" s="501">
        <f>+'Metas 3'!O$22</f>
        <v>0</v>
      </c>
      <c r="AK22" s="501">
        <f>+'Metas 3'!P$22</f>
        <v>0</v>
      </c>
      <c r="AM22" s="504">
        <v>2501008965</v>
      </c>
      <c r="AN22" s="504">
        <f>+T22-AM22</f>
        <v>20262845</v>
      </c>
    </row>
    <row r="23" spans="1:42">
      <c r="A23" s="599"/>
      <c r="B23" s="610"/>
      <c r="C23" s="603"/>
      <c r="D23" s="500" t="s">
        <v>18</v>
      </c>
      <c r="E23" s="501"/>
      <c r="F23" s="501"/>
      <c r="G23" s="501">
        <f t="shared" si="0"/>
        <v>0</v>
      </c>
      <c r="H23" s="501">
        <f>+'Metas 3'!Q$23</f>
        <v>2170219796</v>
      </c>
      <c r="I23" s="501">
        <f>+'Metas 3'!R$23</f>
        <v>0</v>
      </c>
      <c r="J23" s="501">
        <f>+'Metas 3'!S$23</f>
        <v>-3824755</v>
      </c>
      <c r="K23" s="501">
        <f>+'Metas 3'!T$23</f>
        <v>4605844</v>
      </c>
      <c r="L23" s="501">
        <f>+'Metas 3'!U$23</f>
        <v>21830326</v>
      </c>
      <c r="M23" s="501">
        <f>+'Metas 3'!V$23</f>
        <v>26006458</v>
      </c>
      <c r="N23" s="501">
        <f>+'Metas 3'!W$23</f>
        <v>0</v>
      </c>
      <c r="O23" s="501">
        <f>+'Metas 3'!X$23</f>
        <v>130400000</v>
      </c>
      <c r="P23" s="501">
        <f>+'Metas 3'!Y$23</f>
        <v>56129747</v>
      </c>
      <c r="Q23" s="501">
        <f>+'Metas 3'!Z$23</f>
        <v>47393996</v>
      </c>
      <c r="R23" s="501">
        <f>+'Metas 3'!AA$23</f>
        <v>1776839</v>
      </c>
      <c r="S23" s="501">
        <f>+'Metas 3'!AB$23</f>
        <v>0</v>
      </c>
      <c r="T23" s="501">
        <f>+'Metas 3'!AC$23</f>
        <v>2454538251</v>
      </c>
      <c r="U23" s="501">
        <f>+'Metas 3'!AD$23</f>
        <v>0.97353178711818467</v>
      </c>
      <c r="V23" s="502">
        <f>+T23/T22</f>
        <v>0.97353178711818467</v>
      </c>
      <c r="W23" s="503"/>
      <c r="X23" s="501">
        <f>+'Metas 3'!C$23</f>
        <v>82795794</v>
      </c>
      <c r="Y23" s="501">
        <f>+'Metas 3'!D$23</f>
        <v>0</v>
      </c>
      <c r="Z23" s="501">
        <f>+'Metas 3'!E$23</f>
        <v>-2744000</v>
      </c>
      <c r="AA23" s="501">
        <f>+'Metas 3'!F$23</f>
        <v>0</v>
      </c>
      <c r="AB23" s="501">
        <f>+'Metas 3'!G$23</f>
        <v>-205003</v>
      </c>
      <c r="AC23" s="501">
        <f>+'Metas 3'!H$23</f>
        <v>0</v>
      </c>
      <c r="AD23" s="501">
        <f>+'Metas 3'!I$23</f>
        <v>0</v>
      </c>
      <c r="AE23" s="501">
        <f>+'Metas 3'!J$23</f>
        <v>0</v>
      </c>
      <c r="AF23" s="501">
        <f>+'Metas 3'!K$23</f>
        <v>0</v>
      </c>
      <c r="AG23" s="501">
        <f>+'Metas 3'!L$23</f>
        <v>0</v>
      </c>
      <c r="AH23" s="501">
        <f>+'Metas 3'!M$23</f>
        <v>2</v>
      </c>
      <c r="AI23" s="501">
        <f>+'Metas 3'!N$23</f>
        <v>0</v>
      </c>
      <c r="AJ23" s="501">
        <f>+'Metas 3'!O$23</f>
        <v>79846793</v>
      </c>
      <c r="AK23" s="501" t="str">
        <f>+'Metas 3'!P$23</f>
        <v xml:space="preserve"> </v>
      </c>
    </row>
    <row r="24" spans="1:42">
      <c r="A24" s="599"/>
      <c r="B24" s="610"/>
      <c r="C24" s="603"/>
      <c r="D24" s="500" t="s">
        <v>19</v>
      </c>
      <c r="E24" s="501">
        <v>2501008965</v>
      </c>
      <c r="F24" s="501">
        <f>+T24</f>
        <v>2501008965</v>
      </c>
      <c r="G24" s="501">
        <f t="shared" si="0"/>
        <v>0</v>
      </c>
      <c r="H24" s="501">
        <f>+'Metas 3'!Q$24</f>
        <v>0</v>
      </c>
      <c r="I24" s="501">
        <f>+'Metas 3'!R$24</f>
        <v>102901451.99999993</v>
      </c>
      <c r="J24" s="501">
        <f>+'Metas 3'!S$24</f>
        <v>191360940</v>
      </c>
      <c r="K24" s="501">
        <f>+'Metas 3'!T$24</f>
        <v>194735940</v>
      </c>
      <c r="L24" s="501">
        <f>+'Metas 3'!U$24</f>
        <v>193580996</v>
      </c>
      <c r="M24" s="501">
        <f>+'Metas 3'!V$24</f>
        <v>213334225</v>
      </c>
      <c r="N24" s="501">
        <f>+'Metas 3'!W$24</f>
        <v>222584225</v>
      </c>
      <c r="O24" s="501">
        <f>+'Metas 3'!X$24</f>
        <v>230877557</v>
      </c>
      <c r="P24" s="501">
        <f>+'Metas 3'!Y$24</f>
        <v>217063730</v>
      </c>
      <c r="Q24" s="501">
        <f>+'Metas 3'!Z$24</f>
        <v>223377557</v>
      </c>
      <c r="R24" s="501">
        <f>+'Metas 3'!AA$24</f>
        <v>239459225</v>
      </c>
      <c r="S24" s="501">
        <f>+'Metas 3'!AB$24</f>
        <v>471733118</v>
      </c>
      <c r="T24" s="501">
        <f>+'Metas 3'!AC$24</f>
        <v>2501008965</v>
      </c>
      <c r="U24" s="501">
        <f>+'Metas 3'!AD$24</f>
        <v>0</v>
      </c>
      <c r="V24" s="502"/>
      <c r="W24" s="503"/>
      <c r="X24" s="501">
        <f>+'Metas 3'!C$24</f>
        <v>0</v>
      </c>
      <c r="Y24" s="501">
        <f>+'Metas 3'!D$24</f>
        <v>12368266</v>
      </c>
      <c r="Z24" s="501">
        <f>+'Metas 3'!E$24</f>
        <v>66303527</v>
      </c>
      <c r="AA24" s="501">
        <f>+'Metas 3'!F$24</f>
        <v>1175000</v>
      </c>
      <c r="AB24" s="501">
        <f>+'Metas 3'!G$24</f>
        <v>0</v>
      </c>
      <c r="AC24" s="501">
        <f>+'Metas 3'!H$24</f>
        <v>0</v>
      </c>
      <c r="AD24" s="501">
        <f>+'Metas 3'!I$24</f>
        <v>0</v>
      </c>
      <c r="AE24" s="501">
        <f>+'Metas 3'!J$24</f>
        <v>0</v>
      </c>
      <c r="AF24" s="501">
        <f>+'Metas 3'!K$24</f>
        <v>0</v>
      </c>
      <c r="AG24" s="501">
        <f>+'Metas 3'!L$24</f>
        <v>0</v>
      </c>
      <c r="AH24" s="501">
        <f>+'Metas 3'!M$24</f>
        <v>0</v>
      </c>
      <c r="AI24" s="501">
        <f>+'Metas 3'!N$24</f>
        <v>0</v>
      </c>
      <c r="AJ24" s="501">
        <f>+'Metas 3'!O$24</f>
        <v>79846793</v>
      </c>
      <c r="AK24" s="501">
        <f>+'Metas 3'!P$24</f>
        <v>0</v>
      </c>
    </row>
    <row r="25" spans="1:42">
      <c r="A25" s="599"/>
      <c r="B25" s="610"/>
      <c r="C25" s="603"/>
      <c r="D25" s="500" t="s">
        <v>20</v>
      </c>
      <c r="E25" s="501"/>
      <c r="F25" s="501"/>
      <c r="G25" s="501">
        <f t="shared" si="0"/>
        <v>0</v>
      </c>
      <c r="H25" s="501">
        <f>+'Metas 3'!Q$25</f>
        <v>0</v>
      </c>
      <c r="I25" s="501">
        <f>+'Metas 3'!R$25</f>
        <v>33390260</v>
      </c>
      <c r="J25" s="501">
        <f>+'Metas 3'!S$25</f>
        <v>185862787</v>
      </c>
      <c r="K25" s="501">
        <f>+'Metas 3'!T$25</f>
        <v>190808174</v>
      </c>
      <c r="L25" s="501">
        <f>+'Metas 3'!U$25</f>
        <v>191961100</v>
      </c>
      <c r="M25" s="501">
        <f>+'Metas 3'!V$25</f>
        <v>218945781</v>
      </c>
      <c r="N25" s="501">
        <f>+'Metas 3'!W$25</f>
        <v>195243358</v>
      </c>
      <c r="O25" s="501">
        <f>+'Metas 3'!X$25</f>
        <v>193354576</v>
      </c>
      <c r="P25" s="501">
        <f>+'Metas 3'!Y$25</f>
        <v>198278040</v>
      </c>
      <c r="Q25" s="501">
        <f>+'Metas 3'!Z$25</f>
        <v>230660292</v>
      </c>
      <c r="R25" s="501">
        <f>+'Metas 3'!AA$25</f>
        <v>233481848</v>
      </c>
      <c r="S25" s="501">
        <f>+'Metas 3'!AB$25</f>
        <v>0</v>
      </c>
      <c r="T25" s="501">
        <f>+'Metas 3'!AC$25</f>
        <v>1871986216</v>
      </c>
      <c r="U25" s="501">
        <f>+'Metas 3'!AD$25</f>
        <v>0.74849240534409678</v>
      </c>
      <c r="V25" s="502"/>
      <c r="W25" s="503"/>
      <c r="X25" s="501">
        <f>+'Metas 3'!C$25</f>
        <v>7349999.9999999991</v>
      </c>
      <c r="Y25" s="501">
        <f>+'Metas 3'!D$25</f>
        <v>2274267</v>
      </c>
      <c r="Z25" s="501">
        <f>+'Metas 3'!E$25</f>
        <v>61205245</v>
      </c>
      <c r="AA25" s="501">
        <f>+'Metas 3'!F$25</f>
        <v>1175000</v>
      </c>
      <c r="AB25" s="501">
        <f>+'Metas 3'!G$25</f>
        <v>2455084</v>
      </c>
      <c r="AC25" s="501">
        <f>+'Metas 3'!H$25</f>
        <v>2004084</v>
      </c>
      <c r="AD25" s="501">
        <f>+'Metas 3'!I$25</f>
        <v>2004084</v>
      </c>
      <c r="AE25" s="501">
        <f>+'Metas 3'!J$25</f>
        <v>1379029</v>
      </c>
      <c r="AF25" s="501">
        <f>+'Metas 3'!K$25</f>
        <v>0</v>
      </c>
      <c r="AG25" s="501">
        <f>+'Metas 3'!L$25</f>
        <v>0</v>
      </c>
      <c r="AH25" s="501">
        <f>+'Metas 3'!M$25</f>
        <v>0</v>
      </c>
      <c r="AI25" s="501">
        <f>+'Metas 3'!N$25</f>
        <v>0</v>
      </c>
      <c r="AJ25" s="501">
        <f>+'Metas 3'!O$25</f>
        <v>79846793</v>
      </c>
      <c r="AK25" s="501">
        <f>+'Metas 3'!P$25</f>
        <v>1</v>
      </c>
    </row>
    <row r="26" spans="1:42">
      <c r="A26" s="599"/>
      <c r="B26" s="610"/>
      <c r="C26" s="603"/>
      <c r="D26" s="500" t="s">
        <v>25</v>
      </c>
      <c r="E26" s="505">
        <f>+Hoja1!$AS$34</f>
        <v>0</v>
      </c>
      <c r="F26" s="506">
        <f>+'Metas 3'!W17</f>
        <v>0.25</v>
      </c>
      <c r="G26" s="506">
        <f t="shared" si="0"/>
        <v>-0.25</v>
      </c>
      <c r="H26" s="507">
        <f>+'Metas 3'!D$34</f>
        <v>2.3083333333333331E-2</v>
      </c>
      <c r="I26" s="507">
        <f>+'Metas 3'!E$34</f>
        <v>2.0833333333333332E-2</v>
      </c>
      <c r="J26" s="507">
        <f>+'Metas 3'!F$34</f>
        <v>2.0833333333333332E-2</v>
      </c>
      <c r="K26" s="507">
        <f>+'Metas 3'!G$34</f>
        <v>2.0833333333333332E-2</v>
      </c>
      <c r="L26" s="507">
        <f>+'Metas 3'!H$34</f>
        <v>2.0833333333333332E-2</v>
      </c>
      <c r="M26" s="507">
        <f>+'Metas 3'!I$34</f>
        <v>2.0833333333333332E-2</v>
      </c>
      <c r="N26" s="507">
        <f>+'Metas 3'!J$34</f>
        <v>2.0833333333333332E-2</v>
      </c>
      <c r="O26" s="507">
        <f>+'Metas 3'!K$34</f>
        <v>2.0833333333333332E-2</v>
      </c>
      <c r="P26" s="507">
        <f>+'Metas 3'!L$34</f>
        <v>2.0833333333333332E-2</v>
      </c>
      <c r="Q26" s="507">
        <f>+'Metas 3'!M$34</f>
        <v>2.0833333333333332E-2</v>
      </c>
      <c r="R26" s="507">
        <f>+'Metas 3'!N$34</f>
        <v>2.0833333333333332E-2</v>
      </c>
      <c r="S26" s="507">
        <f>+'Metas 3'!O$34</f>
        <v>2.0833333333333332E-2</v>
      </c>
      <c r="T26" s="507">
        <f>+'Metas 3'!P$34</f>
        <v>0.25225000000000003</v>
      </c>
      <c r="U26" s="507">
        <f>+'Metas 3'!P$34</f>
        <v>0.25225000000000003</v>
      </c>
      <c r="V26" s="502"/>
      <c r="W26" s="508"/>
    </row>
    <row r="27" spans="1:42">
      <c r="A27" s="600"/>
      <c r="B27" s="611"/>
      <c r="C27" s="603"/>
      <c r="D27" s="500" t="s">
        <v>26</v>
      </c>
      <c r="E27" s="507"/>
      <c r="F27" s="507"/>
      <c r="G27" s="507">
        <f t="shared" si="0"/>
        <v>0</v>
      </c>
      <c r="H27" s="507">
        <f>+'Metas 3'!D$35</f>
        <v>1.613888888888889E-2</v>
      </c>
      <c r="I27" s="507">
        <f>+'Metas 3'!E$35</f>
        <v>2.0833333333333332E-2</v>
      </c>
      <c r="J27" s="507">
        <f>+'Metas 3'!F$35</f>
        <v>2.7222222222222221E-2</v>
      </c>
      <c r="K27" s="507">
        <f>+'Metas 3'!G$35</f>
        <v>2.0833333333333332E-2</v>
      </c>
      <c r="L27" s="507">
        <f>+'Metas 3'!H$35</f>
        <v>2.1000000000000001E-2</v>
      </c>
      <c r="M27" s="507">
        <f>+'Metas 3'!I$35</f>
        <v>0.02</v>
      </c>
      <c r="N27" s="507">
        <f>+'Metas 3'!J$35</f>
        <v>0.02</v>
      </c>
      <c r="O27" s="507">
        <f>+'Metas 3'!K$35</f>
        <v>0.02</v>
      </c>
      <c r="P27" s="507">
        <f>+'Metas 3'!L$35</f>
        <v>0.02</v>
      </c>
      <c r="Q27" s="507">
        <f>+'Metas 3'!M$35</f>
        <v>0.02</v>
      </c>
      <c r="R27" s="507">
        <f>+'Metas 3'!N$35</f>
        <v>0.02</v>
      </c>
      <c r="S27" s="507">
        <f>+'Metas 3'!O$35</f>
        <v>0</v>
      </c>
      <c r="T27" s="510">
        <f>+'Metas 3'!P$35</f>
        <v>0.22602777777777772</v>
      </c>
      <c r="U27" s="507">
        <f>+'Metas 3'!P$35</f>
        <v>0.22602777777777772</v>
      </c>
      <c r="V27" s="502"/>
      <c r="W27" s="508"/>
    </row>
    <row r="28" spans="1:42">
      <c r="A28" s="598">
        <f>+A22+1</f>
        <v>4</v>
      </c>
      <c r="B28" s="601" t="str">
        <f>+'Metas 4 (Contrato relevos)'!A34</f>
        <v>4. Diseñar e implementar 1 estrategia de cuidado a cuidadoras.</v>
      </c>
      <c r="C28" s="602">
        <f>+'Metas 4 (Contrato relevos)'!B34</f>
        <v>0.15000000000000002</v>
      </c>
      <c r="D28" s="500" t="s">
        <v>24</v>
      </c>
      <c r="E28" s="501">
        <f>6333424930-688003041</f>
        <v>5645421889</v>
      </c>
      <c r="F28" s="501">
        <f>+T28</f>
        <v>2610067442</v>
      </c>
      <c r="G28" s="501">
        <f t="shared" si="0"/>
        <v>3035354447</v>
      </c>
      <c r="H28" s="501">
        <f>+'Metas 4 (Contrato relevos)'!Q$22</f>
        <v>2217335062</v>
      </c>
      <c r="I28" s="501">
        <f>+'Metas 4 (Contrato relevos)'!R$22</f>
        <v>22500000</v>
      </c>
      <c r="J28" s="501">
        <f>+'Metas 4 (Contrato relevos)'!S$22</f>
        <v>0</v>
      </c>
      <c r="K28" s="501">
        <f>+'Metas 4 (Contrato relevos)'!T$22</f>
        <v>19980500</v>
      </c>
      <c r="L28" s="501">
        <f>+'Metas 4 (Contrato relevos)'!U$22</f>
        <v>3990629862</v>
      </c>
      <c r="M28" s="501">
        <f>+'Metas 4 (Contrato relevos)'!V$22</f>
        <v>10479506</v>
      </c>
      <c r="N28" s="501">
        <f>+'Metas 4 (Contrato relevos)'!W$22</f>
        <v>-688003041</v>
      </c>
      <c r="O28" s="501">
        <f>+'Metas 4 (Contrato relevos)'!X$22</f>
        <v>-3197500000</v>
      </c>
      <c r="P28" s="501">
        <f>+'Metas 4 (Contrato relevos)'!Y$22</f>
        <v>0</v>
      </c>
      <c r="Q28" s="501">
        <f>+'Metas 4 (Contrato relevos)'!Z$22</f>
        <v>234645553</v>
      </c>
      <c r="R28" s="501">
        <f>+'Metas 4 (Contrato relevos)'!AA$22</f>
        <v>0</v>
      </c>
      <c r="S28" s="501">
        <f>+'Metas 4 (Contrato relevos)'!AB$22</f>
        <v>0</v>
      </c>
      <c r="T28" s="501">
        <f>+'Metas 4 (Contrato relevos)'!AC$22</f>
        <v>2610067442</v>
      </c>
      <c r="U28" s="501">
        <f>+'Metas 4 (Contrato relevos)'!AD$22</f>
        <v>0</v>
      </c>
      <c r="V28" s="502"/>
      <c r="W28" s="503"/>
      <c r="X28" s="501">
        <f>+'Metas 4 (Contrato relevos)'!C$22</f>
        <v>0</v>
      </c>
      <c r="Y28" s="501">
        <f>+'Metas 4 (Contrato relevos)'!D$22</f>
        <v>0</v>
      </c>
      <c r="Z28" s="501">
        <f>+'Metas 4 (Contrato relevos)'!E$22</f>
        <v>0</v>
      </c>
      <c r="AA28" s="501">
        <f>+'Metas 4 (Contrato relevos)'!F$22</f>
        <v>0</v>
      </c>
      <c r="AB28" s="501">
        <f>+'Metas 4 (Contrato relevos)'!G$22</f>
        <v>0</v>
      </c>
      <c r="AC28" s="501">
        <f>+'Metas 4 (Contrato relevos)'!H$22</f>
        <v>0</v>
      </c>
      <c r="AD28" s="501">
        <f>+'Metas 4 (Contrato relevos)'!I$22</f>
        <v>0</v>
      </c>
      <c r="AE28" s="501">
        <f>+'Metas 4 (Contrato relevos)'!J$22</f>
        <v>0</v>
      </c>
      <c r="AF28" s="501">
        <f>+'Metas 4 (Contrato relevos)'!K$22</f>
        <v>0</v>
      </c>
      <c r="AG28" s="501">
        <f>+'Metas 4 (Contrato relevos)'!L$22</f>
        <v>0</v>
      </c>
      <c r="AH28" s="501">
        <f>+'Metas 4 (Contrato relevos)'!M$22</f>
        <v>0</v>
      </c>
      <c r="AI28" s="501">
        <f>+'Metas 4 (Contrato relevos)'!N$22</f>
        <v>0</v>
      </c>
      <c r="AJ28" s="501">
        <f>+'Metas 4 (Contrato relevos)'!O$22</f>
        <v>0</v>
      </c>
      <c r="AK28" s="501">
        <f>+'Metas 4 (Contrato relevos)'!P$22</f>
        <v>0</v>
      </c>
      <c r="AL28" s="511"/>
      <c r="AM28" s="504">
        <v>2375421889</v>
      </c>
      <c r="AN28" s="504">
        <f>+T28-AM28</f>
        <v>234645553</v>
      </c>
      <c r="AO28" s="504"/>
      <c r="AP28" s="504"/>
    </row>
    <row r="29" spans="1:42">
      <c r="A29" s="599"/>
      <c r="B29" s="601"/>
      <c r="C29" s="603"/>
      <c r="D29" s="500" t="s">
        <v>18</v>
      </c>
      <c r="E29" s="501"/>
      <c r="F29" s="501"/>
      <c r="G29" s="501">
        <f t="shared" si="0"/>
        <v>0</v>
      </c>
      <c r="H29" s="501">
        <f>+'Metas 4 (Contrato relevos)'!Q$23</f>
        <v>2217335062</v>
      </c>
      <c r="I29" s="501">
        <f>+'Metas 4 (Contrato relevos)'!R$23</f>
        <v>0</v>
      </c>
      <c r="J29" s="501">
        <f>+'Metas 4 (Contrato relevos)'!S$23</f>
        <v>-5797508</v>
      </c>
      <c r="K29" s="501">
        <f>+'Metas 4 (Contrato relevos)'!T$23</f>
        <v>8329342</v>
      </c>
      <c r="L29" s="501">
        <f>+'Metas 4 (Contrato relevos)'!U$23</f>
        <v>18226535</v>
      </c>
      <c r="M29" s="501">
        <f>+'Metas 4 (Contrato relevos)'!V$23</f>
        <v>26006459</v>
      </c>
      <c r="N29" s="501">
        <f>+'Metas 4 (Contrato relevos)'!W$23</f>
        <v>0</v>
      </c>
      <c r="O29" s="501">
        <f>+'Metas 4 (Contrato relevos)'!X$23</f>
        <v>206800000</v>
      </c>
      <c r="P29" s="501">
        <f>+'Metas 4 (Contrato relevos)'!Y$23</f>
        <v>41796058</v>
      </c>
      <c r="Q29" s="501">
        <f>+'Metas 4 (Contrato relevos)'!Z$23</f>
        <v>37179828</v>
      </c>
      <c r="R29" s="501">
        <f>+'Metas 4 (Contrato relevos)'!AA$23</f>
        <v>17256</v>
      </c>
      <c r="S29" s="501">
        <f>+'Metas 4 (Contrato relevos)'!AB$23</f>
        <v>0</v>
      </c>
      <c r="T29" s="501">
        <f>+'Metas 4 (Contrato relevos)'!AC$23</f>
        <v>2549893032</v>
      </c>
      <c r="U29" s="501">
        <f>+'Metas 4 (Contrato relevos)'!AD$23</f>
        <v>0.97694526622887168</v>
      </c>
      <c r="V29" s="502">
        <f>+T29/T28</f>
        <v>0.97694526622887168</v>
      </c>
      <c r="W29" s="503"/>
      <c r="X29" s="501">
        <f>+'Metas 4 (Contrato relevos)'!C$23</f>
        <v>4725735192</v>
      </c>
      <c r="Y29" s="501">
        <f>+'Metas 4 (Contrato relevos)'!D$23</f>
        <v>0</v>
      </c>
      <c r="Z29" s="501">
        <f>+'Metas 4 (Contrato relevos)'!E$23</f>
        <v>-2744000</v>
      </c>
      <c r="AA29" s="501">
        <f>+'Metas 4 (Contrato relevos)'!F$23</f>
        <v>0</v>
      </c>
      <c r="AB29" s="501">
        <f>+'Metas 4 (Contrato relevos)'!G$23</f>
        <v>-6846045</v>
      </c>
      <c r="AC29" s="501">
        <f>+'Metas 4 (Contrato relevos)'!H$23</f>
        <v>0</v>
      </c>
      <c r="AD29" s="501">
        <f>+'Metas 4 (Contrato relevos)'!I$23</f>
        <v>0</v>
      </c>
      <c r="AE29" s="501">
        <f>+'Metas 4 (Contrato relevos)'!J$23</f>
        <v>0</v>
      </c>
      <c r="AF29" s="501">
        <f>+'Metas 4 (Contrato relevos)'!K$23</f>
        <v>0</v>
      </c>
      <c r="AG29" s="501">
        <f>+'Metas 4 (Contrato relevos)'!L$23</f>
        <v>0</v>
      </c>
      <c r="AH29" s="501">
        <f>+'Metas 4 (Contrato relevos)'!M$23</f>
        <v>0</v>
      </c>
      <c r="AI29" s="501">
        <f>+'Metas 4 (Contrato relevos)'!N$23</f>
        <v>0</v>
      </c>
      <c r="AJ29" s="501">
        <f>+'Metas 4 (Contrato relevos)'!O$23</f>
        <v>4716145147</v>
      </c>
      <c r="AK29" s="501" t="str">
        <f>+'Metas 4 (Contrato relevos)'!P$23</f>
        <v xml:space="preserve"> </v>
      </c>
    </row>
    <row r="30" spans="1:42">
      <c r="A30" s="599"/>
      <c r="B30" s="601"/>
      <c r="C30" s="603"/>
      <c r="D30" s="500" t="s">
        <v>19</v>
      </c>
      <c r="E30" s="501">
        <f>6333424930-688003041</f>
        <v>5645421889</v>
      </c>
      <c r="F30" s="501">
        <f>+T30</f>
        <v>2375421889</v>
      </c>
      <c r="G30" s="501">
        <f t="shared" si="0"/>
        <v>3270000000</v>
      </c>
      <c r="H30" s="501">
        <f>+'Metas 4 (Contrato relevos)'!Q$24</f>
        <v>0</v>
      </c>
      <c r="I30" s="501">
        <f>+'Metas 4 (Contrato relevos)'!R$24</f>
        <v>96865667</v>
      </c>
      <c r="J30" s="501">
        <f>+'Metas 4 (Contrato relevos)'!S$24</f>
        <v>196200867</v>
      </c>
      <c r="K30" s="501">
        <f>+'Metas 4 (Contrato relevos)'!T$24</f>
        <v>199575867</v>
      </c>
      <c r="L30" s="501">
        <f>+'Metas 4 (Contrato relevos)'!U$24</f>
        <v>198420923</v>
      </c>
      <c r="M30" s="501">
        <f>+'Metas 4 (Contrato relevos)'!V$24</f>
        <v>202767589</v>
      </c>
      <c r="N30" s="501">
        <f>+'Metas 4 (Contrato relevos)'!W$24</f>
        <v>1355778641</v>
      </c>
      <c r="O30" s="501">
        <f>+'Metas 4 (Contrato relevos)'!X$24</f>
        <v>31895446</v>
      </c>
      <c r="P30" s="501">
        <f>+'Metas 4 (Contrato relevos)'!Y$24</f>
        <v>18438285</v>
      </c>
      <c r="Q30" s="501">
        <f>+'Metas 4 (Contrato relevos)'!Z$24</f>
        <v>9395446</v>
      </c>
      <c r="R30" s="501">
        <f>+'Metas 4 (Contrato relevos)'!AA$24</f>
        <v>39833779</v>
      </c>
      <c r="S30" s="501">
        <f>+'Metas 4 (Contrato relevos)'!AB$24</f>
        <v>26249379</v>
      </c>
      <c r="T30" s="501">
        <f>+'Metas 4 (Contrato relevos)'!AC$24</f>
        <v>2375421889</v>
      </c>
      <c r="U30" s="501">
        <f>+'Metas 4 (Contrato relevos)'!AD$24</f>
        <v>0</v>
      </c>
      <c r="V30" s="502"/>
      <c r="W30" s="503"/>
      <c r="X30" s="501">
        <f>+'Metas 4 (Contrato relevos)'!C$24</f>
        <v>0</v>
      </c>
      <c r="Y30" s="501">
        <f>+'Metas 4 (Contrato relevos)'!D$24</f>
        <v>1036406616</v>
      </c>
      <c r="Z30" s="501">
        <f>+'Metas 4 (Contrato relevos)'!E$24</f>
        <v>1677538732</v>
      </c>
      <c r="AA30" s="501">
        <f>+'Metas 4 (Contrato relevos)'!F$24</f>
        <v>1080048922</v>
      </c>
      <c r="AB30" s="501">
        <f>+'Metas 4 (Contrato relevos)'!G$24</f>
        <v>922150877</v>
      </c>
      <c r="AC30" s="501">
        <f>+'Metas 4 (Contrato relevos)'!H$24</f>
        <v>0</v>
      </c>
      <c r="AD30" s="501">
        <f>+'Metas 4 (Contrato relevos)'!I$24</f>
        <v>0</v>
      </c>
      <c r="AE30" s="501">
        <f>+'Metas 4 (Contrato relevos)'!J$24</f>
        <v>0</v>
      </c>
      <c r="AF30" s="501">
        <f>+'Metas 4 (Contrato relevos)'!K$24</f>
        <v>0</v>
      </c>
      <c r="AG30" s="501">
        <f>+'Metas 4 (Contrato relevos)'!L$24</f>
        <v>0</v>
      </c>
      <c r="AH30" s="501">
        <f>+'Metas 4 (Contrato relevos)'!M$24</f>
        <v>0</v>
      </c>
      <c r="AI30" s="501">
        <f>+'Metas 4 (Contrato relevos)'!N$24</f>
        <v>0</v>
      </c>
      <c r="AJ30" s="501">
        <f>+'Metas 4 (Contrato relevos)'!O$24</f>
        <v>4716145147</v>
      </c>
      <c r="AK30" s="501">
        <f>+'Metas 4 (Contrato relevos)'!P$24</f>
        <v>0</v>
      </c>
    </row>
    <row r="31" spans="1:42">
      <c r="A31" s="599"/>
      <c r="B31" s="601"/>
      <c r="C31" s="603"/>
      <c r="D31" s="500" t="s">
        <v>20</v>
      </c>
      <c r="E31" s="501"/>
      <c r="F31" s="501"/>
      <c r="G31" s="501">
        <f t="shared" si="0"/>
        <v>0</v>
      </c>
      <c r="H31" s="501">
        <f>+'Metas 4 (Contrato relevos)'!Q$25</f>
        <v>0</v>
      </c>
      <c r="I31" s="501">
        <f>+'Metas 4 (Contrato relevos)'!R$25</f>
        <v>25054974</v>
      </c>
      <c r="J31" s="501">
        <f>+'Metas 4 (Contrato relevos)'!S$25</f>
        <v>192793583</v>
      </c>
      <c r="K31" s="501">
        <f>+'Metas 4 (Contrato relevos)'!T$25</f>
        <v>203095379</v>
      </c>
      <c r="L31" s="501">
        <f>+'Metas 4 (Contrato relevos)'!U$25</f>
        <v>199295518</v>
      </c>
      <c r="M31" s="501">
        <f>+'Metas 4 (Contrato relevos)'!V$25</f>
        <v>223398418</v>
      </c>
      <c r="N31" s="501">
        <f>+'Metas 4 (Contrato relevos)'!W$25</f>
        <v>198034383</v>
      </c>
      <c r="O31" s="501">
        <f>+'Metas 4 (Contrato relevos)'!X$25</f>
        <v>197384118</v>
      </c>
      <c r="P31" s="501">
        <f>+'Metas 4 (Contrato relevos)'!Y$25</f>
        <v>202573355</v>
      </c>
      <c r="Q31" s="501">
        <f>+'Metas 4 (Contrato relevos)'!Z$25</f>
        <v>250143504</v>
      </c>
      <c r="R31" s="501">
        <f>+'Metas 4 (Contrato relevos)'!AA$25</f>
        <v>248368568</v>
      </c>
      <c r="S31" s="501">
        <f>+'Metas 4 (Contrato relevos)'!AB$25</f>
        <v>0</v>
      </c>
      <c r="T31" s="501">
        <f>+'Metas 4 (Contrato relevos)'!AC$25</f>
        <v>1940141800</v>
      </c>
      <c r="U31" s="501">
        <f>+'Metas 4 (Contrato relevos)'!AD$25</f>
        <v>0.81675672392526311</v>
      </c>
      <c r="V31" s="502"/>
      <c r="W31" s="503"/>
      <c r="X31" s="501">
        <f>+'Metas 4 (Contrato relevos)'!C$25</f>
        <v>67254654</v>
      </c>
      <c r="Y31" s="501">
        <f>+'Metas 4 (Contrato relevos)'!D$25</f>
        <v>7763045</v>
      </c>
      <c r="Z31" s="501">
        <f>+'Metas 4 (Contrato relevos)'!E$25</f>
        <v>226238550</v>
      </c>
      <c r="AA31" s="501">
        <f>+'Metas 4 (Contrato relevos)'!F$25</f>
        <v>60813749</v>
      </c>
      <c r="AB31" s="501">
        <f>+'Metas 4 (Contrato relevos)'!G$25</f>
        <v>7134988</v>
      </c>
      <c r="AC31" s="501">
        <f>+'Metas 4 (Contrato relevos)'!H$25</f>
        <v>0</v>
      </c>
      <c r="AD31" s="501">
        <f>+'Metas 4 (Contrato relevos)'!I$25</f>
        <v>0</v>
      </c>
      <c r="AE31" s="501">
        <f>+'Metas 4 (Contrato relevos)'!J$25</f>
        <v>0</v>
      </c>
      <c r="AF31" s="501">
        <f>+'Metas 4 (Contrato relevos)'!K$25</f>
        <v>0</v>
      </c>
      <c r="AG31" s="501">
        <f>+'Metas 4 (Contrato relevos)'!L$25</f>
        <v>0</v>
      </c>
      <c r="AH31" s="501">
        <f>+'Metas 4 (Contrato relevos)'!M$25</f>
        <v>0</v>
      </c>
      <c r="AI31" s="501">
        <f>+'Metas 4 (Contrato relevos)'!N$25</f>
        <v>0</v>
      </c>
      <c r="AJ31" s="501">
        <f>+'Metas 4 (Contrato relevos)'!O$25</f>
        <v>369204986</v>
      </c>
      <c r="AK31" s="501">
        <f>+'Metas 4 (Contrato relevos)'!P$25</f>
        <v>7.8285331450168791E-2</v>
      </c>
    </row>
    <row r="32" spans="1:42">
      <c r="A32" s="599"/>
      <c r="B32" s="601"/>
      <c r="C32" s="603"/>
      <c r="D32" s="500" t="s">
        <v>25</v>
      </c>
      <c r="E32" s="505">
        <f>+Hoja1!$AS$35</f>
        <v>0</v>
      </c>
      <c r="F32" s="506">
        <f>+'Metas 4 (Contrato relevos)'!$W$17</f>
        <v>0.24</v>
      </c>
      <c r="G32" s="506">
        <f t="shared" si="0"/>
        <v>-0.24</v>
      </c>
      <c r="H32" s="507">
        <f>+'Metas 4 (Contrato relevos)'!D$34</f>
        <v>1.9552E-2</v>
      </c>
      <c r="I32" s="507">
        <f>+'Metas 4 (Contrato relevos)'!E$34</f>
        <v>1.9552E-2</v>
      </c>
      <c r="J32" s="507">
        <f>+'Metas 4 (Contrato relevos)'!F$34</f>
        <v>1.9552E-2</v>
      </c>
      <c r="K32" s="507">
        <f>+'Metas 4 (Contrato relevos)'!G$34</f>
        <v>1.7774222222222219E-2</v>
      </c>
      <c r="L32" s="507">
        <f>+'Metas 4 (Contrato relevos)'!H$34</f>
        <v>2.4886222222222223E-2</v>
      </c>
      <c r="M32" s="507">
        <f>+'Metas 4 (Contrato relevos)'!I$34</f>
        <v>2.4886222222222223E-2</v>
      </c>
      <c r="N32" s="507">
        <f>+'Metas 4 (Contrato relevos)'!J$34</f>
        <v>2.4886222222222223E-2</v>
      </c>
      <c r="O32" s="507">
        <f>+'Metas 4 (Contrato relevos)'!K$34</f>
        <v>1.7774222222222219E-2</v>
      </c>
      <c r="P32" s="507">
        <f>+'Metas 4 (Contrato relevos)'!L$34</f>
        <v>1.7774222222222219E-2</v>
      </c>
      <c r="Q32" s="507">
        <f>+'Metas 4 (Contrato relevos)'!M$34</f>
        <v>1.7774222222222219E-2</v>
      </c>
      <c r="R32" s="507">
        <f>+'Metas 4 (Contrato relevos)'!N$34</f>
        <v>1.7774222222222219E-2</v>
      </c>
      <c r="S32" s="507">
        <f>+'Metas 4 (Contrato relevos)'!O$34</f>
        <v>1.7774222222222219E-2</v>
      </c>
      <c r="T32" s="507">
        <f>+'Metas 4 (Contrato relevos)'!P$34</f>
        <v>0.23995999999999998</v>
      </c>
      <c r="U32" s="507">
        <f>+'Metas 4 (Contrato relevos)'!P$34</f>
        <v>0.23995999999999998</v>
      </c>
      <c r="V32" s="502"/>
      <c r="W32" s="508"/>
    </row>
    <row r="33" spans="1:40">
      <c r="A33" s="600"/>
      <c r="B33" s="601"/>
      <c r="C33" s="603"/>
      <c r="D33" s="500" t="s">
        <v>26</v>
      </c>
      <c r="E33" s="507"/>
      <c r="F33" s="507"/>
      <c r="G33" s="507">
        <f t="shared" si="0"/>
        <v>0</v>
      </c>
      <c r="H33" s="507">
        <f>+'Metas 4 (Contrato relevos)'!D$35</f>
        <v>1.9552E-2</v>
      </c>
      <c r="I33" s="507">
        <f>+'Metas 4 (Contrato relevos)'!E$35</f>
        <v>1.9552E-2</v>
      </c>
      <c r="J33" s="507">
        <f>+'Metas 4 (Contrato relevos)'!F$35</f>
        <v>1.9552E-2</v>
      </c>
      <c r="K33" s="507">
        <f>+'Metas 4 (Contrato relevos)'!G$35</f>
        <v>1.9110222222222223E-2</v>
      </c>
      <c r="L33" s="507">
        <f>+'Metas 4 (Contrato relevos)'!H$35</f>
        <v>2.4622222222222226E-2</v>
      </c>
      <c r="M33" s="507">
        <f>+'Metas 4 (Contrato relevos)'!I$35</f>
        <v>2.4622222222222226E-2</v>
      </c>
      <c r="N33" s="507">
        <f>+'Metas 4 (Contrato relevos)'!J$35</f>
        <v>0.02</v>
      </c>
      <c r="O33" s="507">
        <f>+'Metas 4 (Contrato relevos)'!K$35</f>
        <v>0.02</v>
      </c>
      <c r="P33" s="507">
        <f>+'Metas 4 (Contrato relevos)'!L$35</f>
        <v>0.02</v>
      </c>
      <c r="Q33" s="507">
        <f>+'Metas 4 (Contrato relevos)'!M$35</f>
        <v>0.02</v>
      </c>
      <c r="R33" s="507">
        <f>+'Metas 4 (Contrato relevos)'!N$35</f>
        <v>0.02</v>
      </c>
      <c r="S33" s="507">
        <f>+'Metas 4 (Contrato relevos)'!O$35</f>
        <v>0</v>
      </c>
      <c r="T33" s="507">
        <f>+'Metas 4 (Contrato relevos)'!P$35</f>
        <v>0.22701066666666661</v>
      </c>
      <c r="U33" s="507">
        <f>+'Metas 4 (Contrato relevos)'!P$35</f>
        <v>0.22701066666666661</v>
      </c>
      <c r="V33" s="502"/>
      <c r="W33" s="508"/>
    </row>
    <row r="34" spans="1:40">
      <c r="A34" s="598">
        <f>+A28+1</f>
        <v>5</v>
      </c>
      <c r="B34" s="606" t="str">
        <f>+'Metas 5'!A34</f>
        <v>5. Diseñar 1 documento para la implementación de la estrategia pedagógica para la valoración, la resignificación, el reconocimiento y la redistribución del trabajo de cuidado no remunerado que realizan las mujeres en Bogotá</v>
      </c>
      <c r="C34" s="602">
        <f>+'Metas 5'!B34</f>
        <v>0.1</v>
      </c>
      <c r="D34" s="500" t="s">
        <v>24</v>
      </c>
      <c r="E34" s="501">
        <v>394554764</v>
      </c>
      <c r="F34" s="501">
        <f>+T34</f>
        <v>434089180</v>
      </c>
      <c r="G34" s="501">
        <f t="shared" si="0"/>
        <v>-39534416</v>
      </c>
      <c r="H34" s="501">
        <f>+'Metas 5'!Q$22</f>
        <v>345554764</v>
      </c>
      <c r="I34" s="501">
        <f>+'Metas 5'!R$22</f>
        <v>0</v>
      </c>
      <c r="J34" s="501">
        <f>+'Metas 5'!S$22</f>
        <v>0</v>
      </c>
      <c r="K34" s="501">
        <f>+'Metas 5'!T$22</f>
        <v>0</v>
      </c>
      <c r="L34" s="501">
        <f>+'Metas 5'!U$22</f>
        <v>14000000</v>
      </c>
      <c r="M34" s="501">
        <f>+'Metas 5'!V$22</f>
        <v>0</v>
      </c>
      <c r="N34" s="501">
        <f>+'Metas 5'!W$22</f>
        <v>0</v>
      </c>
      <c r="O34" s="501">
        <f>+'Metas 5'!X$22</f>
        <v>35000000</v>
      </c>
      <c r="P34" s="501">
        <f>+'Metas 5'!Y$22</f>
        <v>0</v>
      </c>
      <c r="Q34" s="501">
        <f>+'Metas 5'!Z$22</f>
        <v>39534416</v>
      </c>
      <c r="R34" s="501">
        <f>+'Metas 5'!AA$22</f>
        <v>0</v>
      </c>
      <c r="S34" s="501">
        <f>+'Metas 5'!AB$22</f>
        <v>0</v>
      </c>
      <c r="T34" s="501">
        <f>+'Metas 5'!AC$22</f>
        <v>434089180</v>
      </c>
      <c r="U34" s="501">
        <f>+'Metas 5'!AD$22</f>
        <v>0</v>
      </c>
      <c r="V34" s="502"/>
      <c r="W34" s="503"/>
      <c r="X34" s="501">
        <f>+'Metas 5'!C$22</f>
        <v>0</v>
      </c>
      <c r="Y34" s="501">
        <f>+'Metas 5'!D$22</f>
        <v>0</v>
      </c>
      <c r="Z34" s="501">
        <f>+'Metas 5'!E$22</f>
        <v>0</v>
      </c>
      <c r="AA34" s="501">
        <f>+'Metas 5'!F$22</f>
        <v>0</v>
      </c>
      <c r="AB34" s="501">
        <f>+'Metas 5'!G$22</f>
        <v>0</v>
      </c>
      <c r="AC34" s="501">
        <f>+'Metas 5'!H$22</f>
        <v>0</v>
      </c>
      <c r="AD34" s="501">
        <f>+'Metas 5'!I$22</f>
        <v>0</v>
      </c>
      <c r="AE34" s="501">
        <f>+'Metas 5'!J$22</f>
        <v>0</v>
      </c>
      <c r="AF34" s="501">
        <f>+'Metas 5'!K$22</f>
        <v>0</v>
      </c>
      <c r="AG34" s="501">
        <f>+'Metas 5'!L$22</f>
        <v>0</v>
      </c>
      <c r="AH34" s="501">
        <f>+'Metas 5'!M$22</f>
        <v>0</v>
      </c>
      <c r="AI34" s="501">
        <f>+'Metas 5'!N$22</f>
        <v>0</v>
      </c>
      <c r="AJ34" s="501">
        <f>+'Metas 5'!O$22</f>
        <v>0</v>
      </c>
      <c r="AK34" s="501">
        <f>+'Metas 5'!P$22</f>
        <v>0</v>
      </c>
      <c r="AM34" s="504">
        <v>394554763</v>
      </c>
      <c r="AN34" s="504">
        <f>+T34-AM34</f>
        <v>39534417</v>
      </c>
    </row>
    <row r="35" spans="1:40">
      <c r="A35" s="599"/>
      <c r="B35" s="607"/>
      <c r="C35" s="602"/>
      <c r="D35" s="500" t="s">
        <v>18</v>
      </c>
      <c r="E35" s="501"/>
      <c r="F35" s="501"/>
      <c r="G35" s="501">
        <f t="shared" si="0"/>
        <v>0</v>
      </c>
      <c r="H35" s="501">
        <f>+'Metas 5'!Q$23</f>
        <v>345554764</v>
      </c>
      <c r="I35" s="501">
        <f>+'Metas 5'!R$23</f>
        <v>0</v>
      </c>
      <c r="J35" s="501">
        <f>+'Metas 5'!S$23</f>
        <v>-4916077</v>
      </c>
      <c r="K35" s="501">
        <f>+'Metas 5'!T$23</f>
        <v>-1873117</v>
      </c>
      <c r="L35" s="501">
        <f>+'Metas 5'!U$23</f>
        <v>18226536</v>
      </c>
      <c r="M35" s="501">
        <f>+'Metas 5'!V$23</f>
        <v>0</v>
      </c>
      <c r="N35" s="501">
        <f>+'Metas 5'!W$23</f>
        <v>0</v>
      </c>
      <c r="O35" s="501">
        <f>+'Metas 5'!X$23</f>
        <v>42000000</v>
      </c>
      <c r="P35" s="501">
        <f>+'Metas 5'!Y$23</f>
        <v>2995122</v>
      </c>
      <c r="Q35" s="501">
        <f>+'Metas 5'!Z$23</f>
        <v>0</v>
      </c>
      <c r="R35" s="501">
        <f>+'Metas 5'!AA$23</f>
        <v>7000000</v>
      </c>
      <c r="S35" s="501">
        <f>+'Metas 5'!AB$23</f>
        <v>0</v>
      </c>
      <c r="T35" s="501">
        <f>+'Metas 5'!AC$23</f>
        <v>408987228</v>
      </c>
      <c r="U35" s="501">
        <f>+'Metas 5'!AD$23</f>
        <v>0.94217328337923556</v>
      </c>
      <c r="V35" s="502">
        <f>+T35/T34</f>
        <v>0.94217328337923556</v>
      </c>
      <c r="W35" s="503"/>
      <c r="X35" s="501">
        <f>+'Metas 5'!C$23</f>
        <v>3180045</v>
      </c>
      <c r="Y35" s="501">
        <f>+'Metas 5'!D$23</f>
        <v>0</v>
      </c>
      <c r="Z35" s="501">
        <f>+'Metas 5'!E$23</f>
        <v>-2744000</v>
      </c>
      <c r="AA35" s="501">
        <f>+'Metas 5'!F$23</f>
        <v>0</v>
      </c>
      <c r="AB35" s="501">
        <f>+'Metas 5'!G$23</f>
        <v>-179378</v>
      </c>
      <c r="AC35" s="501">
        <f>+'Metas 5'!H$23</f>
        <v>0</v>
      </c>
      <c r="AD35" s="501">
        <f>+'Metas 5'!I$23</f>
        <v>0</v>
      </c>
      <c r="AE35" s="501">
        <f>+'Metas 5'!J$23</f>
        <v>0</v>
      </c>
      <c r="AF35" s="501">
        <f>+'Metas 5'!K$23</f>
        <v>0</v>
      </c>
      <c r="AG35" s="501">
        <f>+'Metas 5'!L$23</f>
        <v>0</v>
      </c>
      <c r="AH35" s="501">
        <f>+'Metas 5'!M$23</f>
        <v>0</v>
      </c>
      <c r="AI35" s="501">
        <f>+'Metas 5'!N$23</f>
        <v>0</v>
      </c>
      <c r="AJ35" s="501">
        <f>+'Metas 5'!O$23</f>
        <v>256667</v>
      </c>
      <c r="AK35" s="501" t="str">
        <f>+'Metas 5'!P$23</f>
        <v xml:space="preserve"> </v>
      </c>
    </row>
    <row r="36" spans="1:40">
      <c r="A36" s="599"/>
      <c r="B36" s="607"/>
      <c r="C36" s="602"/>
      <c r="D36" s="500" t="s">
        <v>19</v>
      </c>
      <c r="E36" s="501">
        <v>394554764</v>
      </c>
      <c r="F36" s="501">
        <f>+T36</f>
        <v>394554764</v>
      </c>
      <c r="G36" s="501">
        <f t="shared" si="0"/>
        <v>0</v>
      </c>
      <c r="H36" s="501">
        <f>+'Metas 5'!Q$24</f>
        <v>0</v>
      </c>
      <c r="I36" s="501">
        <f>+'Metas 5'!R$24</f>
        <v>11837729.999999998</v>
      </c>
      <c r="J36" s="501">
        <f>+'Metas 5'!S$24</f>
        <v>30358700</v>
      </c>
      <c r="K36" s="501">
        <f>+'Metas 5'!T$24</f>
        <v>30358700</v>
      </c>
      <c r="L36" s="501">
        <f>+'Metas 5'!U$24</f>
        <v>30358700</v>
      </c>
      <c r="M36" s="501">
        <f>+'Metas 5'!V$24</f>
        <v>30358700</v>
      </c>
      <c r="N36" s="501">
        <f>+'Metas 5'!W$24</f>
        <v>44358700</v>
      </c>
      <c r="O36" s="501">
        <f>+'Metas 5'!X$24</f>
        <v>30358700</v>
      </c>
      <c r="P36" s="501">
        <f>+'Metas 5'!Y$24</f>
        <v>30358700</v>
      </c>
      <c r="Q36" s="501">
        <f>+'Metas 5'!Z$24</f>
        <v>30358700</v>
      </c>
      <c r="R36" s="501">
        <f>+'Metas 5'!AA$24</f>
        <v>37358700</v>
      </c>
      <c r="S36" s="501">
        <f>+'Metas 5'!AB$24</f>
        <v>88488734</v>
      </c>
      <c r="T36" s="501">
        <f>+'Metas 5'!AC$24</f>
        <v>394554764</v>
      </c>
      <c r="U36" s="501">
        <f>+'Metas 5'!AD$24</f>
        <v>0</v>
      </c>
      <c r="V36" s="502"/>
      <c r="W36" s="503"/>
      <c r="X36" s="501">
        <f>+'Metas 5'!C$24</f>
        <v>0</v>
      </c>
      <c r="Y36" s="501">
        <f>+'Metas 5'!D$24</f>
        <v>256667</v>
      </c>
      <c r="Z36" s="501">
        <f>+'Metas 5'!E$24</f>
        <v>0</v>
      </c>
      <c r="AA36" s="501">
        <f>+'Metas 5'!F$24</f>
        <v>0</v>
      </c>
      <c r="AB36" s="501">
        <f>+'Metas 5'!G$24</f>
        <v>0</v>
      </c>
      <c r="AC36" s="501">
        <f>+'Metas 5'!H$24</f>
        <v>0</v>
      </c>
      <c r="AD36" s="501">
        <f>+'Metas 5'!I$24</f>
        <v>0</v>
      </c>
      <c r="AE36" s="501">
        <f>+'Metas 5'!J$24</f>
        <v>0</v>
      </c>
      <c r="AF36" s="501">
        <f>+'Metas 5'!K$24</f>
        <v>0</v>
      </c>
      <c r="AG36" s="501">
        <f>+'Metas 5'!L$24</f>
        <v>0</v>
      </c>
      <c r="AH36" s="501">
        <f>+'Metas 5'!M$24</f>
        <v>0</v>
      </c>
      <c r="AI36" s="501">
        <f>+'Metas 5'!N$24</f>
        <v>0</v>
      </c>
      <c r="AJ36" s="501">
        <f>+'Metas 5'!O$24</f>
        <v>256667</v>
      </c>
      <c r="AK36" s="501">
        <f>+'Metas 5'!P$24</f>
        <v>0</v>
      </c>
    </row>
    <row r="37" spans="1:40">
      <c r="A37" s="599"/>
      <c r="B37" s="607"/>
      <c r="C37" s="602"/>
      <c r="D37" s="500" t="s">
        <v>20</v>
      </c>
      <c r="E37" s="501"/>
      <c r="F37" s="501"/>
      <c r="G37" s="501">
        <f t="shared" si="0"/>
        <v>0</v>
      </c>
      <c r="H37" s="501">
        <f>+'Metas 5'!Q$25</f>
        <v>0</v>
      </c>
      <c r="I37" s="501">
        <f>+'Metas 5'!R$25</f>
        <v>4248887</v>
      </c>
      <c r="J37" s="501">
        <f>+'Metas 5'!S$25</f>
        <v>22478200</v>
      </c>
      <c r="K37" s="501">
        <f>+'Metas 5'!T$25</f>
        <v>40617833</v>
      </c>
      <c r="L37" s="501">
        <f>+'Metas 5'!U$25</f>
        <v>20938700</v>
      </c>
      <c r="M37" s="501">
        <f>+'Metas 5'!V$25</f>
        <v>51245236</v>
      </c>
      <c r="N37" s="501">
        <f>+'Metas 5'!W$25</f>
        <v>36397700</v>
      </c>
      <c r="O37" s="501">
        <f>+'Metas 5'!X$25</f>
        <v>30239700</v>
      </c>
      <c r="P37" s="501">
        <f>+'Metas 5'!Y$25</f>
        <v>27745367</v>
      </c>
      <c r="Q37" s="501">
        <f>+'Metas 5'!Z$25</f>
        <v>31082033</v>
      </c>
      <c r="R37" s="501">
        <f>+'Metas 5'!AA$25</f>
        <v>32793822</v>
      </c>
      <c r="S37" s="501">
        <f>+'Metas 5'!AB$25</f>
        <v>0</v>
      </c>
      <c r="T37" s="501">
        <f>+'Metas 5'!AC$25</f>
        <v>297787478</v>
      </c>
      <c r="U37" s="501">
        <f>+'Metas 5'!AD$25</f>
        <v>0.75474308048147154</v>
      </c>
      <c r="V37" s="502"/>
      <c r="W37" s="503"/>
      <c r="X37" s="501">
        <f>+'Metas 5'!C$25</f>
        <v>0</v>
      </c>
      <c r="Y37" s="501">
        <f>+'Metas 5'!D$25</f>
        <v>256667</v>
      </c>
      <c r="Z37" s="501">
        <f>+'Metas 5'!E$25</f>
        <v>0</v>
      </c>
      <c r="AA37" s="501">
        <f>+'Metas 5'!F$25</f>
        <v>0</v>
      </c>
      <c r="AB37" s="501">
        <f>+'Metas 5'!G$25</f>
        <v>0</v>
      </c>
      <c r="AC37" s="501">
        <f>+'Metas 5'!H$25</f>
        <v>0</v>
      </c>
      <c r="AD37" s="501">
        <f>+'Metas 5'!I$25</f>
        <v>0</v>
      </c>
      <c r="AE37" s="501">
        <f>+'Metas 5'!J$25</f>
        <v>0</v>
      </c>
      <c r="AF37" s="501">
        <f>+'Metas 5'!K$25</f>
        <v>0</v>
      </c>
      <c r="AG37" s="501">
        <f>+'Metas 5'!L$25</f>
        <v>0</v>
      </c>
      <c r="AH37" s="501">
        <f>+'Metas 5'!M$25</f>
        <v>0</v>
      </c>
      <c r="AI37" s="501">
        <f>+'Metas 5'!N$25</f>
        <v>0</v>
      </c>
      <c r="AJ37" s="501">
        <f>+'Metas 5'!O$25</f>
        <v>256667</v>
      </c>
      <c r="AK37" s="501">
        <f>+'Metas 5'!P$25</f>
        <v>1</v>
      </c>
    </row>
    <row r="38" spans="1:40">
      <c r="A38" s="599"/>
      <c r="B38" s="607"/>
      <c r="C38" s="602"/>
      <c r="D38" s="500" t="s">
        <v>25</v>
      </c>
      <c r="E38" s="512">
        <f>+Hoja1!$AS$36</f>
        <v>0</v>
      </c>
      <c r="F38" s="513">
        <f>+'Metas 5'!$W$17*100</f>
        <v>100</v>
      </c>
      <c r="G38" s="506">
        <f t="shared" si="0"/>
        <v>-100</v>
      </c>
      <c r="H38" s="507">
        <f>+'Metas 5'!D$34</f>
        <v>0.75249999999999995</v>
      </c>
      <c r="I38" s="507">
        <f>+'Metas 5'!E$34</f>
        <v>0.80499999999999994</v>
      </c>
      <c r="J38" s="507">
        <f>+'Metas 5'!F$34</f>
        <v>0.85749999999999993</v>
      </c>
      <c r="K38" s="507">
        <f>+'Metas 5'!G$34</f>
        <v>0.8866666666666666</v>
      </c>
      <c r="L38" s="507">
        <f>+'Metas 5'!H$34</f>
        <v>0.91583333333333328</v>
      </c>
      <c r="M38" s="507">
        <f>+'Metas 5'!I$34</f>
        <v>0.94499999999999995</v>
      </c>
      <c r="N38" s="507">
        <f>+'Metas 5'!J$34</f>
        <v>0.96666666666666656</v>
      </c>
      <c r="O38" s="507">
        <f>+'Metas 5'!K$34</f>
        <v>0.97333333333333327</v>
      </c>
      <c r="P38" s="507">
        <f>+'Metas 5'!L$34</f>
        <v>0.98</v>
      </c>
      <c r="Q38" s="507">
        <f>+'Metas 5'!M$34</f>
        <v>0.98666666666666669</v>
      </c>
      <c r="R38" s="507">
        <f>+'Metas 5'!N$34</f>
        <v>0.9933333333333334</v>
      </c>
      <c r="S38" s="507">
        <f>+'Metas 5'!O$34</f>
        <v>1</v>
      </c>
      <c r="T38" s="507">
        <f>+'Metas 5'!P$34</f>
        <v>1</v>
      </c>
      <c r="U38" s="507">
        <f>+'Metas 5'!P$34</f>
        <v>1</v>
      </c>
      <c r="V38" s="502"/>
      <c r="W38" s="508"/>
    </row>
    <row r="39" spans="1:40">
      <c r="A39" s="600"/>
      <c r="B39" s="608"/>
      <c r="C39" s="602"/>
      <c r="D39" s="500" t="s">
        <v>26</v>
      </c>
      <c r="E39" s="507"/>
      <c r="F39" s="507"/>
      <c r="G39" s="507">
        <f t="shared" si="0"/>
        <v>0</v>
      </c>
      <c r="H39" s="507">
        <f>+'Metas 5'!D$35</f>
        <v>0.75372499999999998</v>
      </c>
      <c r="I39" s="507">
        <f>+'Metas 5'!E$35</f>
        <v>0.79977500000000001</v>
      </c>
      <c r="J39" s="507">
        <f>+'Metas 5'!F$35</f>
        <v>0.84582500000000005</v>
      </c>
      <c r="K39" s="507">
        <f>+'Metas 5'!G$35</f>
        <v>0.88266500000000003</v>
      </c>
      <c r="L39" s="507">
        <f>+'Metas 5'!H$35</f>
        <v>0.91251222222222228</v>
      </c>
      <c r="M39" s="507">
        <f>+'Metas 5'!I$35</f>
        <v>0.93468444444444454</v>
      </c>
      <c r="N39" s="507">
        <f>+'Metas 5'!J$35</f>
        <v>0.97459444444444454</v>
      </c>
      <c r="O39" s="507">
        <f>+'Metas 5'!K$35</f>
        <v>0.98141666666666671</v>
      </c>
      <c r="P39" s="507">
        <f>+'Metas 5'!L$35</f>
        <v>0.98755666666666675</v>
      </c>
      <c r="Q39" s="507">
        <f>+'Metas 5'!M$35</f>
        <v>0.99369666666666678</v>
      </c>
      <c r="R39" s="507">
        <f>+'Metas 5'!N$35</f>
        <v>0.99983666666666682</v>
      </c>
      <c r="S39" s="507">
        <f>+'Metas 5'!O$35</f>
        <v>0.99983666666666682</v>
      </c>
      <c r="T39" s="507">
        <f>+'Metas 5'!P$35</f>
        <v>0.99983666666666682</v>
      </c>
      <c r="U39" s="507">
        <f>+'Metas 5'!P$35</f>
        <v>0.99983666666666682</v>
      </c>
      <c r="V39" s="502"/>
      <c r="W39" s="508"/>
    </row>
    <row r="40" spans="1:40">
      <c r="A40" s="598">
        <f>+A34+1</f>
        <v>6</v>
      </c>
      <c r="B40" s="601" t="str">
        <f>+'Metas 6 (ONU Mujeres)'!A34</f>
        <v>6. Implementar 1 estrategia para el reconocimiento y la redistribución del trabajo de cuidado no remunerado entre hombres y mujeres.</v>
      </c>
      <c r="C40" s="602">
        <f>+'Metas 6 (ONU Mujeres)'!B34</f>
        <v>0.2</v>
      </c>
      <c r="D40" s="500" t="s">
        <v>24</v>
      </c>
      <c r="E40" s="501">
        <v>547234329</v>
      </c>
      <c r="F40" s="501">
        <f>+T40</f>
        <v>619821396</v>
      </c>
      <c r="G40" s="501">
        <f t="shared" si="0"/>
        <v>-72587067</v>
      </c>
      <c r="H40" s="501">
        <f>+'Metas 6 (ONU Mujeres)'!Q$22</f>
        <v>371243829</v>
      </c>
      <c r="I40" s="501">
        <f>+'Metas 6 (ONU Mujeres)'!R$22</f>
        <v>22500000</v>
      </c>
      <c r="J40" s="501">
        <f>+'Metas 6 (ONU Mujeres)'!S$22</f>
        <v>0</v>
      </c>
      <c r="K40" s="501">
        <f>+'Metas 6 (ONU Mujeres)'!T$22</f>
        <v>27180500</v>
      </c>
      <c r="L40" s="501">
        <f>+'Metas 6 (ONU Mujeres)'!U$22</f>
        <v>18810000</v>
      </c>
      <c r="M40" s="501">
        <f>+'Metas 6 (ONU Mujeres)'!V$22</f>
        <v>1000000</v>
      </c>
      <c r="N40" s="501">
        <f>+'Metas 6 (ONU Mujeres)'!W$22</f>
        <v>34000000</v>
      </c>
      <c r="O40" s="501">
        <f>+'Metas 6 (ONU Mujeres)'!X$22</f>
        <v>72500000</v>
      </c>
      <c r="P40" s="501">
        <f>+'Metas 6 (ONU Mujeres)'!Y$22</f>
        <v>0</v>
      </c>
      <c r="Q40" s="501">
        <f>+'Metas 6 (ONU Mujeres)'!Z$22</f>
        <v>72587067</v>
      </c>
      <c r="R40" s="501">
        <f>+'Metas 6 (ONU Mujeres)'!AA$22</f>
        <v>0</v>
      </c>
      <c r="S40" s="501">
        <f>+'Metas 6 (ONU Mujeres)'!AB$22</f>
        <v>0</v>
      </c>
      <c r="T40" s="501">
        <f>+'Metas 6 (ONU Mujeres)'!AC$22</f>
        <v>619821396</v>
      </c>
      <c r="U40" s="501">
        <f>+'Metas 6 (ONU Mujeres)'!AD$22</f>
        <v>0</v>
      </c>
      <c r="V40" s="502"/>
      <c r="W40" s="503"/>
      <c r="X40" s="501">
        <f>+'Metas 6 (ONU Mujeres)'!C$22</f>
        <v>0</v>
      </c>
      <c r="Y40" s="501">
        <f>+'Metas 6 (ONU Mujeres)'!D$22</f>
        <v>0</v>
      </c>
      <c r="Z40" s="501">
        <f>+'Metas 6 (ONU Mujeres)'!E$22</f>
        <v>0</v>
      </c>
      <c r="AA40" s="501">
        <f>+'Metas 6 (ONU Mujeres)'!F$22</f>
        <v>0</v>
      </c>
      <c r="AB40" s="501">
        <f>+'Metas 6 (ONU Mujeres)'!G$22</f>
        <v>0</v>
      </c>
      <c r="AC40" s="501">
        <f>+'Metas 6 (ONU Mujeres)'!H$22</f>
        <v>0</v>
      </c>
      <c r="AD40" s="501">
        <f>+'Metas 6 (ONU Mujeres)'!I$22</f>
        <v>0</v>
      </c>
      <c r="AE40" s="501">
        <f>+'Metas 6 (ONU Mujeres)'!J$22</f>
        <v>0</v>
      </c>
      <c r="AF40" s="501">
        <f>+'Metas 6 (ONU Mujeres)'!K$22</f>
        <v>0</v>
      </c>
      <c r="AG40" s="501">
        <f>+'Metas 6 (ONU Mujeres)'!L$22</f>
        <v>0</v>
      </c>
      <c r="AH40" s="501">
        <f>+'Metas 6 (ONU Mujeres)'!M$22</f>
        <v>0</v>
      </c>
      <c r="AI40" s="501">
        <f>+'Metas 6 (ONU Mujeres)'!N$22</f>
        <v>0</v>
      </c>
      <c r="AJ40" s="501">
        <f>+'Metas 6 (ONU Mujeres)'!O$22</f>
        <v>0</v>
      </c>
      <c r="AK40" s="501">
        <f>+'Metas 6 (ONU Mujeres)'!P$22</f>
        <v>0</v>
      </c>
      <c r="AM40" s="504">
        <v>547234330</v>
      </c>
      <c r="AN40" s="504">
        <f>+T40-AM40</f>
        <v>72587066</v>
      </c>
    </row>
    <row r="41" spans="1:40">
      <c r="A41" s="599"/>
      <c r="B41" s="601"/>
      <c r="C41" s="603"/>
      <c r="D41" s="500" t="s">
        <v>18</v>
      </c>
      <c r="E41" s="501"/>
      <c r="F41" s="501"/>
      <c r="G41" s="501">
        <f t="shared" si="0"/>
        <v>0</v>
      </c>
      <c r="H41" s="501">
        <f>+'Metas 6 (ONU Mujeres)'!Q$23</f>
        <v>371243829</v>
      </c>
      <c r="I41" s="501">
        <f>+'Metas 6 (ONU Mujeres)'!R$23</f>
        <v>0</v>
      </c>
      <c r="J41" s="501">
        <f>+'Metas 6 (ONU Mujeres)'!S$23</f>
        <v>15695590</v>
      </c>
      <c r="K41" s="501">
        <f>+'Metas 6 (ONU Mujeres)'!T$23</f>
        <v>14195831</v>
      </c>
      <c r="L41" s="501">
        <f>+'Metas 6 (ONU Mujeres)'!U$23</f>
        <v>18226536</v>
      </c>
      <c r="M41" s="501">
        <f>+'Metas 6 (ONU Mujeres)'!V$23</f>
        <v>26006458</v>
      </c>
      <c r="N41" s="501">
        <f>+'Metas 6 (ONU Mujeres)'!W$23</f>
        <v>0</v>
      </c>
      <c r="O41" s="501">
        <f>+'Metas 6 (ONU Mujeres)'!X$23</f>
        <v>42000000</v>
      </c>
      <c r="P41" s="501">
        <f>+'Metas 6 (ONU Mujeres)'!Y$23</f>
        <v>2995122</v>
      </c>
      <c r="Q41" s="501">
        <f>+'Metas 6 (ONU Mujeres)'!Z$23</f>
        <v>51624485</v>
      </c>
      <c r="R41" s="501">
        <f>+'Metas 6 (ONU Mujeres)'!AA$23</f>
        <v>7461423</v>
      </c>
      <c r="S41" s="501">
        <f>+'Metas 6 (ONU Mujeres)'!AB$23</f>
        <v>0</v>
      </c>
      <c r="T41" s="501">
        <f>+'Metas 6 (ONU Mujeres)'!AC$23</f>
        <v>549449274</v>
      </c>
      <c r="U41" s="501">
        <f>+'Metas 6 (ONU Mujeres)'!AD$23</f>
        <v>0.88646387095678769</v>
      </c>
      <c r="V41" s="502">
        <f>+T41/T40</f>
        <v>0.88646387095678769</v>
      </c>
      <c r="W41" s="503"/>
      <c r="X41" s="501">
        <f>+'Metas 6 (ONU Mujeres)'!C$23</f>
        <v>224665526</v>
      </c>
      <c r="Y41" s="501">
        <f>+'Metas 6 (ONU Mujeres)'!D$23</f>
        <v>0</v>
      </c>
      <c r="Z41" s="501">
        <f>+'Metas 6 (ONU Mujeres)'!E$23</f>
        <v>-2744000</v>
      </c>
      <c r="AA41" s="501">
        <f>+'Metas 6 (ONU Mujeres)'!F$23</f>
        <v>0</v>
      </c>
      <c r="AB41" s="501">
        <f>+'Metas 6 (ONU Mujeres)'!G$23</f>
        <v>-179378</v>
      </c>
      <c r="AC41" s="501">
        <f>+'Metas 6 (ONU Mujeres)'!H$23</f>
        <v>-13211774</v>
      </c>
      <c r="AD41" s="501">
        <f>+'Metas 6 (ONU Mujeres)'!I$23</f>
        <v>0</v>
      </c>
      <c r="AE41" s="501">
        <f>+'Metas 6 (ONU Mujeres)'!J$23</f>
        <v>0</v>
      </c>
      <c r="AF41" s="501">
        <f>+'Metas 6 (ONU Mujeres)'!K$23</f>
        <v>0</v>
      </c>
      <c r="AG41" s="501">
        <f>+'Metas 6 (ONU Mujeres)'!L$23</f>
        <v>0</v>
      </c>
      <c r="AH41" s="501">
        <f>+'Metas 6 (ONU Mujeres)'!M$23</f>
        <v>0</v>
      </c>
      <c r="AI41" s="501">
        <f>+'Metas 6 (ONU Mujeres)'!N$23</f>
        <v>0</v>
      </c>
      <c r="AJ41" s="501">
        <f>+'Metas 6 (ONU Mujeres)'!O$23</f>
        <v>208530374</v>
      </c>
      <c r="AK41" s="501" t="str">
        <f>+'Metas 6 (ONU Mujeres)'!P$23</f>
        <v xml:space="preserve"> </v>
      </c>
    </row>
    <row r="42" spans="1:40">
      <c r="A42" s="599"/>
      <c r="B42" s="601"/>
      <c r="C42" s="603"/>
      <c r="D42" s="500" t="s">
        <v>19</v>
      </c>
      <c r="E42" s="501">
        <v>547234329</v>
      </c>
      <c r="F42" s="501">
        <f>+T42</f>
        <v>547234329</v>
      </c>
      <c r="G42" s="501">
        <f t="shared" si="0"/>
        <v>0</v>
      </c>
      <c r="H42" s="501">
        <f>+'Metas 6 (ONU Mujeres)'!Q$24</f>
        <v>0</v>
      </c>
      <c r="I42" s="501">
        <f>+'Metas 6 (ONU Mujeres)'!R$24</f>
        <v>13926297</v>
      </c>
      <c r="J42" s="501">
        <f>+'Metas 6 (ONU Mujeres)'!S$24</f>
        <v>32504200</v>
      </c>
      <c r="K42" s="501">
        <f>+'Metas 6 (ONU Mujeres)'!T$24</f>
        <v>35879200</v>
      </c>
      <c r="L42" s="501">
        <f>+'Metas 6 (ONU Mujeres)'!U$24</f>
        <v>34724254</v>
      </c>
      <c r="M42" s="501">
        <f>+'Metas 6 (ONU Mujeres)'!V$24</f>
        <v>41640923</v>
      </c>
      <c r="N42" s="501">
        <f>+'Metas 6 (ONU Mujeres)'!W$24</f>
        <v>52324256</v>
      </c>
      <c r="O42" s="501">
        <f>+'Metas 6 (ONU Mujeres)'!X$24</f>
        <v>70160922</v>
      </c>
      <c r="P42" s="501">
        <f>+'Metas 6 (ONU Mujeres)'!Y$24</f>
        <v>35890922</v>
      </c>
      <c r="Q42" s="501">
        <f>+'Metas 6 (ONU Mujeres)'!Z$24</f>
        <v>39760922</v>
      </c>
      <c r="R42" s="501">
        <f>+'Metas 6 (ONU Mujeres)'!AA$24</f>
        <v>66765922</v>
      </c>
      <c r="S42" s="501">
        <f>+'Metas 6 (ONU Mujeres)'!AB$24</f>
        <v>123656511</v>
      </c>
      <c r="T42" s="501">
        <f>+'Metas 6 (ONU Mujeres)'!AC$24</f>
        <v>547234329</v>
      </c>
      <c r="U42" s="501">
        <f>+'Metas 6 (ONU Mujeres)'!AD$24</f>
        <v>0</v>
      </c>
      <c r="V42" s="502"/>
      <c r="W42" s="503"/>
      <c r="X42" s="501">
        <f>+'Metas 6 (ONU Mujeres)'!C$24</f>
        <v>0</v>
      </c>
      <c r="Y42" s="501">
        <f>+'Metas 6 (ONU Mujeres)'!D$24</f>
        <v>200686598</v>
      </c>
      <c r="Z42" s="501">
        <f>+'Metas 6 (ONU Mujeres)'!E$24</f>
        <v>7059928</v>
      </c>
      <c r="AA42" s="501">
        <f>+'Metas 6 (ONU Mujeres)'!F$24</f>
        <v>783848</v>
      </c>
      <c r="AB42" s="501">
        <f>+'Metas 6 (ONU Mujeres)'!G$24</f>
        <v>0</v>
      </c>
      <c r="AC42" s="501">
        <f>+'Metas 6 (ONU Mujeres)'!H$24</f>
        <v>0</v>
      </c>
      <c r="AD42" s="501">
        <f>+'Metas 6 (ONU Mujeres)'!I$24</f>
        <v>0</v>
      </c>
      <c r="AE42" s="501">
        <f>+'Metas 6 (ONU Mujeres)'!J$24</f>
        <v>0</v>
      </c>
      <c r="AF42" s="501">
        <f>+'Metas 6 (ONU Mujeres)'!K$24</f>
        <v>0</v>
      </c>
      <c r="AG42" s="501">
        <f>+'Metas 6 (ONU Mujeres)'!L$24</f>
        <v>0</v>
      </c>
      <c r="AH42" s="501">
        <f>+'Metas 6 (ONU Mujeres)'!M$24</f>
        <v>0</v>
      </c>
      <c r="AI42" s="501">
        <f>+'Metas 6 (ONU Mujeres)'!N$24</f>
        <v>0</v>
      </c>
      <c r="AJ42" s="501">
        <f>+'Metas 6 (ONU Mujeres)'!O$24</f>
        <v>208530374</v>
      </c>
      <c r="AK42" s="501">
        <f>+'Metas 6 (ONU Mujeres)'!P$24</f>
        <v>0</v>
      </c>
    </row>
    <row r="43" spans="1:40">
      <c r="A43" s="599"/>
      <c r="B43" s="601"/>
      <c r="C43" s="603"/>
      <c r="D43" s="500" t="s">
        <v>20</v>
      </c>
      <c r="E43" s="501"/>
      <c r="F43" s="501"/>
      <c r="G43" s="501">
        <f t="shared" si="0"/>
        <v>0</v>
      </c>
      <c r="H43" s="501">
        <f>+'Metas 6 (ONU Mujeres)'!Q$25</f>
        <v>0</v>
      </c>
      <c r="I43" s="501">
        <f>+'Metas 6 (ONU Mujeres)'!R$25</f>
        <v>8988603</v>
      </c>
      <c r="J43" s="501">
        <f>+'Metas 6 (ONU Mujeres)'!S$25</f>
        <v>31806534</v>
      </c>
      <c r="K43" s="501">
        <f>+'Metas 6 (ONU Mujeres)'!T$25</f>
        <v>33177133</v>
      </c>
      <c r="L43" s="501">
        <f>+'Metas 6 (ONU Mujeres)'!U$25</f>
        <v>31609200</v>
      </c>
      <c r="M43" s="501">
        <f>+'Metas 6 (ONU Mujeres)'!V$25</f>
        <v>56455250</v>
      </c>
      <c r="N43" s="501">
        <f>+'Metas 6 (ONU Mujeres)'!W$25</f>
        <v>37202714</v>
      </c>
      <c r="O43" s="501">
        <f>+'Metas 6 (ONU Mujeres)'!X$25</f>
        <v>32432450</v>
      </c>
      <c r="P43" s="501">
        <f>+'Metas 6 (ONU Mujeres)'!Y$25</f>
        <v>33845022</v>
      </c>
      <c r="Q43" s="501">
        <f>+'Metas 6 (ONU Mujeres)'!Z$25</f>
        <v>51068219</v>
      </c>
      <c r="R43" s="501">
        <f>+'Metas 6 (ONU Mujeres)'!AA$25</f>
        <v>49768637</v>
      </c>
      <c r="S43" s="501">
        <f>+'Metas 6 (ONU Mujeres)'!AB$25</f>
        <v>0</v>
      </c>
      <c r="T43" s="501">
        <f>+'Metas 6 (ONU Mujeres)'!AC$25</f>
        <v>366353762</v>
      </c>
      <c r="U43" s="501">
        <f>+'Metas 6 (ONU Mujeres)'!AD$25</f>
        <v>0.66946414467356996</v>
      </c>
      <c r="V43" s="502"/>
      <c r="W43" s="503"/>
      <c r="X43" s="501">
        <f>+'Metas 6 (ONU Mujeres)'!C$25</f>
        <v>0</v>
      </c>
      <c r="Y43" s="501">
        <f>+'Metas 6 (ONU Mujeres)'!D$25</f>
        <v>183052517</v>
      </c>
      <c r="Z43" s="501">
        <f>+'Metas 6 (ONU Mujeres)'!E$25</f>
        <v>17167870</v>
      </c>
      <c r="AA43" s="501">
        <f>+'Metas 6 (ONU Mujeres)'!F$25</f>
        <v>1175000</v>
      </c>
      <c r="AB43" s="501">
        <f>+'Metas 6 (ONU Mujeres)'!G$25</f>
        <v>7134987</v>
      </c>
      <c r="AC43" s="501">
        <f>+'Metas 6 (ONU Mujeres)'!H$25</f>
        <v>0</v>
      </c>
      <c r="AD43" s="501">
        <f>+'Metas 6 (ONU Mujeres)'!I$25</f>
        <v>0</v>
      </c>
      <c r="AE43" s="501">
        <f>+'Metas 6 (ONU Mujeres)'!J$25</f>
        <v>0</v>
      </c>
      <c r="AF43" s="501">
        <f>+'Metas 6 (ONU Mujeres)'!K$25</f>
        <v>0</v>
      </c>
      <c r="AG43" s="501">
        <f>+'Metas 6 (ONU Mujeres)'!L$25</f>
        <v>0</v>
      </c>
      <c r="AH43" s="501">
        <f>+'Metas 6 (ONU Mujeres)'!M$25</f>
        <v>0</v>
      </c>
      <c r="AI43" s="501">
        <f>+'Metas 6 (ONU Mujeres)'!N$25</f>
        <v>0</v>
      </c>
      <c r="AJ43" s="501">
        <f>+'Metas 6 (ONU Mujeres)'!O$25</f>
        <v>208530374</v>
      </c>
      <c r="AK43" s="501">
        <f>+'Metas 6 (ONU Mujeres)'!P$25</f>
        <v>1</v>
      </c>
    </row>
    <row r="44" spans="1:40">
      <c r="A44" s="599"/>
      <c r="B44" s="601"/>
      <c r="C44" s="603"/>
      <c r="D44" s="500" t="s">
        <v>25</v>
      </c>
      <c r="E44" s="505">
        <f>+Hoja1!$AS$37</f>
        <v>0</v>
      </c>
      <c r="F44" s="506">
        <f>+'Metas 6 (ONU Mujeres)'!$W$17</f>
        <v>1</v>
      </c>
      <c r="G44" s="506">
        <f t="shared" si="0"/>
        <v>-1</v>
      </c>
      <c r="H44" s="507">
        <f>+'Metas 6 (ONU Mujeres)'!D$34</f>
        <v>0.72499999999999998</v>
      </c>
      <c r="I44" s="507">
        <f>+'Metas 6 (ONU Mujeres)'!E$34</f>
        <v>0.75</v>
      </c>
      <c r="J44" s="507">
        <f>+'Metas 6 (ONU Mujeres)'!F$34</f>
        <v>0.77500000000000002</v>
      </c>
      <c r="K44" s="507">
        <f>+'Metas 6 (ONU Mujeres)'!G$34</f>
        <v>0.8</v>
      </c>
      <c r="L44" s="507">
        <f>+'Metas 6 (ONU Mujeres)'!H$34</f>
        <v>0.82500000000000007</v>
      </c>
      <c r="M44" s="507">
        <f>+'Metas 6 (ONU Mujeres)'!I$34</f>
        <v>0.85000000000000009</v>
      </c>
      <c r="N44" s="507">
        <f>+'Metas 6 (ONU Mujeres)'!J$34</f>
        <v>0.87497500000000006</v>
      </c>
      <c r="O44" s="507">
        <f>+'Metas 6 (ONU Mujeres)'!K$34</f>
        <v>0.89997500000000008</v>
      </c>
      <c r="P44" s="507">
        <f>+'Metas 6 (ONU Mujeres)'!L$34</f>
        <v>0.9249750000000001</v>
      </c>
      <c r="Q44" s="507">
        <f>+'Metas 6 (ONU Mujeres)'!M$34</f>
        <v>0.94997500000000012</v>
      </c>
      <c r="R44" s="507">
        <f>+'Metas 6 (ONU Mujeres)'!N$34</f>
        <v>0.97497500000000015</v>
      </c>
      <c r="S44" s="507">
        <f>+'Metas 6 (ONU Mujeres)'!O$34</f>
        <v>0.99997500000000017</v>
      </c>
      <c r="T44" s="507">
        <f>+'Metas 6 (ONU Mujeres)'!P$34</f>
        <v>0.99997500000000017</v>
      </c>
      <c r="U44" s="507">
        <f>+'Metas 6 (ONU Mujeres)'!P$34</f>
        <v>0.99997500000000017</v>
      </c>
      <c r="V44" s="502"/>
      <c r="W44" s="508"/>
    </row>
    <row r="45" spans="1:40">
      <c r="A45" s="600"/>
      <c r="B45" s="601"/>
      <c r="C45" s="603"/>
      <c r="D45" s="500" t="s">
        <v>26</v>
      </c>
      <c r="E45" s="507"/>
      <c r="F45" s="507"/>
      <c r="G45" s="507">
        <f t="shared" si="0"/>
        <v>0</v>
      </c>
      <c r="H45" s="507">
        <f>+'Metas 6 (ONU Mujeres)'!D$35</f>
        <v>0.71918749999999998</v>
      </c>
      <c r="I45" s="507">
        <f>+'Metas 6 (ONU Mujeres)'!E$35</f>
        <v>0.74809641032166663</v>
      </c>
      <c r="J45" s="507">
        <f>+'Metas 6 (ONU Mujeres)'!F$35</f>
        <v>0.77700506532166658</v>
      </c>
      <c r="K45" s="507">
        <f>+'Metas 6 (ONU Mujeres)'!G$35</f>
        <v>0.80105314282166662</v>
      </c>
      <c r="L45" s="507">
        <f>+'Metas 6 (ONU Mujeres)'!H$35</f>
        <v>0.82638064282166657</v>
      </c>
      <c r="M45" s="507">
        <f>+'Metas 6 (ONU Mujeres)'!I$35</f>
        <v>0.85196397615499986</v>
      </c>
      <c r="N45" s="507">
        <f>+'Metas 6 (ONU Mujeres)'!J$35</f>
        <v>0.87828897032166653</v>
      </c>
      <c r="O45" s="507">
        <f>+'Metas 6 (ONU Mujeres)'!K$35</f>
        <v>0.90512588698833318</v>
      </c>
      <c r="P45" s="507">
        <f>+'Metas 6 (ONU Mujeres)'!L$35</f>
        <v>0.93042780365499989</v>
      </c>
      <c r="Q45" s="507">
        <f>+'Metas 6 (ONU Mujeres)'!M$35</f>
        <v>0.95240388698833323</v>
      </c>
      <c r="R45" s="507">
        <f>+'Metas 6 (ONU Mujeres)'!N$35</f>
        <v>0.9802897203216665</v>
      </c>
      <c r="S45" s="507">
        <f>+'Metas 6 (ONU Mujeres)'!O$35</f>
        <v>0</v>
      </c>
      <c r="T45" s="507">
        <f>+'Metas 6 (ONU Mujeres)'!P$35</f>
        <v>0.9802897203216665</v>
      </c>
      <c r="U45" s="507">
        <f>+'Metas 6 (ONU Mujeres)'!P$35</f>
        <v>0.9802897203216665</v>
      </c>
      <c r="V45" s="502"/>
      <c r="W45" s="508"/>
    </row>
    <row r="46" spans="1:40">
      <c r="A46" s="598">
        <f>+A40+1</f>
        <v>7</v>
      </c>
      <c r="B46" s="601" t="str">
        <f>+'Metas 7 (Unidades Moviles)'!A34</f>
        <v>7. Gestionar la implementación de 1 estrategia de unidades móviles de cuidado.</v>
      </c>
      <c r="C46" s="602">
        <f>+'Metas 7 (Unidades Moviles)'!B34</f>
        <v>0.15000000000000002</v>
      </c>
      <c r="D46" s="500" t="s">
        <v>24</v>
      </c>
      <c r="E46" s="501">
        <f>3482036529-293024082</f>
        <v>3189012447</v>
      </c>
      <c r="F46" s="501">
        <f>+T46</f>
        <v>2746135001</v>
      </c>
      <c r="G46" s="501">
        <f t="shared" si="0"/>
        <v>442877446</v>
      </c>
      <c r="H46" s="501">
        <f>+'Metas 7 (Unidades Moviles)'!Q$22</f>
        <v>1087452842</v>
      </c>
      <c r="I46" s="501">
        <f>+'Metas 7 (Unidades Moviles)'!R$22</f>
        <v>22500000</v>
      </c>
      <c r="J46" s="501">
        <f>+'Metas 7 (Unidades Moviles)'!S$22</f>
        <v>2262603187</v>
      </c>
      <c r="K46" s="501">
        <f>+'Metas 7 (Unidades Moviles)'!T$22</f>
        <v>19980500</v>
      </c>
      <c r="L46" s="501">
        <f>+'Metas 7 (Unidades Moviles)'!U$22</f>
        <v>16000000</v>
      </c>
      <c r="M46" s="501">
        <f>+'Metas 7 (Unidades Moviles)'!V$22</f>
        <v>1000000</v>
      </c>
      <c r="N46" s="501">
        <f>+'Metas 7 (Unidades Moviles)'!W$22</f>
        <v>-293024082</v>
      </c>
      <c r="O46" s="501">
        <f>+'Metas 7 (Unidades Moviles)'!X$22</f>
        <v>72500000</v>
      </c>
      <c r="P46" s="501">
        <f>+'Metas 7 (Unidades Moviles)'!Y$22</f>
        <v>0</v>
      </c>
      <c r="Q46" s="501">
        <f>+'Metas 7 (Unidades Moviles)'!Z$22</f>
        <v>-442877446</v>
      </c>
      <c r="R46" s="501">
        <f>+'Metas 7 (Unidades Moviles)'!AA$22</f>
        <v>0</v>
      </c>
      <c r="S46" s="501">
        <f>+'Metas 7 (Unidades Moviles)'!AB$22</f>
        <v>0</v>
      </c>
      <c r="T46" s="501">
        <f>+'Metas 7 (Unidades Moviles)'!AC$22</f>
        <v>2746135001</v>
      </c>
      <c r="U46" s="501">
        <f>+'Metas 7 (Unidades Moviles)'!AD$22</f>
        <v>0</v>
      </c>
      <c r="V46" s="502"/>
      <c r="W46" s="503"/>
      <c r="X46" s="501">
        <f>+'Metas 7 (Unidades Moviles)'!C$22</f>
        <v>0</v>
      </c>
      <c r="Y46" s="501">
        <f>+'Metas 7 (Unidades Moviles)'!D$22</f>
        <v>0</v>
      </c>
      <c r="Z46" s="501">
        <f>+'Metas 7 (Unidades Moviles)'!E$22</f>
        <v>0</v>
      </c>
      <c r="AA46" s="501">
        <f>+'Metas 7 (Unidades Moviles)'!F$22</f>
        <v>0</v>
      </c>
      <c r="AB46" s="501">
        <f>+'Metas 7 (Unidades Moviles)'!G$22</f>
        <v>0</v>
      </c>
      <c r="AC46" s="501">
        <f>+'Metas 7 (Unidades Moviles)'!H$22</f>
        <v>0</v>
      </c>
      <c r="AD46" s="501">
        <f>+'Metas 7 (Unidades Moviles)'!I$22</f>
        <v>0</v>
      </c>
      <c r="AE46" s="501">
        <f>+'Metas 7 (Unidades Moviles)'!J$22</f>
        <v>0</v>
      </c>
      <c r="AF46" s="501">
        <f>+'Metas 7 (Unidades Moviles)'!K$22</f>
        <v>0</v>
      </c>
      <c r="AG46" s="501">
        <f>+'Metas 7 (Unidades Moviles)'!L$22</f>
        <v>0</v>
      </c>
      <c r="AH46" s="501">
        <f>+'Metas 7 (Unidades Moviles)'!M$22</f>
        <v>0</v>
      </c>
      <c r="AI46" s="501">
        <f>+'Metas 7 (Unidades Moviles)'!N$22</f>
        <v>0</v>
      </c>
      <c r="AJ46" s="501">
        <f>+'Metas 7 (Unidades Moviles)'!O$22</f>
        <v>0</v>
      </c>
      <c r="AK46" s="501">
        <f>+'Metas 7 (Unidades Moviles)'!P$22</f>
        <v>0</v>
      </c>
      <c r="AM46" s="504">
        <v>3189012447</v>
      </c>
      <c r="AN46" s="504">
        <f>+T46-AM46</f>
        <v>-442877446</v>
      </c>
    </row>
    <row r="47" spans="1:40">
      <c r="A47" s="599"/>
      <c r="B47" s="601"/>
      <c r="C47" s="603"/>
      <c r="D47" s="500" t="s">
        <v>18</v>
      </c>
      <c r="E47" s="501"/>
      <c r="F47" s="501"/>
      <c r="G47" s="501">
        <f t="shared" si="0"/>
        <v>0</v>
      </c>
      <c r="H47" s="501">
        <f>+'Metas 7 (Unidades Moviles)'!Q$23</f>
        <v>1087452840</v>
      </c>
      <c r="I47" s="501">
        <f>+'Metas 7 (Unidades Moviles)'!R$23</f>
        <v>0</v>
      </c>
      <c r="J47" s="501">
        <f>+'Metas 7 (Unidades Moviles)'!S$23</f>
        <v>4447824</v>
      </c>
      <c r="K47" s="501">
        <f>+'Metas 7 (Unidades Moviles)'!T$23</f>
        <v>8261659</v>
      </c>
      <c r="L47" s="501">
        <f>+'Metas 7 (Unidades Moviles)'!U$23</f>
        <v>18226535</v>
      </c>
      <c r="M47" s="501">
        <f>+'Metas 7 (Unidades Moviles)'!V$23</f>
        <v>1388106207</v>
      </c>
      <c r="N47" s="501">
        <f>+'Metas 7 (Unidades Moviles)'!W$23</f>
        <v>0</v>
      </c>
      <c r="O47" s="501">
        <f>+'Metas 7 (Unidades Moviles)'!X$23</f>
        <v>124400000</v>
      </c>
      <c r="P47" s="501">
        <f>+'Metas 7 (Unidades Moviles)'!Y$23</f>
        <v>8145121</v>
      </c>
      <c r="Q47" s="501">
        <f>+'Metas 7 (Unidades Moviles)'!Z$23</f>
        <v>41410320</v>
      </c>
      <c r="R47" s="501">
        <f>+'Metas 7 (Unidades Moviles)'!AA$23</f>
        <v>-1298162</v>
      </c>
      <c r="S47" s="501">
        <f>+'Metas 7 (Unidades Moviles)'!AB$23</f>
        <v>0</v>
      </c>
      <c r="T47" s="501">
        <f>+'Metas 7 (Unidades Moviles)'!AC$23</f>
        <v>2679152344</v>
      </c>
      <c r="U47" s="501">
        <f>+'Metas 7 (Unidades Moviles)'!AD$23</f>
        <v>0.97560838888998236</v>
      </c>
      <c r="V47" s="502">
        <f>+T47/T46</f>
        <v>0.97560838888998236</v>
      </c>
      <c r="W47" s="503"/>
      <c r="X47" s="501">
        <f>+'Metas 7 (Unidades Moviles)'!C$23</f>
        <v>6741045</v>
      </c>
      <c r="Y47" s="501">
        <f>+'Metas 7 (Unidades Moviles)'!D$23</f>
        <v>0</v>
      </c>
      <c r="Z47" s="501">
        <f>+'Metas 7 (Unidades Moviles)'!E$23</f>
        <v>-2744000</v>
      </c>
      <c r="AA47" s="501">
        <f>+'Metas 7 (Unidades Moviles)'!F$23</f>
        <v>0</v>
      </c>
      <c r="AB47" s="501">
        <f>+'Metas 7 (Unidades Moviles)'!G$23</f>
        <v>-179377</v>
      </c>
      <c r="AC47" s="501">
        <f>+'Metas 7 (Unidades Moviles)'!H$23</f>
        <v>-36000</v>
      </c>
      <c r="AD47" s="501">
        <f>+'Metas 7 (Unidades Moviles)'!I$23</f>
        <v>0</v>
      </c>
      <c r="AE47" s="501">
        <f>+'Metas 7 (Unidades Moviles)'!J$23</f>
        <v>0</v>
      </c>
      <c r="AF47" s="501">
        <f>+'Metas 7 (Unidades Moviles)'!K$23</f>
        <v>0</v>
      </c>
      <c r="AG47" s="501">
        <f>+'Metas 7 (Unidades Moviles)'!L$23</f>
        <v>0</v>
      </c>
      <c r="AH47" s="501">
        <f>+'Metas 7 (Unidades Moviles)'!M$23</f>
        <v>0</v>
      </c>
      <c r="AI47" s="501">
        <f>+'Metas 7 (Unidades Moviles)'!N$23</f>
        <v>0</v>
      </c>
      <c r="AJ47" s="501">
        <f>+'Metas 7 (Unidades Moviles)'!O$23</f>
        <v>3781668</v>
      </c>
      <c r="AK47" s="501" t="str">
        <f>+'Metas 7 (Unidades Moviles)'!P$23</f>
        <v xml:space="preserve"> </v>
      </c>
    </row>
    <row r="48" spans="1:40">
      <c r="A48" s="599"/>
      <c r="B48" s="601"/>
      <c r="C48" s="603"/>
      <c r="D48" s="500" t="s">
        <v>19</v>
      </c>
      <c r="E48" s="501">
        <f>3482036529-293024082</f>
        <v>3189012447</v>
      </c>
      <c r="F48" s="501">
        <f>+T48</f>
        <v>3189012447</v>
      </c>
      <c r="G48" s="501">
        <f t="shared" si="0"/>
        <v>0</v>
      </c>
      <c r="H48" s="501">
        <f>+'Metas 7 (Unidades Moviles)'!Q$24</f>
        <v>0</v>
      </c>
      <c r="I48" s="501">
        <f>+'Metas 7 (Unidades Moviles)'!R$24</f>
        <v>37420042</v>
      </c>
      <c r="J48" s="501">
        <f>+'Metas 7 (Unidades Moviles)'!S$24</f>
        <v>95526800</v>
      </c>
      <c r="K48" s="501">
        <f>+'Metas 7 (Unidades Moviles)'!T$24</f>
        <v>98901800</v>
      </c>
      <c r="L48" s="501">
        <f>+'Metas 7 (Unidades Moviles)'!U$24</f>
        <v>609658160</v>
      </c>
      <c r="M48" s="501">
        <f>+'Metas 7 (Unidades Moviles)'!V$24</f>
        <v>576489980</v>
      </c>
      <c r="N48" s="501">
        <f>+'Metas 7 (Unidades Moviles)'!W$24</f>
        <v>271584201</v>
      </c>
      <c r="O48" s="501">
        <f>+'Metas 7 (Unidades Moviles)'!X$24</f>
        <v>258250867</v>
      </c>
      <c r="P48" s="501">
        <f>+'Metas 7 (Unidades Moviles)'!Y$24</f>
        <v>258584201</v>
      </c>
      <c r="Q48" s="501">
        <f>+'Metas 7 (Unidades Moviles)'!Z$24</f>
        <v>258250867</v>
      </c>
      <c r="R48" s="501">
        <f>+'Metas 7 (Unidades Moviles)'!AA$24</f>
        <v>289459201</v>
      </c>
      <c r="S48" s="501">
        <f>+'Metas 7 (Unidades Moviles)'!AB$24</f>
        <v>434886328</v>
      </c>
      <c r="T48" s="501">
        <f>+'Metas 7 (Unidades Moviles)'!AC$24</f>
        <v>3189012447</v>
      </c>
      <c r="U48" s="501">
        <f>+'Metas 7 (Unidades Moviles)'!AD$24</f>
        <v>0</v>
      </c>
      <c r="W48" s="503"/>
      <c r="X48" s="501">
        <f>+'Metas 7 (Unidades Moviles)'!C$24</f>
        <v>0</v>
      </c>
      <c r="Y48" s="501">
        <f>+'Metas 7 (Unidades Moviles)'!D$24</f>
        <v>1467667</v>
      </c>
      <c r="Z48" s="501">
        <f>+'Metas 7 (Unidades Moviles)'!E$24</f>
        <v>1354378</v>
      </c>
      <c r="AA48" s="501">
        <f>+'Metas 7 (Unidades Moviles)'!F$24</f>
        <v>959621</v>
      </c>
      <c r="AB48" s="501">
        <f>+'Metas 7 (Unidades Moviles)'!G$24</f>
        <v>0</v>
      </c>
      <c r="AC48" s="501">
        <f>+'Metas 7 (Unidades Moviles)'!H$24</f>
        <v>0</v>
      </c>
      <c r="AD48" s="501">
        <f>+'Metas 7 (Unidades Moviles)'!I$24</f>
        <v>0</v>
      </c>
      <c r="AE48" s="501">
        <f>+'Metas 7 (Unidades Moviles)'!J$24</f>
        <v>0</v>
      </c>
      <c r="AF48" s="501">
        <f>+'Metas 7 (Unidades Moviles)'!K$24</f>
        <v>0</v>
      </c>
      <c r="AG48" s="501">
        <f>+'Metas 7 (Unidades Moviles)'!L$24</f>
        <v>0</v>
      </c>
      <c r="AH48" s="501">
        <f>+'Metas 7 (Unidades Moviles)'!M$24</f>
        <v>2</v>
      </c>
      <c r="AI48" s="501">
        <f>+'Metas 7 (Unidades Moviles)'!N$24</f>
        <v>0</v>
      </c>
      <c r="AJ48" s="501">
        <f>+'Metas 7 (Unidades Moviles)'!O$24</f>
        <v>3781668</v>
      </c>
      <c r="AK48" s="501">
        <f>+'Metas 7 (Unidades Moviles)'!P$24</f>
        <v>0</v>
      </c>
    </row>
    <row r="49" spans="1:37">
      <c r="A49" s="599"/>
      <c r="B49" s="601"/>
      <c r="C49" s="603"/>
      <c r="D49" s="500" t="s">
        <v>20</v>
      </c>
      <c r="E49" s="501"/>
      <c r="F49" s="501"/>
      <c r="G49" s="501">
        <f t="shared" si="0"/>
        <v>0</v>
      </c>
      <c r="H49" s="501">
        <f>+'Metas 7 (Unidades Moviles)'!Q$25</f>
        <v>0</v>
      </c>
      <c r="I49" s="501">
        <f>+'Metas 7 (Unidades Moviles)'!R$25</f>
        <v>13608498</v>
      </c>
      <c r="J49" s="501">
        <f>+'Metas 7 (Unidades Moviles)'!S$25</f>
        <v>94854709</v>
      </c>
      <c r="K49" s="501">
        <f>+'Metas 7 (Unidades Moviles)'!T$25</f>
        <v>95010083</v>
      </c>
      <c r="L49" s="501">
        <f>+'Metas 7 (Unidades Moviles)'!U$25</f>
        <v>95821450</v>
      </c>
      <c r="M49" s="501">
        <f>+'Metas 7 (Unidades Moviles)'!V$25</f>
        <v>117417850</v>
      </c>
      <c r="N49" s="501">
        <f>+'Metas 7 (Unidades Moviles)'!W$25</f>
        <v>102285315</v>
      </c>
      <c r="O49" s="501">
        <f>+'Metas 7 (Unidades Moviles)'!X$25</f>
        <v>96485050</v>
      </c>
      <c r="P49" s="501">
        <f>+'Metas 7 (Unidades Moviles)'!Y$25</f>
        <v>99785954</v>
      </c>
      <c r="Q49" s="501">
        <f>+'Metas 7 (Unidades Moviles)'!Z$25</f>
        <v>467512749</v>
      </c>
      <c r="R49" s="501">
        <f>+'Metas 7 (Unidades Moviles)'!AA$25</f>
        <v>205890516</v>
      </c>
      <c r="S49" s="501">
        <f>+'Metas 7 (Unidades Moviles)'!AB$25</f>
        <v>0</v>
      </c>
      <c r="T49" s="501">
        <f>+'Metas 7 (Unidades Moviles)'!AC$25</f>
        <v>1388672174</v>
      </c>
      <c r="U49" s="501">
        <f>+'Metas 7 (Unidades Moviles)'!AD$25</f>
        <v>0.43545523797072844</v>
      </c>
      <c r="W49" s="503"/>
      <c r="X49" s="501">
        <f>+'Metas 7 (Unidades Moviles)'!C$25</f>
        <v>0</v>
      </c>
      <c r="Y49" s="501">
        <f>+'Metas 7 (Unidades Moviles)'!D$25</f>
        <v>1431666</v>
      </c>
      <c r="Z49" s="501">
        <f>+'Metas 7 (Unidades Moviles)'!E$25</f>
        <v>1175000</v>
      </c>
      <c r="AA49" s="501">
        <f>+'Metas 7 (Unidades Moviles)'!F$25</f>
        <v>1175000</v>
      </c>
      <c r="AB49" s="501">
        <f>+'Metas 7 (Unidades Moviles)'!G$25</f>
        <v>0</v>
      </c>
      <c r="AC49" s="501">
        <f>+'Metas 7 (Unidades Moviles)'!H$25</f>
        <v>0</v>
      </c>
      <c r="AD49" s="501">
        <f>+'Metas 7 (Unidades Moviles)'!I$25</f>
        <v>0</v>
      </c>
      <c r="AE49" s="501">
        <f>+'Metas 7 (Unidades Moviles)'!J$25</f>
        <v>0</v>
      </c>
      <c r="AF49" s="501">
        <f>+'Metas 7 (Unidades Moviles)'!K$25</f>
        <v>0</v>
      </c>
      <c r="AG49" s="501">
        <f>+'Metas 7 (Unidades Moviles)'!L$25</f>
        <v>0</v>
      </c>
      <c r="AH49" s="501">
        <f>+'Metas 7 (Unidades Moviles)'!M$25</f>
        <v>2</v>
      </c>
      <c r="AI49" s="501">
        <f>+'Metas 7 (Unidades Moviles)'!N$25</f>
        <v>0</v>
      </c>
      <c r="AJ49" s="501">
        <f>+'Metas 7 (Unidades Moviles)'!O$25</f>
        <v>3781668</v>
      </c>
      <c r="AK49" s="501">
        <f>+'Metas 7 (Unidades Moviles)'!P$25</f>
        <v>1</v>
      </c>
    </row>
    <row r="50" spans="1:37">
      <c r="A50" s="599"/>
      <c r="B50" s="601"/>
      <c r="C50" s="603"/>
      <c r="D50" s="500" t="s">
        <v>25</v>
      </c>
      <c r="E50" s="505">
        <f>+Hoja1!$AS$39</f>
        <v>0</v>
      </c>
      <c r="F50" s="506">
        <f>+'Metas 7 (Unidades Moviles)'!$W$17</f>
        <v>0.25</v>
      </c>
      <c r="G50" s="506">
        <f t="shared" si="0"/>
        <v>-0.25</v>
      </c>
      <c r="H50" s="507">
        <f>+'Metas 7 (Unidades Moviles)'!D$34</f>
        <v>1.3883333333333333E-2</v>
      </c>
      <c r="I50" s="507">
        <f>+'Metas 7 (Unidades Moviles)'!E$34</f>
        <v>1.3883333333333333E-2</v>
      </c>
      <c r="J50" s="507">
        <f>+'Metas 7 (Unidades Moviles)'!F$34</f>
        <v>1.3883333333333333E-2</v>
      </c>
      <c r="K50" s="507">
        <f>+'Metas 7 (Unidades Moviles)'!G$34</f>
        <v>1.3883333333333333E-2</v>
      </c>
      <c r="L50" s="507">
        <f>+'Metas 7 (Unidades Moviles)'!H$34</f>
        <v>1.3883333333333333E-2</v>
      </c>
      <c r="M50" s="507">
        <f>+'Metas 7 (Unidades Moviles)'!I$34</f>
        <v>1.3883333333333333E-2</v>
      </c>
      <c r="N50" s="507">
        <f>+'Metas 7 (Unidades Moviles)'!J$34</f>
        <v>2.7633333333333333E-2</v>
      </c>
      <c r="O50" s="507">
        <f>+'Metas 7 (Unidades Moviles)'!K$34</f>
        <v>2.7633333333333333E-2</v>
      </c>
      <c r="P50" s="507">
        <f>+'Metas 7 (Unidades Moviles)'!L$34</f>
        <v>2.7633333333333333E-2</v>
      </c>
      <c r="Q50" s="507">
        <f>+'Metas 7 (Unidades Moviles)'!M$34</f>
        <v>2.7633333333333333E-2</v>
      </c>
      <c r="R50" s="507">
        <f>+'Metas 7 (Unidades Moviles)'!N$34</f>
        <v>2.7633333333333333E-2</v>
      </c>
      <c r="S50" s="507">
        <f>+'Metas 7 (Unidades Moviles)'!O$34</f>
        <v>2.8800000000000003E-2</v>
      </c>
      <c r="T50" s="507">
        <f>+'Metas 7 (Unidades Moviles)'!P$34</f>
        <v>0.25026666666666669</v>
      </c>
      <c r="U50" s="507">
        <f>+'Metas 7 (Unidades Moviles)'!P$34</f>
        <v>0.25026666666666669</v>
      </c>
      <c r="W50" s="508"/>
    </row>
    <row r="51" spans="1:37">
      <c r="A51" s="600"/>
      <c r="B51" s="601"/>
      <c r="C51" s="603"/>
      <c r="D51" s="500" t="s">
        <v>26</v>
      </c>
      <c r="E51" s="507"/>
      <c r="F51" s="507"/>
      <c r="G51" s="507">
        <f t="shared" si="0"/>
        <v>0</v>
      </c>
      <c r="H51" s="507">
        <f>+'Metas 7 (Unidades Moviles)'!D$35</f>
        <v>3.3333333333333335E-3</v>
      </c>
      <c r="I51" s="507">
        <f>+'Metas 7 (Unidades Moviles)'!E$35</f>
        <v>1.3883333333333333E-2</v>
      </c>
      <c r="J51" s="507">
        <f>+'Metas 7 (Unidades Moviles)'!F$35</f>
        <v>1.3883333333333333E-2</v>
      </c>
      <c r="K51" s="507">
        <f>+'Metas 7 (Unidades Moviles)'!G$35</f>
        <v>1.3883333333333333E-2</v>
      </c>
      <c r="L51" s="507">
        <f>+'Metas 7 (Unidades Moviles)'!H$35</f>
        <v>1.3883333333333333E-2</v>
      </c>
      <c r="M51" s="507">
        <f>+'Metas 7 (Unidades Moviles)'!I$35</f>
        <v>1.3883333333333333E-2</v>
      </c>
      <c r="N51" s="507">
        <f>+'Metas 7 (Unidades Moviles)'!J$35</f>
        <v>3.2358333333333329E-2</v>
      </c>
      <c r="O51" s="507">
        <f>+'Metas 7 (Unidades Moviles)'!K$35</f>
        <v>2.7633333333333333E-2</v>
      </c>
      <c r="P51" s="507">
        <f>+'Metas 7 (Unidades Moviles)'!L$35</f>
        <v>2.7633333333333333E-2</v>
      </c>
      <c r="Q51" s="507">
        <f>+'Metas 7 (Unidades Moviles)'!M$35</f>
        <v>3.4025E-2</v>
      </c>
      <c r="R51" s="507">
        <f>+'Metas 7 (Unidades Moviles)'!N$35</f>
        <v>2.7633333333333333E-2</v>
      </c>
      <c r="S51" s="507">
        <f>+'Metas 7 (Unidades Moviles)'!O$35</f>
        <v>0</v>
      </c>
      <c r="T51" s="507">
        <f>+'Metas 7 (Unidades Moviles)'!P$35</f>
        <v>0.22203333333333336</v>
      </c>
      <c r="U51" s="507">
        <f>+'Metas 7 (Unidades Moviles)'!P$35</f>
        <v>0.22203333333333336</v>
      </c>
      <c r="W51" s="508"/>
    </row>
    <row r="52" spans="1:37" ht="15.75" thickBot="1"/>
    <row r="53" spans="1:37" ht="15.75" thickBot="1">
      <c r="A53" s="604" t="s">
        <v>15</v>
      </c>
      <c r="B53" s="605"/>
      <c r="C53" s="514">
        <f>+C46+C40+C34+C28+C22+C16+C10</f>
        <v>1.0000000000000002</v>
      </c>
      <c r="E53" s="501">
        <f>+E3-E10-E16-E22-E28-E34-E40-E46</f>
        <v>-3270000000</v>
      </c>
      <c r="F53" s="501"/>
      <c r="G53" s="501"/>
      <c r="H53" s="501">
        <f>+H3-H10-H16-H22-H28-H34-H40-H46</f>
        <v>0</v>
      </c>
      <c r="I53" s="501">
        <f t="shared" ref="H53:U56" si="1">+I3-I10-I16-I22-I28-I34-I40-I46</f>
        <v>0</v>
      </c>
      <c r="J53" s="501">
        <f t="shared" si="1"/>
        <v>0</v>
      </c>
      <c r="K53" s="501">
        <f t="shared" si="1"/>
        <v>0</v>
      </c>
      <c r="L53" s="501">
        <f t="shared" si="1"/>
        <v>0</v>
      </c>
      <c r="M53" s="501">
        <f t="shared" si="1"/>
        <v>0</v>
      </c>
      <c r="N53" s="501">
        <f t="shared" si="1"/>
        <v>0</v>
      </c>
      <c r="O53" s="501">
        <f t="shared" si="1"/>
        <v>0</v>
      </c>
      <c r="P53" s="501">
        <f t="shared" si="1"/>
        <v>0</v>
      </c>
      <c r="Q53" s="501">
        <f t="shared" si="1"/>
        <v>0</v>
      </c>
      <c r="R53" s="501">
        <f t="shared" si="1"/>
        <v>0</v>
      </c>
      <c r="S53" s="501">
        <f t="shared" si="1"/>
        <v>0</v>
      </c>
      <c r="T53" s="501">
        <f t="shared" si="1"/>
        <v>0</v>
      </c>
      <c r="U53" s="501">
        <f t="shared" si="1"/>
        <v>0</v>
      </c>
      <c r="W53" s="501"/>
      <c r="X53" s="501">
        <f t="shared" ref="X53:AK56" si="2">+X3-X10-X16-X22-X28-X34-X40-X46</f>
        <v>0</v>
      </c>
      <c r="Y53" s="501">
        <f t="shared" si="2"/>
        <v>0</v>
      </c>
      <c r="Z53" s="501">
        <f t="shared" si="2"/>
        <v>0</v>
      </c>
      <c r="AA53" s="501">
        <f t="shared" si="2"/>
        <v>0</v>
      </c>
      <c r="AB53" s="501">
        <f t="shared" si="2"/>
        <v>0</v>
      </c>
      <c r="AC53" s="501">
        <f>+AC3-AC10-AC16-AC22-AC28-AC34-AC40-AC46</f>
        <v>0</v>
      </c>
      <c r="AD53" s="501">
        <f t="shared" si="2"/>
        <v>0</v>
      </c>
      <c r="AE53" s="501">
        <f t="shared" si="2"/>
        <v>0</v>
      </c>
      <c r="AF53" s="501">
        <f t="shared" si="2"/>
        <v>0</v>
      </c>
      <c r="AG53" s="501">
        <f t="shared" si="2"/>
        <v>0</v>
      </c>
      <c r="AH53" s="501">
        <f t="shared" si="2"/>
        <v>0</v>
      </c>
      <c r="AI53" s="501">
        <f t="shared" si="2"/>
        <v>0</v>
      </c>
      <c r="AJ53" s="501">
        <f t="shared" si="2"/>
        <v>0</v>
      </c>
      <c r="AK53" s="501">
        <f t="shared" si="2"/>
        <v>0</v>
      </c>
    </row>
    <row r="54" spans="1:37">
      <c r="E54" s="501">
        <f>+E4-E11-E17-E23-E29-E35-E41-E47</f>
        <v>0</v>
      </c>
      <c r="F54" s="501"/>
      <c r="G54" s="501"/>
      <c r="H54" s="501">
        <f t="shared" si="1"/>
        <v>0</v>
      </c>
      <c r="I54" s="501">
        <f t="shared" si="1"/>
        <v>0</v>
      </c>
      <c r="J54" s="501">
        <f t="shared" si="1"/>
        <v>0</v>
      </c>
      <c r="K54" s="501">
        <f t="shared" si="1"/>
        <v>0</v>
      </c>
      <c r="L54" s="501">
        <f t="shared" si="1"/>
        <v>0</v>
      </c>
      <c r="M54" s="501">
        <f t="shared" si="1"/>
        <v>0</v>
      </c>
      <c r="N54" s="501">
        <f t="shared" si="1"/>
        <v>0</v>
      </c>
      <c r="O54" s="501">
        <f t="shared" si="1"/>
        <v>0</v>
      </c>
      <c r="P54" s="501">
        <f t="shared" si="1"/>
        <v>0</v>
      </c>
      <c r="Q54" s="501">
        <f t="shared" si="1"/>
        <v>0</v>
      </c>
      <c r="R54" s="501">
        <f t="shared" si="1"/>
        <v>0</v>
      </c>
      <c r="S54" s="501">
        <f t="shared" si="1"/>
        <v>0</v>
      </c>
      <c r="T54" s="501">
        <f t="shared" si="1"/>
        <v>0</v>
      </c>
      <c r="U54" s="501">
        <f t="shared" si="1"/>
        <v>-5.4449185244993954</v>
      </c>
      <c r="W54" s="501"/>
      <c r="X54" s="501">
        <f t="shared" si="2"/>
        <v>0</v>
      </c>
      <c r="Y54" s="501">
        <f t="shared" si="2"/>
        <v>0</v>
      </c>
      <c r="Z54" s="501">
        <f t="shared" si="2"/>
        <v>0</v>
      </c>
      <c r="AA54" s="501">
        <f t="shared" si="2"/>
        <v>0</v>
      </c>
      <c r="AB54" s="501">
        <f t="shared" si="2"/>
        <v>0</v>
      </c>
      <c r="AC54" s="501">
        <f t="shared" si="2"/>
        <v>0</v>
      </c>
      <c r="AD54" s="501">
        <f t="shared" si="2"/>
        <v>0</v>
      </c>
      <c r="AE54" s="501">
        <f t="shared" si="2"/>
        <v>0</v>
      </c>
      <c r="AF54" s="501">
        <f t="shared" si="2"/>
        <v>0</v>
      </c>
      <c r="AG54" s="501">
        <f t="shared" si="2"/>
        <v>0</v>
      </c>
      <c r="AH54" s="501">
        <f t="shared" si="2"/>
        <v>0</v>
      </c>
      <c r="AI54" s="501">
        <f t="shared" si="2"/>
        <v>0</v>
      </c>
      <c r="AJ54" s="501">
        <f t="shared" si="2"/>
        <v>0</v>
      </c>
      <c r="AK54" s="501" t="e">
        <f>+AK4-AK11-AK17-AK23-AK29-AK35-AK41-AK47</f>
        <v>#VALUE!</v>
      </c>
    </row>
    <row r="55" spans="1:37">
      <c r="E55" s="501">
        <f>+E5-E12-E18-E24-E30-E36-E42-E48</f>
        <v>-3270000000</v>
      </c>
      <c r="F55" s="501"/>
      <c r="G55" s="501"/>
      <c r="H55" s="501">
        <f t="shared" si="1"/>
        <v>0</v>
      </c>
      <c r="I55" s="501">
        <f t="shared" si="1"/>
        <v>0</v>
      </c>
      <c r="J55" s="501">
        <f t="shared" si="1"/>
        <v>0</v>
      </c>
      <c r="K55" s="501">
        <f t="shared" si="1"/>
        <v>0</v>
      </c>
      <c r="L55" s="501">
        <f t="shared" si="1"/>
        <v>0</v>
      </c>
      <c r="M55" s="501">
        <f t="shared" si="1"/>
        <v>0</v>
      </c>
      <c r="N55" s="501">
        <f t="shared" si="1"/>
        <v>0</v>
      </c>
      <c r="O55" s="501">
        <f t="shared" si="1"/>
        <v>0</v>
      </c>
      <c r="P55" s="501">
        <f t="shared" si="1"/>
        <v>0</v>
      </c>
      <c r="Q55" s="501">
        <f t="shared" si="1"/>
        <v>0</v>
      </c>
      <c r="R55" s="501">
        <f t="shared" si="1"/>
        <v>0</v>
      </c>
      <c r="S55" s="501">
        <f t="shared" si="1"/>
        <v>0</v>
      </c>
      <c r="T55" s="501">
        <f t="shared" si="1"/>
        <v>0</v>
      </c>
      <c r="U55" s="501">
        <f t="shared" si="1"/>
        <v>0</v>
      </c>
      <c r="W55" s="501"/>
      <c r="X55" s="501">
        <f t="shared" si="2"/>
        <v>0</v>
      </c>
      <c r="Y55" s="501">
        <f t="shared" si="2"/>
        <v>0</v>
      </c>
      <c r="Z55" s="501">
        <f t="shared" si="2"/>
        <v>0</v>
      </c>
      <c r="AA55" s="501">
        <f t="shared" si="2"/>
        <v>0</v>
      </c>
      <c r="AB55" s="501">
        <f t="shared" si="2"/>
        <v>0</v>
      </c>
      <c r="AC55" s="501">
        <f t="shared" si="2"/>
        <v>0</v>
      </c>
      <c r="AD55" s="501">
        <f t="shared" si="2"/>
        <v>0</v>
      </c>
      <c r="AE55" s="501" t="e">
        <f t="shared" si="2"/>
        <v>#VALUE!</v>
      </c>
      <c r="AF55" s="501" t="e">
        <f t="shared" si="2"/>
        <v>#VALUE!</v>
      </c>
      <c r="AG55" s="501" t="e">
        <f t="shared" si="2"/>
        <v>#VALUE!</v>
      </c>
      <c r="AH55" s="501" t="e">
        <f t="shared" si="2"/>
        <v>#VALUE!</v>
      </c>
      <c r="AI55" s="501" t="e">
        <f t="shared" si="2"/>
        <v>#VALUE!</v>
      </c>
      <c r="AJ55" s="501" t="e">
        <f t="shared" si="2"/>
        <v>#VALUE!</v>
      </c>
      <c r="AK55" s="501">
        <f t="shared" si="2"/>
        <v>0</v>
      </c>
    </row>
    <row r="56" spans="1:37">
      <c r="E56" s="501">
        <f>+E6-E13-E19-E25-E31-E37-E43-E49</f>
        <v>0</v>
      </c>
      <c r="F56" s="501"/>
      <c r="G56" s="501"/>
      <c r="H56" s="501">
        <f t="shared" si="1"/>
        <v>0</v>
      </c>
      <c r="I56" s="501">
        <f t="shared" si="1"/>
        <v>0</v>
      </c>
      <c r="J56" s="501">
        <f t="shared" si="1"/>
        <v>0</v>
      </c>
      <c r="K56" s="501">
        <f t="shared" si="1"/>
        <v>0</v>
      </c>
      <c r="L56" s="501">
        <f t="shared" si="1"/>
        <v>0</v>
      </c>
      <c r="M56" s="501">
        <f t="shared" si="1"/>
        <v>0</v>
      </c>
      <c r="N56" s="501">
        <f t="shared" si="1"/>
        <v>0</v>
      </c>
      <c r="O56" s="501">
        <f t="shared" si="1"/>
        <v>0</v>
      </c>
      <c r="P56" s="501">
        <f t="shared" si="1"/>
        <v>0</v>
      </c>
      <c r="Q56" s="501">
        <f t="shared" si="1"/>
        <v>0</v>
      </c>
      <c r="R56" s="501">
        <f t="shared" si="1"/>
        <v>0</v>
      </c>
      <c r="S56" s="501">
        <f t="shared" si="1"/>
        <v>0</v>
      </c>
      <c r="T56" s="501">
        <f t="shared" si="1"/>
        <v>0</v>
      </c>
      <c r="U56" s="501">
        <f t="shared" si="1"/>
        <v>-4.123785765272018</v>
      </c>
      <c r="W56" s="501"/>
      <c r="X56" s="501">
        <f t="shared" si="2"/>
        <v>0</v>
      </c>
      <c r="Y56" s="501">
        <f t="shared" si="2"/>
        <v>0</v>
      </c>
      <c r="Z56" s="501">
        <f t="shared" si="2"/>
        <v>0</v>
      </c>
      <c r="AA56" s="501">
        <f t="shared" si="2"/>
        <v>0</v>
      </c>
      <c r="AB56" s="501">
        <f t="shared" si="2"/>
        <v>0</v>
      </c>
      <c r="AC56" s="501">
        <f t="shared" si="2"/>
        <v>0</v>
      </c>
      <c r="AD56" s="501">
        <f t="shared" si="2"/>
        <v>0</v>
      </c>
      <c r="AE56" s="501">
        <f t="shared" si="2"/>
        <v>0</v>
      </c>
      <c r="AF56" s="501">
        <f t="shared" si="2"/>
        <v>0</v>
      </c>
      <c r="AG56" s="501">
        <f t="shared" si="2"/>
        <v>0</v>
      </c>
      <c r="AH56" s="501">
        <f t="shared" si="2"/>
        <v>0</v>
      </c>
      <c r="AI56" s="501">
        <f t="shared" si="2"/>
        <v>0</v>
      </c>
      <c r="AJ56" s="501">
        <f t="shared" si="2"/>
        <v>0</v>
      </c>
      <c r="AK56" s="501" t="e">
        <f t="shared" si="2"/>
        <v>#VALUE!</v>
      </c>
    </row>
    <row r="57" spans="1:37">
      <c r="E57" s="511"/>
      <c r="F57" s="511"/>
      <c r="G57" s="511"/>
      <c r="H57" s="511"/>
      <c r="I57" s="511"/>
      <c r="J57" s="511"/>
      <c r="K57" s="511"/>
      <c r="L57" s="511"/>
      <c r="M57" s="511"/>
      <c r="N57" s="511"/>
      <c r="O57" s="511"/>
      <c r="P57" s="511"/>
      <c r="Q57" s="511"/>
      <c r="R57" s="511"/>
      <c r="S57" s="511"/>
      <c r="T57" s="511"/>
      <c r="U57" s="511"/>
      <c r="W57" s="511"/>
      <c r="X57" s="511"/>
      <c r="Y57" s="511"/>
      <c r="Z57" s="511"/>
      <c r="AA57" s="511"/>
      <c r="AB57" s="511"/>
      <c r="AC57" s="511"/>
      <c r="AD57" s="511"/>
      <c r="AE57" s="511"/>
      <c r="AF57" s="511"/>
      <c r="AG57" s="511"/>
      <c r="AH57" s="511"/>
      <c r="AI57" s="511"/>
      <c r="AJ57" s="511"/>
      <c r="AK57" s="511"/>
    </row>
    <row r="58" spans="1:37">
      <c r="D58" s="500" t="s">
        <v>24</v>
      </c>
      <c r="E58" s="501">
        <f t="shared" ref="E58:U61" si="3">+E10+E16+E22+E28+E34+E40+E46</f>
        <v>12872923877</v>
      </c>
      <c r="F58" s="501">
        <f t="shared" si="3"/>
        <v>9602923877</v>
      </c>
      <c r="G58" s="501">
        <f t="shared" si="3"/>
        <v>3270000000</v>
      </c>
      <c r="H58" s="501">
        <f t="shared" si="3"/>
        <v>6726921106</v>
      </c>
      <c r="I58" s="501">
        <f t="shared" si="3"/>
        <v>90000000</v>
      </c>
      <c r="J58" s="501">
        <f t="shared" si="3"/>
        <v>2262603187</v>
      </c>
      <c r="K58" s="501">
        <f t="shared" si="3"/>
        <v>87122000</v>
      </c>
      <c r="L58" s="501">
        <f t="shared" si="3"/>
        <v>4217725695</v>
      </c>
      <c r="M58" s="501">
        <f t="shared" si="3"/>
        <v>22959012</v>
      </c>
      <c r="N58" s="501">
        <f t="shared" si="3"/>
        <v>-932027123</v>
      </c>
      <c r="O58" s="501">
        <f t="shared" si="3"/>
        <v>-2872380000</v>
      </c>
      <c r="P58" s="501">
        <f t="shared" si="3"/>
        <v>0</v>
      </c>
      <c r="Q58" s="501">
        <f t="shared" si="3"/>
        <v>0</v>
      </c>
      <c r="R58" s="501">
        <f t="shared" si="3"/>
        <v>0</v>
      </c>
      <c r="S58" s="501">
        <f t="shared" si="3"/>
        <v>0</v>
      </c>
      <c r="T58" s="501">
        <f t="shared" si="3"/>
        <v>9602923877</v>
      </c>
      <c r="U58" s="501">
        <f t="shared" si="3"/>
        <v>0</v>
      </c>
      <c r="W58" s="501">
        <f t="shared" ref="W58:AK61" si="4">+W10+W16+W22+W28+W34+W40+W46</f>
        <v>0</v>
      </c>
      <c r="X58" s="501">
        <f t="shared" si="4"/>
        <v>0</v>
      </c>
      <c r="Y58" s="501">
        <f t="shared" si="4"/>
        <v>0</v>
      </c>
      <c r="Z58" s="501">
        <f t="shared" si="4"/>
        <v>0</v>
      </c>
      <c r="AA58" s="501">
        <f t="shared" si="4"/>
        <v>0</v>
      </c>
      <c r="AB58" s="501">
        <f t="shared" si="4"/>
        <v>0</v>
      </c>
      <c r="AC58" s="501">
        <f t="shared" si="4"/>
        <v>0</v>
      </c>
      <c r="AD58" s="501">
        <f t="shared" si="4"/>
        <v>0</v>
      </c>
      <c r="AE58" s="501">
        <f t="shared" si="4"/>
        <v>0</v>
      </c>
      <c r="AF58" s="501">
        <f t="shared" si="4"/>
        <v>0</v>
      </c>
      <c r="AG58" s="501">
        <f t="shared" si="4"/>
        <v>0</v>
      </c>
      <c r="AH58" s="501">
        <f t="shared" si="4"/>
        <v>0</v>
      </c>
      <c r="AI58" s="501">
        <f t="shared" si="4"/>
        <v>0</v>
      </c>
      <c r="AJ58" s="501">
        <f t="shared" si="4"/>
        <v>0</v>
      </c>
      <c r="AK58" s="501">
        <f t="shared" si="4"/>
        <v>0</v>
      </c>
    </row>
    <row r="59" spans="1:37">
      <c r="D59" s="500" t="s">
        <v>18</v>
      </c>
      <c r="E59" s="501">
        <f t="shared" si="3"/>
        <v>0</v>
      </c>
      <c r="F59" s="501">
        <f t="shared" si="3"/>
        <v>0</v>
      </c>
      <c r="G59" s="501">
        <f t="shared" si="3"/>
        <v>0</v>
      </c>
      <c r="H59" s="501">
        <f t="shared" si="3"/>
        <v>6689497774</v>
      </c>
      <c r="I59" s="501">
        <f t="shared" si="3"/>
        <v>0</v>
      </c>
      <c r="J59" s="501">
        <f t="shared" si="3"/>
        <v>-5137626</v>
      </c>
      <c r="K59" s="501">
        <f t="shared" si="3"/>
        <v>30140193</v>
      </c>
      <c r="L59" s="501">
        <f t="shared" si="3"/>
        <v>131189539</v>
      </c>
      <c r="M59" s="501">
        <f t="shared" si="3"/>
        <v>1466125582</v>
      </c>
      <c r="N59" s="501">
        <f t="shared" si="3"/>
        <v>0</v>
      </c>
      <c r="O59" s="501">
        <f t="shared" si="3"/>
        <v>629600000</v>
      </c>
      <c r="P59" s="501">
        <f t="shared" si="3"/>
        <v>118051414</v>
      </c>
      <c r="Q59" s="501">
        <f t="shared" si="3"/>
        <v>177608628</v>
      </c>
      <c r="R59" s="501">
        <f t="shared" si="3"/>
        <v>14957357</v>
      </c>
      <c r="S59" s="501">
        <f t="shared" si="3"/>
        <v>0</v>
      </c>
      <c r="T59" s="501">
        <f t="shared" si="3"/>
        <v>9252032861</v>
      </c>
      <c r="U59" s="501">
        <f t="shared" si="3"/>
        <v>6.5756493455848171</v>
      </c>
      <c r="W59" s="501">
        <f t="shared" si="4"/>
        <v>0</v>
      </c>
      <c r="X59" s="501">
        <f t="shared" si="4"/>
        <v>5753056358</v>
      </c>
      <c r="Y59" s="501">
        <f t="shared" si="4"/>
        <v>0</v>
      </c>
      <c r="Z59" s="501">
        <f t="shared" si="4"/>
        <v>-19600000</v>
      </c>
      <c r="AA59" s="501">
        <f t="shared" si="4"/>
        <v>0</v>
      </c>
      <c r="AB59" s="501">
        <f t="shared" si="4"/>
        <v>-7947937</v>
      </c>
      <c r="AC59" s="501">
        <f t="shared" si="4"/>
        <v>-13247774</v>
      </c>
      <c r="AD59" s="501">
        <f t="shared" si="4"/>
        <v>0</v>
      </c>
      <c r="AE59" s="501">
        <f t="shared" si="4"/>
        <v>0</v>
      </c>
      <c r="AF59" s="501">
        <f t="shared" si="4"/>
        <v>0</v>
      </c>
      <c r="AG59" s="501">
        <f t="shared" si="4"/>
        <v>0</v>
      </c>
      <c r="AH59" s="501">
        <f t="shared" si="4"/>
        <v>2</v>
      </c>
      <c r="AI59" s="501">
        <f t="shared" si="4"/>
        <v>0</v>
      </c>
      <c r="AJ59" s="501">
        <f t="shared" si="4"/>
        <v>5712260649</v>
      </c>
      <c r="AK59" s="501" t="e">
        <f t="shared" si="4"/>
        <v>#VALUE!</v>
      </c>
    </row>
    <row r="60" spans="1:37">
      <c r="D60" s="500" t="s">
        <v>19</v>
      </c>
      <c r="E60" s="501">
        <f t="shared" si="3"/>
        <v>12872923877</v>
      </c>
      <c r="F60" s="501">
        <f t="shared" si="3"/>
        <v>9602923877</v>
      </c>
      <c r="G60" s="501">
        <f t="shared" si="3"/>
        <v>3270000000</v>
      </c>
      <c r="H60" s="501">
        <f t="shared" si="3"/>
        <v>0</v>
      </c>
      <c r="I60" s="501">
        <f t="shared" si="3"/>
        <v>285410170.99999994</v>
      </c>
      <c r="J60" s="501">
        <f t="shared" si="3"/>
        <v>589199007</v>
      </c>
      <c r="K60" s="501">
        <f t="shared" si="3"/>
        <v>602699007</v>
      </c>
      <c r="L60" s="501">
        <f t="shared" si="3"/>
        <v>1109990533</v>
      </c>
      <c r="M60" s="501">
        <f t="shared" si="3"/>
        <v>1107838917</v>
      </c>
      <c r="N60" s="501">
        <f t="shared" si="3"/>
        <v>2020257523</v>
      </c>
      <c r="O60" s="501">
        <f t="shared" si="3"/>
        <v>663997659</v>
      </c>
      <c r="P60" s="501">
        <f t="shared" si="3"/>
        <v>602790005</v>
      </c>
      <c r="Q60" s="501">
        <f t="shared" si="3"/>
        <v>603597658</v>
      </c>
      <c r="R60" s="501">
        <f t="shared" si="3"/>
        <v>730124327</v>
      </c>
      <c r="S60" s="501">
        <f t="shared" si="3"/>
        <v>1287019070</v>
      </c>
      <c r="T60" s="501">
        <f t="shared" si="3"/>
        <v>9602923877</v>
      </c>
      <c r="U60" s="501">
        <f t="shared" si="3"/>
        <v>0</v>
      </c>
      <c r="W60" s="501">
        <f t="shared" si="4"/>
        <v>0</v>
      </c>
      <c r="X60" s="501">
        <f t="shared" si="4"/>
        <v>0</v>
      </c>
      <c r="Y60" s="501">
        <f t="shared" si="4"/>
        <v>1257629814</v>
      </c>
      <c r="Z60" s="501">
        <f t="shared" si="4"/>
        <v>1752256565</v>
      </c>
      <c r="AA60" s="501">
        <f t="shared" si="4"/>
        <v>1780223391</v>
      </c>
      <c r="AB60" s="501">
        <f t="shared" si="4"/>
        <v>922150877</v>
      </c>
      <c r="AC60" s="501">
        <f t="shared" si="4"/>
        <v>0</v>
      </c>
      <c r="AD60" s="501">
        <f t="shared" si="4"/>
        <v>0</v>
      </c>
      <c r="AE60" s="501" t="e">
        <f t="shared" si="4"/>
        <v>#VALUE!</v>
      </c>
      <c r="AF60" s="501" t="e">
        <f t="shared" si="4"/>
        <v>#VALUE!</v>
      </c>
      <c r="AG60" s="501" t="e">
        <f t="shared" si="4"/>
        <v>#VALUE!</v>
      </c>
      <c r="AH60" s="501" t="e">
        <f t="shared" si="4"/>
        <v>#VALUE!</v>
      </c>
      <c r="AI60" s="501" t="e">
        <f t="shared" si="4"/>
        <v>#VALUE!</v>
      </c>
      <c r="AJ60" s="501">
        <f t="shared" si="4"/>
        <v>5712260649</v>
      </c>
      <c r="AK60" s="501">
        <f t="shared" si="4"/>
        <v>0</v>
      </c>
    </row>
    <row r="61" spans="1:37">
      <c r="D61" s="500" t="s">
        <v>20</v>
      </c>
      <c r="E61" s="501">
        <f t="shared" si="3"/>
        <v>0</v>
      </c>
      <c r="F61" s="501">
        <f t="shared" si="3"/>
        <v>0</v>
      </c>
      <c r="G61" s="501">
        <f t="shared" si="3"/>
        <v>0</v>
      </c>
      <c r="H61" s="501">
        <f t="shared" si="3"/>
        <v>0</v>
      </c>
      <c r="I61" s="501">
        <f t="shared" si="3"/>
        <v>96238222</v>
      </c>
      <c r="J61" s="501">
        <f t="shared" si="3"/>
        <v>567797313</v>
      </c>
      <c r="K61" s="501">
        <f t="shared" si="3"/>
        <v>609032369</v>
      </c>
      <c r="L61" s="501">
        <f t="shared" si="3"/>
        <v>573723468</v>
      </c>
      <c r="M61" s="501">
        <f t="shared" si="3"/>
        <v>752863105</v>
      </c>
      <c r="N61" s="501">
        <f t="shared" si="3"/>
        <v>614315970</v>
      </c>
      <c r="O61" s="501">
        <f t="shared" si="3"/>
        <v>592888394</v>
      </c>
      <c r="P61" s="501">
        <f t="shared" si="3"/>
        <v>599875238</v>
      </c>
      <c r="Q61" s="501">
        <f t="shared" si="3"/>
        <v>1075264297</v>
      </c>
      <c r="R61" s="501">
        <f t="shared" si="3"/>
        <v>818341135</v>
      </c>
      <c r="S61" s="501">
        <f t="shared" si="3"/>
        <v>0</v>
      </c>
      <c r="T61" s="501">
        <f t="shared" si="3"/>
        <v>6300339511</v>
      </c>
      <c r="U61" s="501">
        <f t="shared" si="3"/>
        <v>4.8814110215997033</v>
      </c>
      <c r="W61" s="501">
        <f t="shared" si="4"/>
        <v>0</v>
      </c>
      <c r="X61" s="501">
        <f t="shared" si="4"/>
        <v>77754654</v>
      </c>
      <c r="Y61" s="501">
        <f t="shared" si="4"/>
        <v>195328162</v>
      </c>
      <c r="Z61" s="501">
        <f t="shared" si="4"/>
        <v>705786665</v>
      </c>
      <c r="AA61" s="501">
        <f t="shared" si="4"/>
        <v>64338749</v>
      </c>
      <c r="AB61" s="501">
        <f t="shared" si="4"/>
        <v>316725059</v>
      </c>
      <c r="AC61" s="501">
        <f t="shared" si="4"/>
        <v>2004084</v>
      </c>
      <c r="AD61" s="501">
        <f t="shared" si="4"/>
        <v>2004084</v>
      </c>
      <c r="AE61" s="501">
        <f t="shared" si="4"/>
        <v>1379029</v>
      </c>
      <c r="AF61" s="501">
        <f t="shared" si="4"/>
        <v>0</v>
      </c>
      <c r="AG61" s="501">
        <f t="shared" si="4"/>
        <v>0</v>
      </c>
      <c r="AH61" s="501">
        <f t="shared" si="4"/>
        <v>2</v>
      </c>
      <c r="AI61" s="501">
        <f t="shared" si="4"/>
        <v>0</v>
      </c>
      <c r="AJ61" s="501">
        <f t="shared" si="4"/>
        <v>1365320488</v>
      </c>
      <c r="AK61" s="501">
        <f t="shared" si="4"/>
        <v>6.0782853314501688</v>
      </c>
    </row>
    <row r="62" spans="1:37">
      <c r="E62" s="511"/>
      <c r="F62" s="511"/>
      <c r="G62" s="511"/>
      <c r="H62" s="511"/>
      <c r="I62" s="511"/>
      <c r="J62" s="511"/>
      <c r="K62" s="511"/>
      <c r="L62" s="511"/>
      <c r="M62" s="511"/>
      <c r="N62" s="511"/>
      <c r="O62" s="511"/>
      <c r="P62" s="511"/>
      <c r="Q62" s="511"/>
      <c r="R62" s="511"/>
      <c r="S62" s="511"/>
      <c r="T62" s="511"/>
      <c r="U62" s="511"/>
      <c r="W62" s="511"/>
      <c r="X62" s="511"/>
      <c r="Y62" s="511"/>
      <c r="Z62" s="511"/>
      <c r="AA62" s="511"/>
      <c r="AB62" s="511"/>
      <c r="AC62" s="511"/>
      <c r="AD62" s="511"/>
      <c r="AE62" s="511"/>
      <c r="AF62" s="511"/>
      <c r="AG62" s="511"/>
      <c r="AH62" s="511"/>
      <c r="AI62" s="511"/>
      <c r="AJ62" s="511"/>
      <c r="AK62" s="511"/>
    </row>
    <row r="63" spans="1:37">
      <c r="E63" s="511"/>
      <c r="F63" s="511"/>
      <c r="G63" s="511"/>
      <c r="H63" s="511"/>
      <c r="I63" s="511"/>
      <c r="J63" s="511"/>
      <c r="K63" s="511"/>
      <c r="L63" s="511"/>
      <c r="M63" s="511"/>
      <c r="N63" s="511"/>
      <c r="O63" s="511"/>
      <c r="P63" s="511"/>
      <c r="Q63" s="511"/>
      <c r="R63" s="511"/>
      <c r="S63" s="511"/>
      <c r="T63" s="511"/>
      <c r="U63" s="511"/>
      <c r="W63" s="511"/>
      <c r="X63" s="511"/>
      <c r="Y63" s="511"/>
      <c r="Z63" s="511"/>
      <c r="AA63" s="511"/>
      <c r="AB63" s="511"/>
      <c r="AC63" s="511"/>
      <c r="AD63" s="511"/>
      <c r="AE63" s="511"/>
      <c r="AF63" s="511"/>
      <c r="AG63" s="511"/>
      <c r="AH63" s="511"/>
      <c r="AI63" s="511"/>
      <c r="AJ63" s="511"/>
      <c r="AK63" s="511"/>
    </row>
    <row r="64" spans="1:37">
      <c r="E64" s="511"/>
      <c r="F64" s="511"/>
      <c r="G64" s="511"/>
      <c r="H64" s="511"/>
      <c r="I64" s="511"/>
      <c r="J64" s="511"/>
      <c r="K64" s="511"/>
      <c r="L64" s="511"/>
      <c r="M64" s="511"/>
      <c r="N64" s="511"/>
      <c r="O64" s="511"/>
      <c r="P64" s="511"/>
      <c r="Q64" s="511"/>
      <c r="R64" s="511"/>
      <c r="S64" s="511"/>
      <c r="T64" s="511"/>
      <c r="U64" s="511"/>
      <c r="W64" s="511"/>
      <c r="X64" s="511"/>
      <c r="Y64" s="511"/>
      <c r="Z64" s="511"/>
      <c r="AA64" s="511"/>
      <c r="AB64" s="511"/>
      <c r="AC64" s="511"/>
      <c r="AD64" s="511"/>
      <c r="AE64" s="511"/>
      <c r="AF64" s="511"/>
      <c r="AG64" s="511"/>
      <c r="AH64" s="511"/>
      <c r="AI64" s="511"/>
      <c r="AJ64" s="511"/>
      <c r="AK64" s="511"/>
    </row>
    <row r="65" spans="1:37">
      <c r="E65" s="511"/>
      <c r="F65" s="511"/>
      <c r="G65" s="511"/>
      <c r="H65" s="511"/>
      <c r="I65" s="511"/>
      <c r="J65" s="511"/>
      <c r="K65" s="511"/>
      <c r="L65" s="511"/>
      <c r="M65" s="511"/>
      <c r="N65" s="511"/>
      <c r="O65" s="511"/>
      <c r="P65" s="511"/>
      <c r="Q65" s="511"/>
      <c r="R65" s="511"/>
      <c r="S65" s="511"/>
      <c r="T65" s="511"/>
      <c r="U65" s="511"/>
      <c r="W65" s="511"/>
      <c r="X65" s="511"/>
      <c r="Y65" s="511"/>
      <c r="Z65" s="511"/>
      <c r="AA65" s="511"/>
      <c r="AB65" s="511"/>
      <c r="AC65" s="511"/>
      <c r="AD65" s="511"/>
      <c r="AE65" s="511"/>
      <c r="AF65" s="511"/>
      <c r="AG65" s="511"/>
      <c r="AH65" s="511"/>
      <c r="AI65" s="511"/>
      <c r="AJ65" s="511"/>
      <c r="AK65" s="511"/>
    </row>
    <row r="66" spans="1:37">
      <c r="E66" s="511"/>
      <c r="F66" s="511"/>
      <c r="G66" s="511"/>
      <c r="H66" s="511"/>
      <c r="I66" s="511"/>
      <c r="J66" s="511"/>
      <c r="K66" s="511"/>
      <c r="L66" s="511"/>
      <c r="M66" s="511"/>
      <c r="N66" s="511"/>
      <c r="O66" s="511"/>
      <c r="P66" s="511"/>
      <c r="Q66" s="511"/>
      <c r="R66" s="511"/>
      <c r="S66" s="511"/>
      <c r="T66" s="511"/>
      <c r="U66" s="511"/>
      <c r="W66" s="511"/>
      <c r="X66" s="511"/>
      <c r="Y66" s="511"/>
      <c r="Z66" s="511"/>
      <c r="AA66" s="511"/>
      <c r="AB66" s="511"/>
      <c r="AC66" s="511"/>
      <c r="AD66" s="511"/>
      <c r="AE66" s="511"/>
      <c r="AF66" s="511"/>
      <c r="AG66" s="511"/>
      <c r="AH66" s="511"/>
      <c r="AI66" s="511"/>
      <c r="AJ66" s="511"/>
      <c r="AK66" s="511"/>
    </row>
    <row r="67" spans="1:37">
      <c r="E67" s="511"/>
      <c r="F67" s="511"/>
      <c r="G67" s="511"/>
      <c r="H67" s="511"/>
      <c r="I67" s="511"/>
      <c r="J67" s="511"/>
      <c r="K67" s="511"/>
      <c r="L67" s="511"/>
      <c r="M67" s="511"/>
      <c r="N67" s="511"/>
      <c r="O67" s="511"/>
      <c r="P67" s="511"/>
      <c r="Q67" s="511"/>
      <c r="R67" s="511"/>
      <c r="S67" s="511"/>
      <c r="T67" s="511"/>
      <c r="U67" s="511"/>
      <c r="W67" s="511"/>
      <c r="X67" s="511"/>
      <c r="Y67" s="511"/>
      <c r="Z67" s="511"/>
      <c r="AA67" s="511"/>
      <c r="AB67" s="511"/>
      <c r="AC67" s="511"/>
      <c r="AD67" s="511"/>
      <c r="AE67" s="511"/>
      <c r="AF67" s="511"/>
      <c r="AG67" s="511"/>
      <c r="AH67" s="511"/>
      <c r="AI67" s="511"/>
      <c r="AJ67" s="511"/>
      <c r="AK67" s="511"/>
    </row>
    <row r="68" spans="1:37">
      <c r="E68" s="511"/>
      <c r="F68" s="511"/>
      <c r="G68" s="511"/>
      <c r="H68" s="511"/>
      <c r="I68" s="511"/>
      <c r="J68" s="511"/>
      <c r="K68" s="511"/>
      <c r="L68" s="511"/>
      <c r="M68" s="511"/>
      <c r="N68" s="511"/>
      <c r="O68" s="511"/>
      <c r="P68" s="511"/>
      <c r="Q68" s="511"/>
      <c r="R68" s="511"/>
      <c r="S68" s="511"/>
      <c r="T68" s="511"/>
      <c r="U68" s="511"/>
      <c r="W68" s="511"/>
      <c r="X68" s="511"/>
      <c r="Y68" s="511"/>
      <c r="Z68" s="511"/>
      <c r="AA68" s="511"/>
      <c r="AB68" s="511"/>
      <c r="AC68" s="511"/>
      <c r="AD68" s="511"/>
      <c r="AE68" s="511"/>
      <c r="AF68" s="511"/>
      <c r="AG68" s="511"/>
      <c r="AH68" s="511"/>
      <c r="AI68" s="511"/>
      <c r="AJ68" s="511"/>
      <c r="AK68" s="511"/>
    </row>
    <row r="71" spans="1:37">
      <c r="A71" s="597" t="s">
        <v>27</v>
      </c>
      <c r="B71" s="597" t="s">
        <v>27</v>
      </c>
      <c r="C71" s="463"/>
      <c r="D71" s="597" t="s">
        <v>28</v>
      </c>
      <c r="E71" s="597" t="s">
        <v>29</v>
      </c>
      <c r="F71" s="597"/>
      <c r="G71" s="597"/>
      <c r="H71" s="597"/>
      <c r="I71" s="597"/>
      <c r="J71" s="597"/>
      <c r="K71" s="597"/>
      <c r="L71" s="597"/>
      <c r="M71" s="597"/>
      <c r="N71" s="597"/>
      <c r="O71" s="597"/>
      <c r="P71" s="597"/>
      <c r="Q71" s="597"/>
      <c r="R71" s="597"/>
    </row>
    <row r="72" spans="1:37" ht="28.5">
      <c r="A72" s="597"/>
      <c r="B72" s="597"/>
      <c r="C72" s="463"/>
      <c r="D72" s="597"/>
      <c r="E72" s="463" t="s">
        <v>30</v>
      </c>
      <c r="F72" s="463" t="s">
        <v>31</v>
      </c>
      <c r="G72" s="463" t="s">
        <v>32</v>
      </c>
      <c r="H72" s="463" t="s">
        <v>33</v>
      </c>
      <c r="I72" s="463" t="s">
        <v>34</v>
      </c>
      <c r="J72" s="463" t="s">
        <v>35</v>
      </c>
      <c r="K72" s="463" t="s">
        <v>36</v>
      </c>
      <c r="L72" s="463" t="s">
        <v>37</v>
      </c>
      <c r="M72" s="463" t="s">
        <v>38</v>
      </c>
      <c r="N72" s="463" t="s">
        <v>39</v>
      </c>
      <c r="O72" s="463" t="s">
        <v>40</v>
      </c>
      <c r="P72" s="463" t="s">
        <v>41</v>
      </c>
      <c r="Q72" s="463" t="s">
        <v>42</v>
      </c>
      <c r="R72" s="463" t="s">
        <v>43</v>
      </c>
    </row>
    <row r="73" spans="1:37">
      <c r="A73" s="591" t="s">
        <v>44</v>
      </c>
      <c r="B73" s="591" t="str">
        <f>+'Metas 1'!A38</f>
        <v>1. Diseñar el modelo de seguimiento y monitoreo del Sistema Distrital de Cuidado</v>
      </c>
      <c r="C73" s="594">
        <f>+C10-D73-D75</f>
        <v>0</v>
      </c>
      <c r="D73" s="592">
        <f>+'Metas 1'!B38</f>
        <v>0.05</v>
      </c>
      <c r="E73" s="466" t="s">
        <v>45</v>
      </c>
      <c r="F73" s="467">
        <f>+'Metas 1'!D38</f>
        <v>8.3299999999999999E-2</v>
      </c>
      <c r="G73" s="467">
        <f>+'Metas 1'!E38</f>
        <v>8.3299999999999999E-2</v>
      </c>
      <c r="H73" s="467">
        <f>+'Metas 1'!F38</f>
        <v>8.3299999999999999E-2</v>
      </c>
      <c r="I73" s="467">
        <f>+'Metas 1'!G38</f>
        <v>8.3299999999999999E-2</v>
      </c>
      <c r="J73" s="467">
        <f>+'Metas 1'!H38</f>
        <v>8.3299999999999999E-2</v>
      </c>
      <c r="K73" s="467">
        <f>+'Metas 1'!I38</f>
        <v>8.3299999999999999E-2</v>
      </c>
      <c r="L73" s="467">
        <f>+'Metas 1'!J38</f>
        <v>8.3299999999999999E-2</v>
      </c>
      <c r="M73" s="467">
        <f>+'Metas 1'!K38</f>
        <v>8.3299999999999999E-2</v>
      </c>
      <c r="N73" s="467">
        <f>+'Metas 1'!L38</f>
        <v>8.3299999999999999E-2</v>
      </c>
      <c r="O73" s="467">
        <f>+'Metas 1'!M38</f>
        <v>8.3299999999999999E-2</v>
      </c>
      <c r="P73" s="467">
        <f>+'Metas 1'!N38</f>
        <v>8.3299999999999999E-2</v>
      </c>
      <c r="Q73" s="467">
        <f>+'Metas 1'!O38</f>
        <v>8.3299999999999999E-2</v>
      </c>
      <c r="R73" s="467">
        <f t="shared" ref="R73:R84" si="5">SUM(F73:Q73)</f>
        <v>0.99960000000000016</v>
      </c>
      <c r="S73" s="515">
        <f>SUBTOTAL(9,F73:M73)</f>
        <v>0.66639999999999999</v>
      </c>
      <c r="T73" s="516">
        <f>+S74-S73</f>
        <v>0</v>
      </c>
    </row>
    <row r="74" spans="1:37">
      <c r="A74" s="591"/>
      <c r="B74" s="591"/>
      <c r="C74" s="595"/>
      <c r="D74" s="593"/>
      <c r="E74" s="468" t="s">
        <v>46</v>
      </c>
      <c r="F74" s="517">
        <f>+'Metas 1'!D39</f>
        <v>8.3299999999999999E-2</v>
      </c>
      <c r="G74" s="517">
        <f>+'Metas 1'!E39</f>
        <v>8.3299999999999999E-2</v>
      </c>
      <c r="H74" s="517">
        <f>+'Metas 1'!F39</f>
        <v>8.3299999999999999E-2</v>
      </c>
      <c r="I74" s="517">
        <f>+'Metas 1'!G39</f>
        <v>8.3299999999999999E-2</v>
      </c>
      <c r="J74" s="517">
        <f>+'Metas 1'!H39</f>
        <v>8.3299999999999999E-2</v>
      </c>
      <c r="K74" s="517">
        <f>+'Metas 1'!I39</f>
        <v>8.3299999999999999E-2</v>
      </c>
      <c r="L74" s="518">
        <f>+'Metas 1'!J39</f>
        <v>8.3299999999999999E-2</v>
      </c>
      <c r="M74" s="518">
        <f>+'Metas 1'!K39</f>
        <v>8.3299999999999999E-2</v>
      </c>
      <c r="N74" s="518">
        <f>+'Metas 1'!L39</f>
        <v>8.3299999999999999E-2</v>
      </c>
      <c r="O74" s="518">
        <f>+'Metas 1'!M39</f>
        <v>8.3299999999999999E-2</v>
      </c>
      <c r="P74" s="518">
        <f>+'Metas 1'!N39</f>
        <v>8.3299999999999999E-2</v>
      </c>
      <c r="Q74" s="518">
        <f>+'Metas 1'!O39</f>
        <v>0</v>
      </c>
      <c r="R74" s="519">
        <f t="shared" si="5"/>
        <v>0.91630000000000011</v>
      </c>
      <c r="S74" s="515">
        <f t="shared" ref="S74:S112" si="6">SUBTOTAL(9,F74:M74)</f>
        <v>0.66639999999999999</v>
      </c>
      <c r="T74" s="516">
        <f>+S74-S73</f>
        <v>0</v>
      </c>
    </row>
    <row r="75" spans="1:37" ht="15" customHeight="1">
      <c r="A75" s="591" t="s">
        <v>44</v>
      </c>
      <c r="B75" s="591" t="str">
        <f>+'Metas 1'!A40</f>
        <v>2. Consolidar el documento de desarrollo técnico del Sistema Distrital de Cuidado</v>
      </c>
      <c r="C75" s="595"/>
      <c r="D75" s="592">
        <f>+'Metas 1'!B40</f>
        <v>0.05</v>
      </c>
      <c r="E75" s="466" t="s">
        <v>45</v>
      </c>
      <c r="F75" s="467">
        <f>+'Metas 1'!D40</f>
        <v>0.1</v>
      </c>
      <c r="G75" s="467">
        <f>+'Metas 1'!E40</f>
        <v>0.1</v>
      </c>
      <c r="H75" s="467">
        <f>+'Metas 1'!F40</f>
        <v>0.1</v>
      </c>
      <c r="I75" s="467">
        <f>+'Metas 1'!G40</f>
        <v>0.1</v>
      </c>
      <c r="J75" s="467">
        <f>+'Metas 1'!H40</f>
        <v>0.1</v>
      </c>
      <c r="K75" s="467">
        <f>+'Metas 1'!I40</f>
        <v>0.1</v>
      </c>
      <c r="L75" s="467">
        <f>+'Metas 1'!J40</f>
        <v>6.6600000000000006E-2</v>
      </c>
      <c r="M75" s="467">
        <f>+'Metas 1'!K40</f>
        <v>6.6600000000000006E-2</v>
      </c>
      <c r="N75" s="467">
        <f>+'Metas 1'!L40</f>
        <v>6.6600000000000006E-2</v>
      </c>
      <c r="O75" s="467">
        <f>+'Metas 1'!M40</f>
        <v>6.6600000000000006E-2</v>
      </c>
      <c r="P75" s="467">
        <f>+'Metas 1'!N40</f>
        <v>6.6600000000000006E-2</v>
      </c>
      <c r="Q75" s="467">
        <f>+'Metas 1'!O40</f>
        <v>6.6600000000000006E-2</v>
      </c>
      <c r="R75" s="467">
        <f t="shared" si="5"/>
        <v>0.99959999999999993</v>
      </c>
      <c r="S75" s="515">
        <f t="shared" si="6"/>
        <v>0.73319999999999996</v>
      </c>
      <c r="T75" s="516">
        <f>+S76-S75</f>
        <v>1.0000000000010001E-4</v>
      </c>
    </row>
    <row r="76" spans="1:37">
      <c r="A76" s="591"/>
      <c r="B76" s="591"/>
      <c r="C76" s="596"/>
      <c r="D76" s="593"/>
      <c r="E76" s="468" t="s">
        <v>46</v>
      </c>
      <c r="F76" s="517">
        <f>+'Metas 1'!D41</f>
        <v>0.1</v>
      </c>
      <c r="G76" s="517">
        <f>+'Metas 1'!E41</f>
        <v>0.1</v>
      </c>
      <c r="H76" s="517">
        <f>+'Metas 1'!F41</f>
        <v>0.1</v>
      </c>
      <c r="I76" s="517">
        <f>+'Metas 1'!G41</f>
        <v>0.1</v>
      </c>
      <c r="J76" s="517">
        <f>+'Metas 1'!H41</f>
        <v>0</v>
      </c>
      <c r="K76" s="517">
        <f>+'Metas 1'!I41</f>
        <v>0.05</v>
      </c>
      <c r="L76" s="518">
        <f>+'Metas 1'!J41</f>
        <v>0.2</v>
      </c>
      <c r="M76" s="518">
        <f>+'Metas 1'!K41</f>
        <v>8.3299999999999999E-2</v>
      </c>
      <c r="N76" s="518">
        <f>+'Metas 1'!L41</f>
        <v>7.0000000000000007E-2</v>
      </c>
      <c r="O76" s="518">
        <f>+'Metas 1'!M41</f>
        <v>7.0000000000000007E-2</v>
      </c>
      <c r="P76" s="518">
        <f>+'Metas 1'!N41</f>
        <v>7.0000000000000007E-2</v>
      </c>
      <c r="Q76" s="518">
        <f>+'Metas 1'!O41</f>
        <v>0</v>
      </c>
      <c r="R76" s="519">
        <f t="shared" si="5"/>
        <v>0.94330000000000025</v>
      </c>
      <c r="S76" s="515">
        <f t="shared" si="6"/>
        <v>0.73330000000000006</v>
      </c>
      <c r="T76" s="516">
        <f>+S76-S75</f>
        <v>1.0000000000010001E-4</v>
      </c>
    </row>
    <row r="77" spans="1:37">
      <c r="A77" s="591" t="s">
        <v>47</v>
      </c>
      <c r="B77" s="591" t="str">
        <f>+'Metas 2'!A38</f>
        <v>3. Convocar y gestionar las sesiones de la Comisión Intersectorial del Sistema de Cuidado según lo establecido en el Decreto 237 de 2020</v>
      </c>
      <c r="C77" s="594">
        <f>+C16-D77-D79-D81</f>
        <v>0</v>
      </c>
      <c r="D77" s="592">
        <f>+'Metas 2'!B38</f>
        <v>0.05</v>
      </c>
      <c r="E77" s="466" t="s">
        <v>45</v>
      </c>
      <c r="F77" s="467">
        <f>+'Metas 2'!D38</f>
        <v>0</v>
      </c>
      <c r="G77" s="467">
        <f>+'Metas 2'!E38</f>
        <v>0</v>
      </c>
      <c r="H77" s="467">
        <f>+'Metas 2'!F38</f>
        <v>0.25</v>
      </c>
      <c r="I77" s="467">
        <f>+'Metas 2'!G38</f>
        <v>0</v>
      </c>
      <c r="J77" s="467">
        <f>+'Metas 2'!H38</f>
        <v>0</v>
      </c>
      <c r="K77" s="467">
        <f>+'Metas 2'!I38</f>
        <v>0.25</v>
      </c>
      <c r="L77" s="467">
        <f>+'Metas 2'!J38</f>
        <v>0</v>
      </c>
      <c r="M77" s="467">
        <f>+'Metas 2'!K38</f>
        <v>0</v>
      </c>
      <c r="N77" s="467">
        <f>+'Metas 2'!L38</f>
        <v>0.25</v>
      </c>
      <c r="O77" s="467">
        <f>+'Metas 2'!M38</f>
        <v>0</v>
      </c>
      <c r="P77" s="467">
        <f>+'Metas 2'!N38</f>
        <v>0</v>
      </c>
      <c r="Q77" s="467">
        <f>+'Metas 2'!O38</f>
        <v>0.25</v>
      </c>
      <c r="R77" s="467">
        <f>+'Metas 2'!P38</f>
        <v>1</v>
      </c>
      <c r="S77" s="515">
        <f t="shared" si="6"/>
        <v>0.5</v>
      </c>
      <c r="T77" s="516">
        <f>+S78-S77</f>
        <v>3.0000000000000027E-2</v>
      </c>
    </row>
    <row r="78" spans="1:37">
      <c r="A78" s="591"/>
      <c r="B78" s="591"/>
      <c r="C78" s="595"/>
      <c r="D78" s="593"/>
      <c r="E78" s="468" t="s">
        <v>46</v>
      </c>
      <c r="F78" s="517">
        <f>+'Metas 2'!D39</f>
        <v>0</v>
      </c>
      <c r="G78" s="517">
        <f>+'Metas 2'!E39</f>
        <v>0.2</v>
      </c>
      <c r="H78" s="517">
        <f>+'Metas 2'!F39</f>
        <v>0.05</v>
      </c>
      <c r="I78" s="517">
        <f>+'Metas 2'!G39</f>
        <v>0</v>
      </c>
      <c r="J78" s="517">
        <f>+'Metas 2'!H39</f>
        <v>0</v>
      </c>
      <c r="K78" s="517">
        <f>+'Metas 2'!I39</f>
        <v>0.1</v>
      </c>
      <c r="L78" s="518">
        <f>+'Metas 2'!J39</f>
        <v>0.15</v>
      </c>
      <c r="M78" s="518">
        <f>+'Metas 2'!K39</f>
        <v>0.03</v>
      </c>
      <c r="N78" s="518">
        <f>+'Metas 2'!L39</f>
        <v>0.05</v>
      </c>
      <c r="O78" s="518">
        <f>+'Metas 2'!M39</f>
        <v>0.15</v>
      </c>
      <c r="P78" s="518">
        <f>+'Metas 2'!N39</f>
        <v>0.03</v>
      </c>
      <c r="Q78" s="518">
        <f>+'Metas 2'!O39</f>
        <v>0</v>
      </c>
      <c r="R78" s="519">
        <f>+'Metas 2'!P39</f>
        <v>0.76000000000000012</v>
      </c>
      <c r="S78" s="515">
        <f t="shared" si="6"/>
        <v>0.53</v>
      </c>
      <c r="T78" s="516">
        <f>+S78-S77</f>
        <v>3.0000000000000027E-2</v>
      </c>
    </row>
    <row r="79" spans="1:37">
      <c r="A79" s="591" t="s">
        <v>47</v>
      </c>
      <c r="B79" s="591" t="str">
        <f>+'Metas 2'!A40</f>
        <v>4. Hacer seguimiento a los acuerdos de la Comisión Intersectorial del Sistema de Cuidado (UTA)</v>
      </c>
      <c r="C79" s="595"/>
      <c r="D79" s="592">
        <f>+'Metas 2'!B40</f>
        <v>0.05</v>
      </c>
      <c r="E79" s="466" t="s">
        <v>45</v>
      </c>
      <c r="F79" s="467">
        <f>+'Metas 2'!D40</f>
        <v>8.3299999999999999E-2</v>
      </c>
      <c r="G79" s="467">
        <f>+'Metas 2'!E40</f>
        <v>8.3299999999999999E-2</v>
      </c>
      <c r="H79" s="467">
        <f>+'Metas 2'!F40</f>
        <v>8.3299999999999999E-2</v>
      </c>
      <c r="I79" s="467">
        <f>+'Metas 2'!G40</f>
        <v>8.3299999999999999E-2</v>
      </c>
      <c r="J79" s="467">
        <f>+'Metas 2'!H40</f>
        <v>8.3299999999999999E-2</v>
      </c>
      <c r="K79" s="467">
        <f>+'Metas 2'!I40</f>
        <v>8.3299999999999999E-2</v>
      </c>
      <c r="L79" s="467">
        <f>+'Metas 2'!J40</f>
        <v>8.3299999999999999E-2</v>
      </c>
      <c r="M79" s="467">
        <f>+'Metas 2'!K40</f>
        <v>8.3299999999999999E-2</v>
      </c>
      <c r="N79" s="467">
        <f>+'Metas 2'!L40</f>
        <v>8.3299999999999999E-2</v>
      </c>
      <c r="O79" s="467">
        <f>+'Metas 2'!M40</f>
        <v>8.3299999999999999E-2</v>
      </c>
      <c r="P79" s="467">
        <f>+'Metas 2'!N40</f>
        <v>8.3299999999999999E-2</v>
      </c>
      <c r="Q79" s="467">
        <f>+'Metas 2'!O40</f>
        <v>8.3299999999999999E-2</v>
      </c>
      <c r="R79" s="467">
        <f>+'Metas 2'!P40</f>
        <v>0.99960000000000016</v>
      </c>
      <c r="S79" s="515">
        <f t="shared" si="6"/>
        <v>0.66639999999999999</v>
      </c>
      <c r="T79" s="516">
        <f>+S80-S79</f>
        <v>3.4000000000000696E-3</v>
      </c>
    </row>
    <row r="80" spans="1:37">
      <c r="A80" s="591"/>
      <c r="B80" s="591"/>
      <c r="C80" s="595"/>
      <c r="D80" s="593"/>
      <c r="E80" s="468" t="s">
        <v>46</v>
      </c>
      <c r="F80" s="517">
        <f>+'Metas 2'!D41</f>
        <v>8.3299999999999999E-2</v>
      </c>
      <c r="G80" s="517">
        <f>+'Metas 2'!E41</f>
        <v>7.0000000000000007E-2</v>
      </c>
      <c r="H80" s="517">
        <f>+'Metas 2'!F41</f>
        <v>0.1</v>
      </c>
      <c r="I80" s="517">
        <f>+'Metas 2'!G41</f>
        <v>8.3299999999999999E-2</v>
      </c>
      <c r="J80" s="517">
        <f>+'Metas 2'!H41</f>
        <v>8.3299999999999999E-2</v>
      </c>
      <c r="K80" s="517">
        <f>+'Metas 2'!I41</f>
        <v>8.3299999999999999E-2</v>
      </c>
      <c r="L80" s="518">
        <f>+'Metas 2'!J41</f>
        <v>8.3299999999999999E-2</v>
      </c>
      <c r="M80" s="518">
        <f>+'Metas 2'!K41</f>
        <v>8.3299999999999999E-2</v>
      </c>
      <c r="N80" s="518">
        <f>+'Metas 2'!L41</f>
        <v>8.3299999999999999E-2</v>
      </c>
      <c r="O80" s="518">
        <f>+'Metas 2'!M41</f>
        <v>7.0000000000000007E-2</v>
      </c>
      <c r="P80" s="518">
        <f>+'Metas 2'!N41</f>
        <v>0.09</v>
      </c>
      <c r="Q80" s="518">
        <f>+'Metas 2'!O41</f>
        <v>0</v>
      </c>
      <c r="R80" s="519">
        <f>+'Metas 2'!P41</f>
        <v>0.91310000000000013</v>
      </c>
      <c r="S80" s="515">
        <f t="shared" si="6"/>
        <v>0.66980000000000006</v>
      </c>
      <c r="T80" s="516">
        <f>+S80-S79</f>
        <v>3.4000000000000696E-3</v>
      </c>
    </row>
    <row r="81" spans="1:20">
      <c r="A81" s="591" t="s">
        <v>47</v>
      </c>
      <c r="B81" s="591" t="str">
        <f>+'Metas 2'!A42</f>
        <v>5. Adelantar dos sesiones del mecanismo de participación y seguimiento de la Comisión Intersectorial del Sistema de Cuidado (Dec. 237 2020)</v>
      </c>
      <c r="C81" s="595"/>
      <c r="D81" s="592">
        <f>+'Metas 2'!B42</f>
        <v>0.05</v>
      </c>
      <c r="E81" s="466" t="s">
        <v>45</v>
      </c>
      <c r="F81" s="467">
        <f>+'Metas 2'!D42</f>
        <v>0</v>
      </c>
      <c r="G81" s="467">
        <f>+'Metas 2'!E42</f>
        <v>0</v>
      </c>
      <c r="H81" s="467">
        <f>+'Metas 2'!F42</f>
        <v>0</v>
      </c>
      <c r="I81" s="467">
        <f>+'Metas 2'!G42</f>
        <v>0</v>
      </c>
      <c r="J81" s="467">
        <f>+'Metas 2'!H42</f>
        <v>0</v>
      </c>
      <c r="K81" s="467">
        <f>+'Metas 2'!I42</f>
        <v>0.5</v>
      </c>
      <c r="L81" s="467">
        <f>+'Metas 2'!J42</f>
        <v>0</v>
      </c>
      <c r="M81" s="467">
        <f>+'Metas 2'!K42</f>
        <v>0</v>
      </c>
      <c r="N81" s="467">
        <f>+'Metas 2'!L42</f>
        <v>0</v>
      </c>
      <c r="O81" s="467">
        <f>+'Metas 2'!M42</f>
        <v>0</v>
      </c>
      <c r="P81" s="467">
        <f>+'Metas 2'!N42</f>
        <v>0.5</v>
      </c>
      <c r="Q81" s="467">
        <f>+'Metas 2'!O42</f>
        <v>0</v>
      </c>
      <c r="R81" s="467">
        <f>+'Metas 2'!P42</f>
        <v>1</v>
      </c>
      <c r="S81" s="515">
        <f t="shared" si="6"/>
        <v>0.5</v>
      </c>
      <c r="T81" s="516">
        <f>+S82-S81</f>
        <v>3.0000000000000027E-2</v>
      </c>
    </row>
    <row r="82" spans="1:20">
      <c r="A82" s="591"/>
      <c r="B82" s="591"/>
      <c r="C82" s="596"/>
      <c r="D82" s="593"/>
      <c r="E82" s="468" t="s">
        <v>46</v>
      </c>
      <c r="F82" s="517">
        <f>+'Metas 2'!D43</f>
        <v>0</v>
      </c>
      <c r="G82" s="517">
        <f>+'Metas 2'!E43</f>
        <v>0</v>
      </c>
      <c r="H82" s="517">
        <f>+'Metas 2'!F43</f>
        <v>0</v>
      </c>
      <c r="I82" s="517">
        <f>+'Metas 2'!G43</f>
        <v>0</v>
      </c>
      <c r="J82" s="517">
        <f>+'Metas 2'!H43</f>
        <v>0</v>
      </c>
      <c r="K82" s="517">
        <f>+'Metas 2'!I43</f>
        <v>0.2</v>
      </c>
      <c r="L82" s="518">
        <f>+'Metas 2'!J43</f>
        <v>0.3</v>
      </c>
      <c r="M82" s="518">
        <f>+'Metas 2'!K43</f>
        <v>0.03</v>
      </c>
      <c r="N82" s="518">
        <f>+'Metas 2'!L43</f>
        <v>0</v>
      </c>
      <c r="O82" s="518">
        <f>+'Metas 2'!M43</f>
        <v>0.15</v>
      </c>
      <c r="P82" s="518">
        <f>+'Metas 2'!N43</f>
        <v>0.28000000000000003</v>
      </c>
      <c r="Q82" s="518">
        <f>+'Metas 2'!O43</f>
        <v>0</v>
      </c>
      <c r="R82" s="519">
        <f>+'Metas 2'!P43</f>
        <v>0.96000000000000008</v>
      </c>
      <c r="S82" s="515">
        <f t="shared" si="6"/>
        <v>0.53</v>
      </c>
      <c r="T82" s="516">
        <f>+S82-S81</f>
        <v>3.0000000000000027E-2</v>
      </c>
    </row>
    <row r="83" spans="1:20">
      <c r="A83" s="591" t="s">
        <v>48</v>
      </c>
      <c r="B83" s="591" t="str">
        <f>+'Metas 3'!A38</f>
        <v xml:space="preserve">6. Implementar actividades de difusión del programa de Sistema de Cuidado con ciudadanos y actores territoriales </v>
      </c>
      <c r="C83" s="594">
        <f>+C22-D83-D85-D87</f>
        <v>0</v>
      </c>
      <c r="D83" s="592">
        <f>+'Metas 3'!B38</f>
        <v>0.05</v>
      </c>
      <c r="E83" s="466" t="s">
        <v>45</v>
      </c>
      <c r="F83" s="467">
        <f>+'Metas 3'!D38</f>
        <v>8.3333333333333343E-2</v>
      </c>
      <c r="G83" s="467">
        <f>+'Metas 3'!E38</f>
        <v>8.3333333333333343E-2</v>
      </c>
      <c r="H83" s="467">
        <f>+'Metas 3'!F38</f>
        <v>8.3333333333333343E-2</v>
      </c>
      <c r="I83" s="467">
        <f>+'Metas 3'!G38</f>
        <v>8.3333333333333343E-2</v>
      </c>
      <c r="J83" s="467">
        <f>+'Metas 3'!H38</f>
        <v>8.3333333333333343E-2</v>
      </c>
      <c r="K83" s="467">
        <f>+'Metas 3'!I38</f>
        <v>8.3333333333333343E-2</v>
      </c>
      <c r="L83" s="467">
        <f>+'Metas 3'!J38</f>
        <v>8.3333333333333343E-2</v>
      </c>
      <c r="M83" s="467">
        <f>+'Metas 3'!K38</f>
        <v>8.3333333333333343E-2</v>
      </c>
      <c r="N83" s="467">
        <f>+'Metas 3'!L38</f>
        <v>8.3333333333333343E-2</v>
      </c>
      <c r="O83" s="467">
        <f>+'Metas 3'!M38</f>
        <v>8.3333333333333343E-2</v>
      </c>
      <c r="P83" s="467">
        <f>+'Metas 3'!N38</f>
        <v>8.3333333333333343E-2</v>
      </c>
      <c r="Q83" s="467">
        <f>+'Metas 3'!O38</f>
        <v>8.3333333333333343E-2</v>
      </c>
      <c r="R83" s="467">
        <f t="shared" si="5"/>
        <v>1.0000000000000002</v>
      </c>
      <c r="S83" s="515">
        <f t="shared" si="6"/>
        <v>0.66666666666666685</v>
      </c>
      <c r="T83" s="516">
        <f>+S84-S83</f>
        <v>0</v>
      </c>
    </row>
    <row r="84" spans="1:20">
      <c r="A84" s="591"/>
      <c r="B84" s="591"/>
      <c r="C84" s="595"/>
      <c r="D84" s="593"/>
      <c r="E84" s="468" t="s">
        <v>46</v>
      </c>
      <c r="F84" s="517">
        <f>+'Metas 3'!D39</f>
        <v>8.3333333333333343E-2</v>
      </c>
      <c r="G84" s="517">
        <f>+'Metas 3'!E39</f>
        <v>8.3333333333333343E-2</v>
      </c>
      <c r="H84" s="517">
        <f>+'Metas 3'!F39</f>
        <v>8.3333333333333343E-2</v>
      </c>
      <c r="I84" s="517">
        <f>+'Metas 3'!G39</f>
        <v>8.3333333333333343E-2</v>
      </c>
      <c r="J84" s="517">
        <f>+'Metas 3'!H39</f>
        <v>8.3333333333333343E-2</v>
      </c>
      <c r="K84" s="517">
        <f>+'Metas 3'!I39</f>
        <v>8.3333333333333343E-2</v>
      </c>
      <c r="L84" s="518">
        <f>+'Metas 3'!J39</f>
        <v>8.3333333333333343E-2</v>
      </c>
      <c r="M84" s="518">
        <f>+'Metas 3'!K39</f>
        <v>8.3333333333333343E-2</v>
      </c>
      <c r="N84" s="518">
        <f>+'Metas 3'!L39</f>
        <v>8.3333333333333343E-2</v>
      </c>
      <c r="O84" s="518">
        <f>+'Metas 3'!M39</f>
        <v>8.3333333333333343E-2</v>
      </c>
      <c r="P84" s="518">
        <f>+'Metas 3'!N39</f>
        <v>8.3333333333333343E-2</v>
      </c>
      <c r="Q84" s="518">
        <f>+'Metas 3'!O39</f>
        <v>0</v>
      </c>
      <c r="R84" s="519">
        <f t="shared" si="5"/>
        <v>0.91666666666666696</v>
      </c>
      <c r="S84" s="515">
        <f t="shared" si="6"/>
        <v>0.66666666666666685</v>
      </c>
      <c r="T84" s="516">
        <f>+S84-S83</f>
        <v>0</v>
      </c>
    </row>
    <row r="85" spans="1:20">
      <c r="A85" s="591" t="s">
        <v>48</v>
      </c>
      <c r="B85" s="591" t="str">
        <f>+'Metas 3'!A40</f>
        <v>7. Articular las acciones intersectoriales para la puesta en operación de siete (7) manzanas del cuidado</v>
      </c>
      <c r="C85" s="595"/>
      <c r="D85" s="592">
        <f>+'Metas 3'!B40</f>
        <v>0.05</v>
      </c>
      <c r="E85" s="466" t="s">
        <v>45</v>
      </c>
      <c r="F85" s="467">
        <f>+'Metas 3'!D40</f>
        <v>8.3333333333333343E-2</v>
      </c>
      <c r="G85" s="467">
        <f>+'Metas 3'!E40</f>
        <v>8.3333333333333343E-2</v>
      </c>
      <c r="H85" s="467">
        <f>+'Metas 3'!F40</f>
        <v>8.3333333333333343E-2</v>
      </c>
      <c r="I85" s="467">
        <f>+'Metas 3'!G40</f>
        <v>8.3333333333333343E-2</v>
      </c>
      <c r="J85" s="467">
        <f>+'Metas 3'!H40</f>
        <v>8.3333333333333343E-2</v>
      </c>
      <c r="K85" s="467">
        <f>+'Metas 3'!I40</f>
        <v>8.3333333333333343E-2</v>
      </c>
      <c r="L85" s="467">
        <f>+'Metas 3'!J40</f>
        <v>8.3333333333333343E-2</v>
      </c>
      <c r="M85" s="467">
        <f>+'Metas 3'!K40</f>
        <v>8.3333333333333343E-2</v>
      </c>
      <c r="N85" s="467">
        <f>+'Metas 3'!L40</f>
        <v>8.3333333333333301E-2</v>
      </c>
      <c r="O85" s="467">
        <f>+'Metas 3'!M40</f>
        <v>8.3333333333333343E-2</v>
      </c>
      <c r="P85" s="467">
        <f>+'Metas 3'!N40</f>
        <v>8.3333333333333343E-2</v>
      </c>
      <c r="Q85" s="467">
        <f>+'Metas 3'!O40</f>
        <v>8.3333333333333343E-2</v>
      </c>
      <c r="R85" s="467">
        <f t="shared" ref="R85:R94" si="7">SUM(F85:Q85)</f>
        <v>1.0000000000000002</v>
      </c>
      <c r="S85" s="515">
        <f t="shared" si="6"/>
        <v>0.66666666666666685</v>
      </c>
      <c r="T85" s="516">
        <f>+S86-S85</f>
        <v>0</v>
      </c>
    </row>
    <row r="86" spans="1:20">
      <c r="A86" s="591"/>
      <c r="B86" s="591"/>
      <c r="C86" s="595"/>
      <c r="D86" s="593"/>
      <c r="E86" s="468" t="s">
        <v>46</v>
      </c>
      <c r="F86" s="517">
        <f>+'Metas 3'!D41</f>
        <v>8.3333333333333343E-2</v>
      </c>
      <c r="G86" s="517">
        <f>+'Metas 3'!E41</f>
        <v>8.3333333333333343E-2</v>
      </c>
      <c r="H86" s="517">
        <f>+'Metas 3'!F41</f>
        <v>8.3333333333333343E-2</v>
      </c>
      <c r="I86" s="517">
        <f>+'Metas 3'!G41</f>
        <v>8.3333333333333343E-2</v>
      </c>
      <c r="J86" s="517">
        <f>+'Metas 3'!H41</f>
        <v>8.3333333333333343E-2</v>
      </c>
      <c r="K86" s="517">
        <f>+'Metas 3'!I41</f>
        <v>8.3333333333333343E-2</v>
      </c>
      <c r="L86" s="518">
        <f>+'Metas 3'!J41</f>
        <v>8.3333333333333343E-2</v>
      </c>
      <c r="M86" s="518">
        <f>+'Metas 3'!K41</f>
        <v>8.3333333333333343E-2</v>
      </c>
      <c r="N86" s="518">
        <f>+'Metas 3'!L41</f>
        <v>8.3333333333333343E-2</v>
      </c>
      <c r="O86" s="518">
        <f>+'Metas 3'!M41</f>
        <v>8.3333333333333343E-2</v>
      </c>
      <c r="P86" s="518">
        <f>+'Metas 3'!N41</f>
        <v>8.3333333333333343E-2</v>
      </c>
      <c r="Q86" s="518">
        <f>+'Metas 3'!O41</f>
        <v>0</v>
      </c>
      <c r="R86" s="519">
        <f t="shared" si="7"/>
        <v>0.91666666666666696</v>
      </c>
      <c r="S86" s="515">
        <f t="shared" si="6"/>
        <v>0.66666666666666685</v>
      </c>
      <c r="T86" s="516">
        <f>+S86-S85</f>
        <v>0</v>
      </c>
    </row>
    <row r="87" spans="1:20">
      <c r="A87" s="591" t="s">
        <v>48</v>
      </c>
      <c r="B87" s="591" t="str">
        <f>+'Metas 3'!A42</f>
        <v>8. Monitorear las acciones intersectoriales de 14 manzanas del cuidado</v>
      </c>
      <c r="C87" s="595"/>
      <c r="D87" s="592">
        <f>+'Metas 3'!B42</f>
        <v>0.05</v>
      </c>
      <c r="E87" s="466" t="s">
        <v>45</v>
      </c>
      <c r="F87" s="467">
        <f>+'Metas 3'!D42</f>
        <v>8.3333333333333343E-2</v>
      </c>
      <c r="G87" s="467">
        <f>+'Metas 3'!E42</f>
        <v>8.3333333333333343E-2</v>
      </c>
      <c r="H87" s="467">
        <f>+'Metas 3'!F42</f>
        <v>8.3333333333333343E-2</v>
      </c>
      <c r="I87" s="467">
        <f>+'Metas 3'!G42</f>
        <v>8.3333333333333343E-2</v>
      </c>
      <c r="J87" s="467">
        <f>+'Metas 3'!H42</f>
        <v>8.3333333333333343E-2</v>
      </c>
      <c r="K87" s="467">
        <f>+'Metas 3'!I42</f>
        <v>8.3333333333333343E-2</v>
      </c>
      <c r="L87" s="467">
        <f>+'Metas 3'!J42</f>
        <v>8.3333333333333343E-2</v>
      </c>
      <c r="M87" s="467">
        <f>+'Metas 3'!K42</f>
        <v>8.3333333333333343E-2</v>
      </c>
      <c r="N87" s="467">
        <f>+'Metas 3'!L42</f>
        <v>8.3333333333333343E-2</v>
      </c>
      <c r="O87" s="467">
        <f>+'Metas 3'!M42</f>
        <v>8.3333333333333301E-2</v>
      </c>
      <c r="P87" s="467">
        <f>+'Metas 3'!N42</f>
        <v>8.3333333333333343E-2</v>
      </c>
      <c r="Q87" s="467">
        <f>+'Metas 3'!O42</f>
        <v>8.3333333333333343E-2</v>
      </c>
      <c r="R87" s="467">
        <f t="shared" si="7"/>
        <v>1.0000000000000002</v>
      </c>
      <c r="S87" s="515">
        <f t="shared" si="6"/>
        <v>0.66666666666666685</v>
      </c>
      <c r="T87" s="516">
        <f>+S88-S87</f>
        <v>-6.6666666666667096E-3</v>
      </c>
    </row>
    <row r="88" spans="1:20">
      <c r="A88" s="591"/>
      <c r="B88" s="591"/>
      <c r="C88" s="596"/>
      <c r="D88" s="593"/>
      <c r="E88" s="468" t="s">
        <v>46</v>
      </c>
      <c r="F88" s="517">
        <f>+'Metas 3'!D43</f>
        <v>0</v>
      </c>
      <c r="G88" s="517">
        <f>+'Metas 3'!E43</f>
        <v>8.3333333333333343E-2</v>
      </c>
      <c r="H88" s="517">
        <f>+'Metas 3'!F43</f>
        <v>0.16</v>
      </c>
      <c r="I88" s="517">
        <f>+'Metas 3'!G43</f>
        <v>8.3333333333333343E-2</v>
      </c>
      <c r="J88" s="517">
        <f>+'Metas 3'!H43</f>
        <v>8.3333333333333343E-2</v>
      </c>
      <c r="K88" s="517">
        <f>+'Metas 3'!I43</f>
        <v>8.3333333333333343E-2</v>
      </c>
      <c r="L88" s="518">
        <f>+'Metas 3'!J43</f>
        <v>8.3333333333333343E-2</v>
      </c>
      <c r="M88" s="518">
        <f>+'Metas 3'!K43</f>
        <v>8.3333333333333343E-2</v>
      </c>
      <c r="N88" s="518">
        <f>+'Metas 3'!L43</f>
        <v>8.3333333333333343E-2</v>
      </c>
      <c r="O88" s="518">
        <f>+'Metas 3'!M43</f>
        <v>8.3333333333333343E-2</v>
      </c>
      <c r="P88" s="518">
        <f>+'Metas 3'!N43</f>
        <v>8.3333333333333343E-2</v>
      </c>
      <c r="Q88" s="518">
        <f>+'Metas 3'!O43</f>
        <v>0</v>
      </c>
      <c r="R88" s="519">
        <f t="shared" si="7"/>
        <v>0.91000000000000025</v>
      </c>
      <c r="S88" s="515">
        <f t="shared" si="6"/>
        <v>0.66000000000000014</v>
      </c>
      <c r="T88" s="516">
        <f>+S88-S87</f>
        <v>-6.6666666666667096E-3</v>
      </c>
    </row>
    <row r="89" spans="1:20">
      <c r="A89" s="591" t="s">
        <v>49</v>
      </c>
      <c r="B89" s="591" t="str">
        <f>+'Metas 4 (Contrato relevos)'!A38</f>
        <v>9. Implementar el componente de formación para cuidadoras</v>
      </c>
      <c r="C89" s="594">
        <f>+C28-D89-D91-D93</f>
        <v>0</v>
      </c>
      <c r="D89" s="592">
        <f>+'Metas 4 (Contrato relevos)'!B38</f>
        <v>0.05</v>
      </c>
      <c r="E89" s="466" t="s">
        <v>45</v>
      </c>
      <c r="F89" s="467">
        <f>+'Metas 4 (Contrato relevos)'!D38</f>
        <v>0.1</v>
      </c>
      <c r="G89" s="467">
        <f>+'Metas 4 (Contrato relevos)'!E38</f>
        <v>0.1</v>
      </c>
      <c r="H89" s="467">
        <f>+'Metas 4 (Contrato relevos)'!F38</f>
        <v>0.1</v>
      </c>
      <c r="I89" s="467">
        <f>+'Metas 4 (Contrato relevos)'!G38</f>
        <v>7.7777777777777779E-2</v>
      </c>
      <c r="J89" s="467">
        <f>+'Metas 4 (Contrato relevos)'!H38</f>
        <v>7.7777777777777779E-2</v>
      </c>
      <c r="K89" s="467">
        <f>+'Metas 4 (Contrato relevos)'!I38</f>
        <v>7.7777777777777779E-2</v>
      </c>
      <c r="L89" s="467">
        <f>+'Metas 4 (Contrato relevos)'!J38</f>
        <v>7.7777777777777779E-2</v>
      </c>
      <c r="M89" s="467">
        <f>+'Metas 4 (Contrato relevos)'!K38</f>
        <v>7.7777777777777779E-2</v>
      </c>
      <c r="N89" s="467">
        <f>+'Metas 4 (Contrato relevos)'!L38</f>
        <v>7.7777777777777779E-2</v>
      </c>
      <c r="O89" s="467">
        <f>+'Metas 4 (Contrato relevos)'!M38</f>
        <v>7.7777777777777779E-2</v>
      </c>
      <c r="P89" s="467">
        <f>+'Metas 4 (Contrato relevos)'!N38</f>
        <v>7.7777777777777779E-2</v>
      </c>
      <c r="Q89" s="467">
        <f>+'Metas 4 (Contrato relevos)'!O38</f>
        <v>7.7777777777777779E-2</v>
      </c>
      <c r="R89" s="467">
        <f t="shared" si="7"/>
        <v>0.99999999999999978</v>
      </c>
      <c r="S89" s="515">
        <f t="shared" si="6"/>
        <v>0.68888888888888888</v>
      </c>
      <c r="T89" s="516">
        <f>+S90-S89</f>
        <v>0</v>
      </c>
    </row>
    <row r="90" spans="1:20">
      <c r="A90" s="591"/>
      <c r="B90" s="591"/>
      <c r="C90" s="595"/>
      <c r="D90" s="593"/>
      <c r="E90" s="468" t="s">
        <v>46</v>
      </c>
      <c r="F90" s="517">
        <f>+'Metas 4 (Contrato relevos)'!D39</f>
        <v>0.1</v>
      </c>
      <c r="G90" s="517">
        <f>+'Metas 4 (Contrato relevos)'!E39</f>
        <v>0.1</v>
      </c>
      <c r="H90" s="517">
        <f>+'Metas 4 (Contrato relevos)'!F39</f>
        <v>0.1</v>
      </c>
      <c r="I90" s="517">
        <f>+'Metas 4 (Contrato relevos)'!G39</f>
        <v>7.7777777777777779E-2</v>
      </c>
      <c r="J90" s="517">
        <f>+'Metas 4 (Contrato relevos)'!H39</f>
        <v>7.7777777777777779E-2</v>
      </c>
      <c r="K90" s="517">
        <f>+'Metas 4 (Contrato relevos)'!I39</f>
        <v>7.7777777777777779E-2</v>
      </c>
      <c r="L90" s="518">
        <f>+'Metas 4 (Contrato relevos)'!J39</f>
        <v>7.7777777777777779E-2</v>
      </c>
      <c r="M90" s="518">
        <f>+'Metas 4 (Contrato relevos)'!K39</f>
        <v>7.7777777777777779E-2</v>
      </c>
      <c r="N90" s="518">
        <f>+'Metas 4 (Contrato relevos)'!L39</f>
        <v>7.7777777777777779E-2</v>
      </c>
      <c r="O90" s="518">
        <f>+'Metas 4 (Contrato relevos)'!M39</f>
        <v>7.7777777777777779E-2</v>
      </c>
      <c r="P90" s="518">
        <f>+'Metas 4 (Contrato relevos)'!N39</f>
        <v>7.7777777777777779E-2</v>
      </c>
      <c r="Q90" s="518">
        <f>+'Metas 4 (Contrato relevos)'!O39</f>
        <v>0</v>
      </c>
      <c r="R90" s="519">
        <f t="shared" si="7"/>
        <v>0.92222222222222205</v>
      </c>
      <c r="S90" s="515">
        <f t="shared" si="6"/>
        <v>0.68888888888888888</v>
      </c>
      <c r="T90" s="516">
        <f>+S90-S89</f>
        <v>0</v>
      </c>
    </row>
    <row r="91" spans="1:20">
      <c r="A91" s="591" t="s">
        <v>49</v>
      </c>
      <c r="B91" s="591" t="str">
        <f>+'Metas 4 (Contrato relevos)'!A40</f>
        <v>10. Monitorear y hacer seguimiento a la implementación del componente de respiro para cuidadoras</v>
      </c>
      <c r="C91" s="595"/>
      <c r="D91" s="592">
        <f>+'Metas 4 (Contrato relevos)'!B40</f>
        <v>0.05</v>
      </c>
      <c r="E91" s="466" t="s">
        <v>45</v>
      </c>
      <c r="F91" s="467">
        <f>+'Metas 4 (Contrato relevos)'!D40</f>
        <v>8.3299999999999999E-2</v>
      </c>
      <c r="G91" s="467">
        <f>+'Metas 4 (Contrato relevos)'!E40</f>
        <v>8.3299999999999999E-2</v>
      </c>
      <c r="H91" s="467">
        <f>+'Metas 4 (Contrato relevos)'!F40</f>
        <v>8.3299999999999999E-2</v>
      </c>
      <c r="I91" s="467">
        <f>+'Metas 4 (Contrato relevos)'!G40</f>
        <v>8.3299999999999999E-2</v>
      </c>
      <c r="J91" s="467">
        <f>+'Metas 4 (Contrato relevos)'!H40</f>
        <v>8.3299999999999999E-2</v>
      </c>
      <c r="K91" s="467">
        <f>+'Metas 4 (Contrato relevos)'!I40</f>
        <v>8.3299999999999999E-2</v>
      </c>
      <c r="L91" s="467">
        <f>+'Metas 4 (Contrato relevos)'!J40</f>
        <v>8.3299999999999999E-2</v>
      </c>
      <c r="M91" s="467">
        <f>+'Metas 4 (Contrato relevos)'!K40</f>
        <v>8.3299999999999999E-2</v>
      </c>
      <c r="N91" s="467">
        <f>+'Metas 4 (Contrato relevos)'!L40</f>
        <v>8.3299999999999999E-2</v>
      </c>
      <c r="O91" s="467">
        <f>+'Metas 4 (Contrato relevos)'!M40</f>
        <v>8.3299999999999999E-2</v>
      </c>
      <c r="P91" s="467">
        <f>+'Metas 4 (Contrato relevos)'!N40</f>
        <v>8.3299999999999999E-2</v>
      </c>
      <c r="Q91" s="467">
        <f>+'Metas 4 (Contrato relevos)'!O40</f>
        <v>8.3299999999999999E-2</v>
      </c>
      <c r="R91" s="467">
        <f t="shared" si="7"/>
        <v>0.99960000000000016</v>
      </c>
      <c r="S91" s="515">
        <f t="shared" si="6"/>
        <v>0.66639999999999999</v>
      </c>
      <c r="T91" s="516">
        <f>+S92-S91</f>
        <v>3.4999999999999476E-3</v>
      </c>
    </row>
    <row r="92" spans="1:20">
      <c r="A92" s="591"/>
      <c r="B92" s="591"/>
      <c r="C92" s="595"/>
      <c r="D92" s="593"/>
      <c r="E92" s="468" t="s">
        <v>46</v>
      </c>
      <c r="F92" s="517">
        <f>+'Metas 4 (Contrato relevos)'!D41</f>
        <v>8.3299999999999999E-2</v>
      </c>
      <c r="G92" s="517">
        <f>+'Metas 4 (Contrato relevos)'!E41</f>
        <v>8.3299999999999999E-2</v>
      </c>
      <c r="H92" s="517">
        <f>+'Metas 4 (Contrato relevos)'!F41</f>
        <v>8.3299999999999999E-2</v>
      </c>
      <c r="I92" s="517">
        <f>+'Metas 4 (Contrato relevos)'!G41</f>
        <v>0.1</v>
      </c>
      <c r="J92" s="517">
        <f>+'Metas 4 (Contrato relevos)'!H41</f>
        <v>0.08</v>
      </c>
      <c r="K92" s="517">
        <f>+'Metas 4 (Contrato relevos)'!I41</f>
        <v>0.08</v>
      </c>
      <c r="L92" s="518">
        <f>+'Metas 4 (Contrato relevos)'!J41</f>
        <v>0.08</v>
      </c>
      <c r="M92" s="518">
        <f>+'Metas 4 (Contrato relevos)'!K41</f>
        <v>0.08</v>
      </c>
      <c r="N92" s="518">
        <f>+'Metas 4 (Contrato relevos)'!L41</f>
        <v>0.08</v>
      </c>
      <c r="O92" s="518">
        <f>+'Metas 4 (Contrato relevos)'!M41</f>
        <v>0.08</v>
      </c>
      <c r="P92" s="518">
        <f>+'Metas 4 (Contrato relevos)'!N41</f>
        <v>0.08</v>
      </c>
      <c r="Q92" s="518">
        <f>+'Metas 4 (Contrato relevos)'!O41</f>
        <v>0</v>
      </c>
      <c r="R92" s="519">
        <f t="shared" si="7"/>
        <v>0.90989999999999982</v>
      </c>
      <c r="S92" s="515">
        <f t="shared" si="6"/>
        <v>0.66989999999999994</v>
      </c>
      <c r="T92" s="516">
        <f>+S92-S91</f>
        <v>3.4999999999999476E-3</v>
      </c>
    </row>
    <row r="93" spans="1:20">
      <c r="A93" s="591" t="s">
        <v>49</v>
      </c>
      <c r="B93" s="591" t="str">
        <f>+'Metas 4 (Contrato relevos)'!A42</f>
        <v>11. Poner en marcha el programa de relevos de cuidado</v>
      </c>
      <c r="C93" s="595"/>
      <c r="D93" s="592">
        <f>+'Metas 4 (Contrato relevos)'!B42</f>
        <v>0.05</v>
      </c>
      <c r="E93" s="466" t="s">
        <v>45</v>
      </c>
      <c r="F93" s="467">
        <f>+'Metas 4 (Contrato relevos)'!D42</f>
        <v>6.1100000000000002E-2</v>
      </c>
      <c r="G93" s="467">
        <f>+'Metas 4 (Contrato relevos)'!E42</f>
        <v>6.1100000000000002E-2</v>
      </c>
      <c r="H93" s="467">
        <f>+'Metas 4 (Contrato relevos)'!F42</f>
        <v>6.1100000000000002E-2</v>
      </c>
      <c r="I93" s="467">
        <f>+'Metas 4 (Contrato relevos)'!G42</f>
        <v>6.1100000000000002E-2</v>
      </c>
      <c r="J93" s="467">
        <f>+'Metas 4 (Contrato relevos)'!H42</f>
        <v>0.15</v>
      </c>
      <c r="K93" s="467">
        <f>+'Metas 4 (Contrato relevos)'!I42</f>
        <v>0.15</v>
      </c>
      <c r="L93" s="467">
        <f>+'Metas 4 (Contrato relevos)'!J42</f>
        <v>0.15</v>
      </c>
      <c r="M93" s="467">
        <f>+'Metas 4 (Contrato relevos)'!K42</f>
        <v>6.1100000000000002E-2</v>
      </c>
      <c r="N93" s="467">
        <f>+'Metas 4 (Contrato relevos)'!L42</f>
        <v>6.1100000000000002E-2</v>
      </c>
      <c r="O93" s="467">
        <f>+'Metas 4 (Contrato relevos)'!M42</f>
        <v>6.1100000000000002E-2</v>
      </c>
      <c r="P93" s="467">
        <f>+'Metas 4 (Contrato relevos)'!N42</f>
        <v>6.1100000000000002E-2</v>
      </c>
      <c r="Q93" s="467">
        <f>+'Metas 4 (Contrato relevos)'!O42</f>
        <v>6.1100000000000002E-2</v>
      </c>
      <c r="R93" s="467">
        <f t="shared" si="7"/>
        <v>0.99990000000000023</v>
      </c>
      <c r="S93" s="515">
        <f t="shared" si="6"/>
        <v>0.75550000000000006</v>
      </c>
      <c r="T93" s="516">
        <f>+S94-S93</f>
        <v>0</v>
      </c>
    </row>
    <row r="94" spans="1:20">
      <c r="A94" s="591"/>
      <c r="B94" s="591"/>
      <c r="C94" s="595"/>
      <c r="D94" s="593"/>
      <c r="E94" s="468" t="s">
        <v>46</v>
      </c>
      <c r="F94" s="517">
        <f>+'Metas 4 (Contrato relevos)'!D43</f>
        <v>6.1100000000000002E-2</v>
      </c>
      <c r="G94" s="517">
        <f>+'Metas 4 (Contrato relevos)'!E43</f>
        <v>6.1100000000000002E-2</v>
      </c>
      <c r="H94" s="517">
        <f>+'Metas 4 (Contrato relevos)'!F43</f>
        <v>6.1100000000000002E-2</v>
      </c>
      <c r="I94" s="517">
        <f>+'Metas 4 (Contrato relevos)'!G43</f>
        <v>6.1100000000000002E-2</v>
      </c>
      <c r="J94" s="517">
        <f>+'Metas 4 (Contrato relevos)'!H43</f>
        <v>0.15</v>
      </c>
      <c r="K94" s="517">
        <f>+'Metas 4 (Contrato relevos)'!I43</f>
        <v>0.15</v>
      </c>
      <c r="L94" s="518">
        <f>+'Metas 4 (Contrato relevos)'!J43</f>
        <v>0.15</v>
      </c>
      <c r="M94" s="518">
        <f>+'Metas 4 (Contrato relevos)'!K43</f>
        <v>6.1100000000000002E-2</v>
      </c>
      <c r="N94" s="518">
        <f>+'Metas 4 (Contrato relevos)'!L43</f>
        <v>6.1100000000000002E-2</v>
      </c>
      <c r="O94" s="518">
        <f>+'Metas 4 (Contrato relevos)'!M43</f>
        <v>6.1100000000000002E-2</v>
      </c>
      <c r="P94" s="518">
        <f>+'Metas 4 (Contrato relevos)'!N43</f>
        <v>6.1100000000000002E-2</v>
      </c>
      <c r="Q94" s="518">
        <f>+'Metas 4 (Contrato relevos)'!O43</f>
        <v>0</v>
      </c>
      <c r="R94" s="519">
        <f t="shared" si="7"/>
        <v>0.93880000000000019</v>
      </c>
      <c r="S94" s="515">
        <f t="shared" si="6"/>
        <v>0.75550000000000006</v>
      </c>
      <c r="T94" s="516">
        <f>+S94-S93</f>
        <v>0</v>
      </c>
    </row>
    <row r="95" spans="1:20">
      <c r="A95" s="591" t="s">
        <v>50</v>
      </c>
      <c r="B95" s="591" t="str">
        <f>+'Metas 5'!A38</f>
        <v>12. Diseñar e implementar la virtualización de la estrategia pedagógica para la valoración, la resignificación, el reconocimiento y la redistribución del trabajo de cuidado no remunerado que realizan las mujeres en Bogotá</v>
      </c>
      <c r="C95" s="594">
        <f>+C34-D95-D97</f>
        <v>0</v>
      </c>
      <c r="D95" s="592">
        <f>+'Metas 5'!B38</f>
        <v>0.05</v>
      </c>
      <c r="E95" s="466" t="s">
        <v>45</v>
      </c>
      <c r="F95" s="467">
        <f>+'Metas 5'!D38</f>
        <v>0.2</v>
      </c>
      <c r="G95" s="467">
        <f>+'Metas 5'!E38</f>
        <v>0.2</v>
      </c>
      <c r="H95" s="467">
        <f>+'Metas 5'!F38</f>
        <v>0.2</v>
      </c>
      <c r="I95" s="467">
        <f>+'Metas 5'!G38</f>
        <v>4.4444444444444446E-2</v>
      </c>
      <c r="J95" s="467">
        <f>+'Metas 5'!H38</f>
        <v>4.4444444444444446E-2</v>
      </c>
      <c r="K95" s="467">
        <f>+'Metas 5'!I38</f>
        <v>4.4444444444444446E-2</v>
      </c>
      <c r="L95" s="467">
        <f>+'Metas 5'!J38</f>
        <v>4.4444444444444446E-2</v>
      </c>
      <c r="M95" s="467">
        <f>+'Metas 5'!K38</f>
        <v>4.4444444444444446E-2</v>
      </c>
      <c r="N95" s="467">
        <f>+'Metas 5'!L38</f>
        <v>4.4444444444444446E-2</v>
      </c>
      <c r="O95" s="467">
        <f>+'Metas 5'!M38</f>
        <v>4.4444444444444446E-2</v>
      </c>
      <c r="P95" s="467">
        <f>+'Metas 5'!N38</f>
        <v>4.4444444444444446E-2</v>
      </c>
      <c r="Q95" s="467">
        <f>+'Metas 5'!O38</f>
        <v>4.4444444444444446E-2</v>
      </c>
      <c r="R95" s="467">
        <f t="shared" ref="R95:R112" si="8">SUM(F95:Q95)</f>
        <v>0.99999999999999967</v>
      </c>
      <c r="S95" s="515">
        <f t="shared" si="6"/>
        <v>0.82222222222222208</v>
      </c>
      <c r="T95" s="516">
        <f>+S96-S95</f>
        <v>1.1111111111111072E-2</v>
      </c>
    </row>
    <row r="96" spans="1:20">
      <c r="A96" s="591"/>
      <c r="B96" s="591"/>
      <c r="C96" s="595"/>
      <c r="D96" s="593"/>
      <c r="E96" s="468" t="s">
        <v>46</v>
      </c>
      <c r="F96" s="517">
        <f>+'Metas 5'!D39</f>
        <v>0.2</v>
      </c>
      <c r="G96" s="517">
        <f>+'Metas 5'!E39</f>
        <v>0.15</v>
      </c>
      <c r="H96" s="517">
        <f>+'Metas 5'!F39</f>
        <v>0.15</v>
      </c>
      <c r="I96" s="517">
        <f>+'Metas 5'!G39</f>
        <v>0.09</v>
      </c>
      <c r="J96" s="517">
        <f>+'Metas 5'!H39</f>
        <v>4.4444444444444446E-2</v>
      </c>
      <c r="K96" s="517">
        <f>+'Metas 5'!I39</f>
        <v>4.4444444444444446E-2</v>
      </c>
      <c r="L96" s="518">
        <f>+'Metas 5'!J39</f>
        <v>0.11</v>
      </c>
      <c r="M96" s="518">
        <f>+'Metas 5'!K39</f>
        <v>4.4444444444444446E-2</v>
      </c>
      <c r="N96" s="518">
        <f>+'Metas 5'!L39</f>
        <v>0.04</v>
      </c>
      <c r="O96" s="518">
        <f>+'Metas 5'!M39</f>
        <v>0.04</v>
      </c>
      <c r="P96" s="518">
        <f>+'Metas 5'!N39</f>
        <v>0.04</v>
      </c>
      <c r="Q96" s="518">
        <f>+'Metas 5'!O39</f>
        <v>0</v>
      </c>
      <c r="R96" s="519">
        <f t="shared" si="8"/>
        <v>0.95333333333333325</v>
      </c>
      <c r="S96" s="515">
        <f t="shared" si="6"/>
        <v>0.83333333333333315</v>
      </c>
      <c r="T96" s="516">
        <f>+S96-S95</f>
        <v>1.1111111111111072E-2</v>
      </c>
    </row>
    <row r="97" spans="1:20">
      <c r="A97" s="591" t="s">
        <v>50</v>
      </c>
      <c r="B97" s="591" t="str">
        <f>+'Metas 5'!A40</f>
        <v xml:space="preserve">13. Diseñar la estrategia de comunicación, de la estrategia pedagógica y de cambio cultural del Sistema Distrital de Cuidado </v>
      </c>
      <c r="C97" s="595"/>
      <c r="D97" s="592">
        <f>+'Metas 5'!B40</f>
        <v>0.05</v>
      </c>
      <c r="E97" s="466" t="s">
        <v>45</v>
      </c>
      <c r="F97" s="467">
        <f>+'Metas 5'!D40</f>
        <v>0.15</v>
      </c>
      <c r="G97" s="467">
        <f>+'Metas 5'!E40</f>
        <v>0.15</v>
      </c>
      <c r="H97" s="467">
        <f>+'Metas 5'!F40</f>
        <v>0.15</v>
      </c>
      <c r="I97" s="467">
        <f>+'Metas 5'!G40</f>
        <v>0.15</v>
      </c>
      <c r="J97" s="467">
        <f>+'Metas 5'!H40</f>
        <v>0.15</v>
      </c>
      <c r="K97" s="467">
        <f>+'Metas 5'!I40</f>
        <v>0.15</v>
      </c>
      <c r="L97" s="467">
        <f>+'Metas 5'!J40</f>
        <v>0.1</v>
      </c>
      <c r="M97" s="467">
        <f>+'Metas 5'!K40</f>
        <v>0</v>
      </c>
      <c r="N97" s="467">
        <f>+'Metas 5'!L40</f>
        <v>0</v>
      </c>
      <c r="O97" s="467">
        <f>+'Metas 5'!M40</f>
        <v>0</v>
      </c>
      <c r="P97" s="467">
        <f>+'Metas 5'!N40</f>
        <v>0</v>
      </c>
      <c r="Q97" s="467">
        <f>+'Metas 5'!O40</f>
        <v>0</v>
      </c>
      <c r="R97" s="467">
        <f t="shared" si="8"/>
        <v>1</v>
      </c>
      <c r="S97" s="515">
        <f t="shared" si="6"/>
        <v>1</v>
      </c>
      <c r="T97" s="516">
        <f>+S98-S97</f>
        <v>0</v>
      </c>
    </row>
    <row r="98" spans="1:20">
      <c r="A98" s="591"/>
      <c r="B98" s="591"/>
      <c r="C98" s="596"/>
      <c r="D98" s="593"/>
      <c r="E98" s="468" t="s">
        <v>46</v>
      </c>
      <c r="F98" s="517">
        <f>+'Metas 5'!D41</f>
        <v>0.15</v>
      </c>
      <c r="G98" s="517">
        <f>+'Metas 5'!E41</f>
        <v>0.15</v>
      </c>
      <c r="H98" s="517">
        <f>+'Metas 5'!F41</f>
        <v>0.15</v>
      </c>
      <c r="I98" s="517">
        <f>+'Metas 5'!G41</f>
        <v>0.15</v>
      </c>
      <c r="J98" s="517">
        <f>+'Metas 5'!H41</f>
        <v>0.15</v>
      </c>
      <c r="K98" s="517">
        <f>+'Metas 5'!I41</f>
        <v>0.1</v>
      </c>
      <c r="L98" s="518">
        <f>+'Metas 5'!J41</f>
        <v>0.15</v>
      </c>
      <c r="M98" s="518">
        <f>+'Metas 5'!K41</f>
        <v>0</v>
      </c>
      <c r="N98" s="518">
        <f>+'Metas 5'!L41</f>
        <v>0</v>
      </c>
      <c r="O98" s="518">
        <f>+'Metas 5'!M41</f>
        <v>0</v>
      </c>
      <c r="P98" s="518">
        <f>+'Metas 5'!N41</f>
        <v>0</v>
      </c>
      <c r="Q98" s="518">
        <f>+'Metas 5'!O41</f>
        <v>0</v>
      </c>
      <c r="R98" s="519">
        <f t="shared" si="8"/>
        <v>1</v>
      </c>
      <c r="S98" s="515">
        <f t="shared" si="6"/>
        <v>1</v>
      </c>
      <c r="T98" s="516">
        <f>+S98-S97</f>
        <v>0</v>
      </c>
    </row>
    <row r="99" spans="1:20">
      <c r="A99" s="591" t="s">
        <v>51</v>
      </c>
      <c r="B99" s="591" t="str">
        <f>+'Metas 6 (ONU Mujeres)'!A38</f>
        <v xml:space="preserve">14. Implementar los talleres de cambio cultural </v>
      </c>
      <c r="C99" s="594">
        <f>C40-D99-D101-D103-D105</f>
        <v>0</v>
      </c>
      <c r="D99" s="592">
        <f>+'Metas 6 (ONU Mujeres)'!B38</f>
        <v>0.05</v>
      </c>
      <c r="E99" s="466" t="s">
        <v>45</v>
      </c>
      <c r="F99" s="467">
        <f>+'Metas 6 (ONU Mujeres)'!D38</f>
        <v>8.3333333333333343E-2</v>
      </c>
      <c r="G99" s="467">
        <f>+'Metas 6 (ONU Mujeres)'!E38</f>
        <v>8.3333333333333343E-2</v>
      </c>
      <c r="H99" s="467">
        <f>+'Metas 6 (ONU Mujeres)'!F38</f>
        <v>8.3333333333333343E-2</v>
      </c>
      <c r="I99" s="467">
        <f>+'Metas 6 (ONU Mujeres)'!G38</f>
        <v>8.3333333333333343E-2</v>
      </c>
      <c r="J99" s="467">
        <f>+'Metas 6 (ONU Mujeres)'!H38</f>
        <v>8.3333333333333343E-2</v>
      </c>
      <c r="K99" s="467">
        <f>+'Metas 6 (ONU Mujeres)'!I38</f>
        <v>8.3333333333333343E-2</v>
      </c>
      <c r="L99" s="467">
        <f>+'Metas 6 (ONU Mujeres)'!J38</f>
        <v>8.3333333333333343E-2</v>
      </c>
      <c r="M99" s="467">
        <f>+'Metas 6 (ONU Mujeres)'!K38</f>
        <v>8.3333333333333343E-2</v>
      </c>
      <c r="N99" s="467">
        <f>+'Metas 6 (ONU Mujeres)'!L38</f>
        <v>8.3333333333333343E-2</v>
      </c>
      <c r="O99" s="467">
        <f>+'Metas 6 (ONU Mujeres)'!M38</f>
        <v>8.3333333333333343E-2</v>
      </c>
      <c r="P99" s="467">
        <f>+'Metas 6 (ONU Mujeres)'!N38</f>
        <v>8.3333333333333343E-2</v>
      </c>
      <c r="Q99" s="467">
        <f>+'Metas 6 (ONU Mujeres)'!O38</f>
        <v>8.3333333333333343E-2</v>
      </c>
      <c r="R99" s="467">
        <f t="shared" si="8"/>
        <v>1.0000000000000002</v>
      </c>
      <c r="S99" s="515">
        <f t="shared" si="6"/>
        <v>0.66666666666666685</v>
      </c>
      <c r="T99" s="516">
        <f>+S100-S99</f>
        <v>6.6499999999998227E-3</v>
      </c>
    </row>
    <row r="100" spans="1:20">
      <c r="A100" s="591"/>
      <c r="B100" s="591"/>
      <c r="C100" s="595"/>
      <c r="D100" s="592"/>
      <c r="E100" s="468" t="s">
        <v>46</v>
      </c>
      <c r="F100" s="517">
        <f>+'Metas 6 (ONU Mujeres)'!D39</f>
        <v>8.3333333333333343E-2</v>
      </c>
      <c r="G100" s="517">
        <f>+'Metas 6 (ONU Mujeres)'!E39</f>
        <v>4.333E-2</v>
      </c>
      <c r="H100" s="517">
        <f>+'Metas 6 (ONU Mujeres)'!F39</f>
        <v>0.12665999999999999</v>
      </c>
      <c r="I100" s="517">
        <f>+'Metas 6 (ONU Mujeres)'!G39</f>
        <v>6.3329999999999997E-2</v>
      </c>
      <c r="J100" s="517">
        <f>+'Metas 6 (ONU Mujeres)'!H39</f>
        <v>0.08</v>
      </c>
      <c r="K100" s="517">
        <f>+'Metas 6 (ONU Mujeres)'!I39</f>
        <v>8.3333333333333343E-2</v>
      </c>
      <c r="L100" s="518">
        <f>+'Metas 6 (ONU Mujeres)'!J39</f>
        <v>9.3329999999999996E-2</v>
      </c>
      <c r="M100" s="518">
        <f>+'Metas 6 (ONU Mujeres)'!K39</f>
        <v>0.1</v>
      </c>
      <c r="N100" s="518">
        <f>+'Metas 6 (ONU Mujeres)'!L39</f>
        <v>0.08</v>
      </c>
      <c r="O100" s="518">
        <f>+'Metas 6 (ONU Mujeres)'!M39</f>
        <v>0.08</v>
      </c>
      <c r="P100" s="518">
        <f>+'Metas 6 (ONU Mujeres)'!N39</f>
        <v>0.08</v>
      </c>
      <c r="Q100" s="518">
        <f>+'Metas 6 (ONU Mujeres)'!O39</f>
        <v>0</v>
      </c>
      <c r="R100" s="519">
        <f t="shared" si="8"/>
        <v>0.91331666666666655</v>
      </c>
      <c r="S100" s="515">
        <f t="shared" si="6"/>
        <v>0.67331666666666667</v>
      </c>
      <c r="T100" s="516">
        <f>+S100-S99</f>
        <v>6.6499999999998227E-3</v>
      </c>
    </row>
    <row r="101" spans="1:20">
      <c r="A101" s="591" t="s">
        <v>51</v>
      </c>
      <c r="B101" s="591" t="str">
        <f>+'Metas 6 (ONU Mujeres)'!A40</f>
        <v xml:space="preserve">15. Producir e implementar la estrategia de comunicaciones </v>
      </c>
      <c r="C101" s="595"/>
      <c r="D101" s="592">
        <f>+'Metas 6 (ONU Mujeres)'!B40</f>
        <v>0.05</v>
      </c>
      <c r="E101" s="466" t="s">
        <v>45</v>
      </c>
      <c r="F101" s="467">
        <f>+'Metas 6 (ONU Mujeres)'!D40</f>
        <v>8.3333333333333343E-2</v>
      </c>
      <c r="G101" s="467">
        <f>+'Metas 6 (ONU Mujeres)'!E40</f>
        <v>8.3333333333333343E-2</v>
      </c>
      <c r="H101" s="467">
        <f>+'Metas 6 (ONU Mujeres)'!F40</f>
        <v>8.3333333333333343E-2</v>
      </c>
      <c r="I101" s="467">
        <f>+'Metas 6 (ONU Mujeres)'!G40</f>
        <v>8.3333333333333343E-2</v>
      </c>
      <c r="J101" s="467">
        <f>+'Metas 6 (ONU Mujeres)'!H40</f>
        <v>8.3333333333333343E-2</v>
      </c>
      <c r="K101" s="467">
        <f>+'Metas 6 (ONU Mujeres)'!I40</f>
        <v>8.3333333333333343E-2</v>
      </c>
      <c r="L101" s="467">
        <f>+'Metas 6 (ONU Mujeres)'!J40</f>
        <v>8.3333333333333343E-2</v>
      </c>
      <c r="M101" s="467">
        <f>+'Metas 6 (ONU Mujeres)'!K40</f>
        <v>8.3333333333333343E-2</v>
      </c>
      <c r="N101" s="467">
        <f>+'Metas 6 (ONU Mujeres)'!L40</f>
        <v>8.3333333333333343E-2</v>
      </c>
      <c r="O101" s="467">
        <f>+'Metas 6 (ONU Mujeres)'!M40</f>
        <v>8.3333333333333343E-2</v>
      </c>
      <c r="P101" s="467">
        <f>+'Metas 6 (ONU Mujeres)'!N40</f>
        <v>8.3333333333333343E-2</v>
      </c>
      <c r="Q101" s="467">
        <f>+'Metas 6 (ONU Mujeres)'!O40</f>
        <v>8.3333333333333343E-2</v>
      </c>
      <c r="R101" s="467">
        <f t="shared" si="8"/>
        <v>1.0000000000000002</v>
      </c>
      <c r="S101" s="515">
        <f t="shared" si="6"/>
        <v>0.66666666666666685</v>
      </c>
      <c r="T101" s="516">
        <f>+S102-S101</f>
        <v>0</v>
      </c>
    </row>
    <row r="102" spans="1:20">
      <c r="A102" s="591"/>
      <c r="B102" s="591"/>
      <c r="C102" s="595"/>
      <c r="D102" s="592"/>
      <c r="E102" s="468" t="s">
        <v>46</v>
      </c>
      <c r="F102" s="517">
        <f>+'Metas 6 (ONU Mujeres)'!D41</f>
        <v>8.3333333333333343E-2</v>
      </c>
      <c r="G102" s="517">
        <f>+'Metas 6 (ONU Mujeres)'!E41</f>
        <v>8.3333333333333343E-2</v>
      </c>
      <c r="H102" s="517">
        <f>+'Metas 6 (ONU Mujeres)'!F41</f>
        <v>8.3333333333333343E-2</v>
      </c>
      <c r="I102" s="517">
        <f>+'Metas 6 (ONU Mujeres)'!G41</f>
        <v>8.3333333333333343E-2</v>
      </c>
      <c r="J102" s="517">
        <f>+'Metas 6 (ONU Mujeres)'!H41</f>
        <v>8.3333333333333343E-2</v>
      </c>
      <c r="K102" s="517">
        <f>+'Metas 6 (ONU Mujeres)'!I41</f>
        <v>8.3333333333333343E-2</v>
      </c>
      <c r="L102" s="518">
        <f>+'Metas 6 (ONU Mujeres)'!J41</f>
        <v>8.3333333333333343E-2</v>
      </c>
      <c r="M102" s="518">
        <f>+'Metas 6 (ONU Mujeres)'!K41</f>
        <v>8.3333333333333343E-2</v>
      </c>
      <c r="N102" s="518">
        <f>+'Metas 6 (ONU Mujeres)'!L41</f>
        <v>8.3333333333333343E-2</v>
      </c>
      <c r="O102" s="518">
        <f>+'Metas 6 (ONU Mujeres)'!M41</f>
        <v>8.3333333333333343E-2</v>
      </c>
      <c r="P102" s="518">
        <f>+'Metas 6 (ONU Mujeres)'!N41</f>
        <v>8.3333333333333343E-2</v>
      </c>
      <c r="Q102" s="518">
        <f>+'Metas 6 (ONU Mujeres)'!O41</f>
        <v>0</v>
      </c>
      <c r="R102" s="519">
        <f t="shared" si="8"/>
        <v>0.91666666666666696</v>
      </c>
      <c r="S102" s="515">
        <f t="shared" si="6"/>
        <v>0.66666666666666685</v>
      </c>
      <c r="T102" s="516">
        <f>+S102-S101</f>
        <v>0</v>
      </c>
    </row>
    <row r="103" spans="1:20">
      <c r="A103" s="591" t="s">
        <v>51</v>
      </c>
      <c r="B103" s="591" t="str">
        <f>+'Metas 6 (ONU Mujeres)'!A42</f>
        <v>16. Implementar el componente de amplificación [Red de Alianzas del Cuidado]</v>
      </c>
      <c r="C103" s="595"/>
      <c r="D103" s="592">
        <f>+'Metas 6 (ONU Mujeres)'!B42</f>
        <v>0.05</v>
      </c>
      <c r="E103" s="466" t="s">
        <v>45</v>
      </c>
      <c r="F103" s="467">
        <f>+'Metas 6 (ONU Mujeres)'!D42</f>
        <v>8.3333333333333343E-2</v>
      </c>
      <c r="G103" s="467">
        <f>+'Metas 6 (ONU Mujeres)'!E42</f>
        <v>8.3333333333333343E-2</v>
      </c>
      <c r="H103" s="467">
        <f>+'Metas 6 (ONU Mujeres)'!F42</f>
        <v>8.3333333333333343E-2</v>
      </c>
      <c r="I103" s="467">
        <f>+'Metas 6 (ONU Mujeres)'!G42</f>
        <v>8.3333333333333343E-2</v>
      </c>
      <c r="J103" s="467">
        <f>+'Metas 6 (ONU Mujeres)'!H42</f>
        <v>8.3333333333333343E-2</v>
      </c>
      <c r="K103" s="467">
        <f>+'Metas 6 (ONU Mujeres)'!I42</f>
        <v>8.3333333333333343E-2</v>
      </c>
      <c r="L103" s="467">
        <f>+'Metas 6 (ONU Mujeres)'!J42</f>
        <v>8.3333333333333343E-2</v>
      </c>
      <c r="M103" s="467">
        <f>+'Metas 6 (ONU Mujeres)'!K42</f>
        <v>8.3333333333333343E-2</v>
      </c>
      <c r="N103" s="467">
        <f>+'Metas 6 (ONU Mujeres)'!L42</f>
        <v>8.3333333333333343E-2</v>
      </c>
      <c r="O103" s="467">
        <f>+'Metas 6 (ONU Mujeres)'!M42</f>
        <v>8.3333333333333343E-2</v>
      </c>
      <c r="P103" s="467">
        <f>+'Metas 6 (ONU Mujeres)'!N42</f>
        <v>8.3333333333333343E-2</v>
      </c>
      <c r="Q103" s="467">
        <f>+'Metas 6 (ONU Mujeres)'!O42</f>
        <v>8.3333333333333343E-2</v>
      </c>
      <c r="R103" s="467">
        <f t="shared" si="8"/>
        <v>1.0000000000000002</v>
      </c>
      <c r="S103" s="515">
        <f t="shared" si="6"/>
        <v>0.66666666666666685</v>
      </c>
      <c r="T103" s="516">
        <f>+S104-S103</f>
        <v>0</v>
      </c>
    </row>
    <row r="104" spans="1:20">
      <c r="A104" s="591"/>
      <c r="B104" s="591"/>
      <c r="C104" s="595"/>
      <c r="D104" s="592"/>
      <c r="E104" s="468" t="s">
        <v>46</v>
      </c>
      <c r="F104" s="517">
        <f>+'Metas 6 (ONU Mujeres)'!D43</f>
        <v>8.3333333333333343E-2</v>
      </c>
      <c r="G104" s="517">
        <f>+'Metas 6 (ONU Mujeres)'!E43</f>
        <v>8.3333333333333343E-2</v>
      </c>
      <c r="H104" s="517">
        <f>+'Metas 6 (ONU Mujeres)'!F43</f>
        <v>8.3333333333333343E-2</v>
      </c>
      <c r="I104" s="517">
        <f>+'Metas 6 (ONU Mujeres)'!G43</f>
        <v>8.3333333333333343E-2</v>
      </c>
      <c r="J104" s="517">
        <f>+'Metas 6 (ONU Mujeres)'!H43</f>
        <v>8.3333333333333343E-2</v>
      </c>
      <c r="K104" s="517">
        <f>+'Metas 6 (ONU Mujeres)'!I43</f>
        <v>8.3333333333333343E-2</v>
      </c>
      <c r="L104" s="518">
        <f>+'Metas 6 (ONU Mujeres)'!J43</f>
        <v>8.3333333333333343E-2</v>
      </c>
      <c r="M104" s="518">
        <f>+'Metas 6 (ONU Mujeres)'!K43</f>
        <v>8.3333333333333343E-2</v>
      </c>
      <c r="N104" s="518">
        <f>+'Metas 6 (ONU Mujeres)'!L43</f>
        <v>8.3333333333333343E-2</v>
      </c>
      <c r="O104" s="518">
        <f>+'Metas 6 (ONU Mujeres)'!M43</f>
        <v>0.04</v>
      </c>
      <c r="P104" s="518">
        <f>+'Metas 6 (ONU Mujeres)'!N43</f>
        <v>0.12</v>
      </c>
      <c r="Q104" s="518">
        <f>+'Metas 6 (ONU Mujeres)'!O43</f>
        <v>0</v>
      </c>
      <c r="R104" s="519">
        <f t="shared" si="8"/>
        <v>0.91000000000000025</v>
      </c>
      <c r="S104" s="515">
        <f t="shared" si="6"/>
        <v>0.66666666666666685</v>
      </c>
      <c r="T104" s="516">
        <f>+S104-S103</f>
        <v>0</v>
      </c>
    </row>
    <row r="105" spans="1:20">
      <c r="A105" s="591" t="s">
        <v>51</v>
      </c>
      <c r="B105" s="591" t="str">
        <f>+'Metas 6 (ONU Mujeres)'!A44</f>
        <v>17. Monitorear y hacer seguimiento a las acciones intersectoriales</v>
      </c>
      <c r="C105" s="595"/>
      <c r="D105" s="592">
        <f>+'Metas 6 (ONU Mujeres)'!B44</f>
        <v>0.05</v>
      </c>
      <c r="E105" s="466" t="s">
        <v>45</v>
      </c>
      <c r="F105" s="467">
        <f>+'Metas 6 (ONU Mujeres)'!D44</f>
        <v>8.3333333333333343E-2</v>
      </c>
      <c r="G105" s="467">
        <f>+'Metas 6 (ONU Mujeres)'!E44</f>
        <v>8.3333333333333343E-2</v>
      </c>
      <c r="H105" s="467">
        <f>+'Metas 6 (ONU Mujeres)'!F44</f>
        <v>8.3333333333333343E-2</v>
      </c>
      <c r="I105" s="467">
        <f>+'Metas 6 (ONU Mujeres)'!G44</f>
        <v>8.3333333333333343E-2</v>
      </c>
      <c r="J105" s="467">
        <f>+'Metas 6 (ONU Mujeres)'!H44</f>
        <v>8.3333333333333343E-2</v>
      </c>
      <c r="K105" s="467">
        <f>+'Metas 6 (ONU Mujeres)'!I44</f>
        <v>8.3333333333333343E-2</v>
      </c>
      <c r="L105" s="467">
        <f>+'Metas 6 (ONU Mujeres)'!J44</f>
        <v>8.3000000000000004E-2</v>
      </c>
      <c r="M105" s="467">
        <f>+'Metas 6 (ONU Mujeres)'!K44</f>
        <v>8.3333333333333343E-2</v>
      </c>
      <c r="N105" s="467">
        <f>+'Metas 6 (ONU Mujeres)'!L44</f>
        <v>8.3333333333333343E-2</v>
      </c>
      <c r="O105" s="467">
        <f>+'Metas 6 (ONU Mujeres)'!M44</f>
        <v>8.3333333333333343E-2</v>
      </c>
      <c r="P105" s="467">
        <f>+'Metas 6 (ONU Mujeres)'!N44</f>
        <v>8.3333333333333343E-2</v>
      </c>
      <c r="Q105" s="467">
        <f>+'Metas 6 (ONU Mujeres)'!O44</f>
        <v>8.3333333333333343E-2</v>
      </c>
      <c r="R105" s="467">
        <f t="shared" si="8"/>
        <v>0.99966666666666693</v>
      </c>
      <c r="S105" s="515">
        <f t="shared" si="6"/>
        <v>0.66633333333333344</v>
      </c>
      <c r="T105" s="516">
        <f>+S106-S105</f>
        <v>-3.333400000000708E-4</v>
      </c>
    </row>
    <row r="106" spans="1:20">
      <c r="A106" s="591"/>
      <c r="B106" s="591"/>
      <c r="C106" s="596"/>
      <c r="D106" s="592"/>
      <c r="E106" s="468" t="s">
        <v>46</v>
      </c>
      <c r="F106" s="517">
        <f>+'Metas 6 (ONU Mujeres)'!D45</f>
        <v>0</v>
      </c>
      <c r="G106" s="517">
        <f>+'Metas 6 (ONU Mujeres)'!E45</f>
        <v>0.16666665999999999</v>
      </c>
      <c r="H106" s="517">
        <f>+'Metas 6 (ONU Mujeres)'!F45</f>
        <v>8.3333333333333343E-2</v>
      </c>
      <c r="I106" s="517">
        <f>+'Metas 6 (ONU Mujeres)'!G45</f>
        <v>8.3333333333333343E-2</v>
      </c>
      <c r="J106" s="517">
        <f>+'Metas 6 (ONU Mujeres)'!H45</f>
        <v>8.3333333333333343E-2</v>
      </c>
      <c r="K106" s="517">
        <f>+'Metas 6 (ONU Mujeres)'!I45</f>
        <v>8.3333333333333343E-2</v>
      </c>
      <c r="L106" s="518">
        <f>+'Metas 6 (ONU Mujeres)'!J45</f>
        <v>8.3000000000000004E-2</v>
      </c>
      <c r="M106" s="518">
        <f>+'Metas 6 (ONU Mujeres)'!K45</f>
        <v>8.3000000000000004E-2</v>
      </c>
      <c r="N106" s="518">
        <f>+'Metas 6 (ONU Mujeres)'!L45</f>
        <v>8.3000000000000004E-2</v>
      </c>
      <c r="O106" s="518">
        <f>+'Metas 6 (ONU Mujeres)'!M45</f>
        <v>8.3000000000000004E-2</v>
      </c>
      <c r="P106" s="518">
        <f>+'Metas 6 (ONU Mujeres)'!N45</f>
        <v>0.08</v>
      </c>
      <c r="Q106" s="518">
        <f>+'Metas 6 (ONU Mujeres)'!O45</f>
        <v>0</v>
      </c>
      <c r="R106" s="519">
        <f t="shared" si="8"/>
        <v>0.91199999333333326</v>
      </c>
      <c r="S106" s="515">
        <f t="shared" si="6"/>
        <v>0.66599999333333337</v>
      </c>
      <c r="T106" s="516">
        <f>+S106-S105</f>
        <v>-3.333400000000708E-4</v>
      </c>
    </row>
    <row r="107" spans="1:20">
      <c r="A107" s="591" t="s">
        <v>52</v>
      </c>
      <c r="B107" s="591" t="str">
        <f>+'Metas 7 (Unidades Moviles)'!A38</f>
        <v>18. Definir y poner en marcha dos unidades móviles de servicios de cuidado (Urbana y Rural)</v>
      </c>
      <c r="C107" s="593">
        <f>C46-D107-D109-D111</f>
        <v>0</v>
      </c>
      <c r="D107" s="592">
        <f>+'Metas 7 (Unidades Moviles)'!B38</f>
        <v>0.05</v>
      </c>
      <c r="E107" s="466" t="s">
        <v>45</v>
      </c>
      <c r="F107" s="467">
        <f>+'Metas 7 (Unidades Moviles)'!D38</f>
        <v>8.3299999999999999E-2</v>
      </c>
      <c r="G107" s="467">
        <f>+'Metas 7 (Unidades Moviles)'!E38</f>
        <v>8.3299999999999999E-2</v>
      </c>
      <c r="H107" s="467">
        <f>+'Metas 7 (Unidades Moviles)'!F38</f>
        <v>8.3299999999999999E-2</v>
      </c>
      <c r="I107" s="467">
        <f>+'Metas 7 (Unidades Moviles)'!G38</f>
        <v>8.3299999999999999E-2</v>
      </c>
      <c r="J107" s="467">
        <f>+'Metas 7 (Unidades Moviles)'!H38</f>
        <v>8.3299999999999999E-2</v>
      </c>
      <c r="K107" s="467">
        <f>+'Metas 7 (Unidades Moviles)'!I38</f>
        <v>8.3299999999999999E-2</v>
      </c>
      <c r="L107" s="467">
        <f>+'Metas 7 (Unidades Moviles)'!J38</f>
        <v>8.3299999999999999E-2</v>
      </c>
      <c r="M107" s="467">
        <f>+'Metas 7 (Unidades Moviles)'!K38</f>
        <v>8.3299999999999999E-2</v>
      </c>
      <c r="N107" s="467">
        <f>+'Metas 7 (Unidades Moviles)'!L38</f>
        <v>8.3299999999999999E-2</v>
      </c>
      <c r="O107" s="467">
        <f>+'Metas 7 (Unidades Moviles)'!M38</f>
        <v>8.3299999999999999E-2</v>
      </c>
      <c r="P107" s="467">
        <f>+'Metas 7 (Unidades Moviles)'!N38</f>
        <v>8.3299999999999999E-2</v>
      </c>
      <c r="Q107" s="467">
        <f>+'Metas 7 (Unidades Moviles)'!O38</f>
        <v>8.3299999999999999E-2</v>
      </c>
      <c r="R107" s="467">
        <f t="shared" si="8"/>
        <v>0.99960000000000016</v>
      </c>
      <c r="S107" s="515">
        <f t="shared" si="6"/>
        <v>0.66639999999999999</v>
      </c>
      <c r="T107" s="516">
        <f>+S108-S107</f>
        <v>1.3400000000000079E-2</v>
      </c>
    </row>
    <row r="108" spans="1:20">
      <c r="A108" s="591"/>
      <c r="B108" s="591"/>
      <c r="C108" s="593"/>
      <c r="D108" s="593"/>
      <c r="E108" s="468" t="s">
        <v>46</v>
      </c>
      <c r="F108" s="517">
        <f>+'Metas 7 (Unidades Moviles)'!D39</f>
        <v>0.04</v>
      </c>
      <c r="G108" s="517">
        <f>+'Metas 7 (Unidades Moviles)'!E39</f>
        <v>8.3299999999999999E-2</v>
      </c>
      <c r="H108" s="517">
        <f>+'Metas 7 (Unidades Moviles)'!F39</f>
        <v>8.3299999999999999E-2</v>
      </c>
      <c r="I108" s="517">
        <f>+'Metas 7 (Unidades Moviles)'!G39</f>
        <v>8.3299999999999999E-2</v>
      </c>
      <c r="J108" s="517">
        <f>+'Metas 7 (Unidades Moviles)'!H39</f>
        <v>8.3299999999999999E-2</v>
      </c>
      <c r="K108" s="517">
        <f>+'Metas 7 (Unidades Moviles)'!I39</f>
        <v>8.3299999999999999E-2</v>
      </c>
      <c r="L108" s="518">
        <f>+'Metas 7 (Unidades Moviles)'!J39</f>
        <v>0.14000000000000001</v>
      </c>
      <c r="M108" s="518">
        <f>+'Metas 7 (Unidades Moviles)'!K39</f>
        <v>8.3299999999999999E-2</v>
      </c>
      <c r="N108" s="518">
        <f>+'Metas 7 (Unidades Moviles)'!L39</f>
        <v>8.3299999999999999E-2</v>
      </c>
      <c r="O108" s="518">
        <f>+'Metas 7 (Unidades Moviles)'!M39</f>
        <v>8.3299999999999999E-2</v>
      </c>
      <c r="P108" s="518">
        <f>+'Metas 7 (Unidades Moviles)'!N39</f>
        <v>8.3299999999999999E-2</v>
      </c>
      <c r="Q108" s="518">
        <f>+'Metas 7 (Unidades Moviles)'!O39</f>
        <v>0</v>
      </c>
      <c r="R108" s="519">
        <f t="shared" si="8"/>
        <v>0.92970000000000019</v>
      </c>
      <c r="S108" s="515">
        <f t="shared" si="6"/>
        <v>0.67980000000000007</v>
      </c>
      <c r="T108" s="516">
        <f>+S108-S107</f>
        <v>1.3400000000000079E-2</v>
      </c>
    </row>
    <row r="109" spans="1:20">
      <c r="A109" s="591" t="s">
        <v>52</v>
      </c>
      <c r="B109" s="591" t="str">
        <f>+'Metas 7 (Unidades Moviles)'!A40</f>
        <v>19. Articular las acciones intersectoriales para la puesta en operación de dos (2) unidades móviles de servicios de cuidado (Urbana y Rural)</v>
      </c>
      <c r="C109" s="593"/>
      <c r="D109" s="592">
        <f>+'Metas 7 (Unidades Moviles)'!B40</f>
        <v>0.05</v>
      </c>
      <c r="E109" s="466" t="s">
        <v>45</v>
      </c>
      <c r="F109" s="467">
        <f>+'Metas 7 (Unidades Moviles)'!D40</f>
        <v>8.3299999999999999E-2</v>
      </c>
      <c r="G109" s="467">
        <f>+'Metas 7 (Unidades Moviles)'!E40</f>
        <v>8.3299999999999999E-2</v>
      </c>
      <c r="H109" s="467">
        <f>+'Metas 7 (Unidades Moviles)'!F40</f>
        <v>8.3299999999999999E-2</v>
      </c>
      <c r="I109" s="467">
        <f>+'Metas 7 (Unidades Moviles)'!G40</f>
        <v>8.3299999999999999E-2</v>
      </c>
      <c r="J109" s="467">
        <f>+'Metas 7 (Unidades Moviles)'!H40</f>
        <v>8.3299999999999999E-2</v>
      </c>
      <c r="K109" s="467">
        <f>+'Metas 7 (Unidades Moviles)'!I40</f>
        <v>8.3299999999999999E-2</v>
      </c>
      <c r="L109" s="467">
        <f>+'Metas 7 (Unidades Moviles)'!J40</f>
        <v>8.3299999999999999E-2</v>
      </c>
      <c r="M109" s="467">
        <f>+'Metas 7 (Unidades Moviles)'!K40</f>
        <v>8.3299999999999999E-2</v>
      </c>
      <c r="N109" s="467">
        <f>+'Metas 7 (Unidades Moviles)'!L40</f>
        <v>8.3299999999999999E-2</v>
      </c>
      <c r="O109" s="467">
        <f>+'Metas 7 (Unidades Moviles)'!M40</f>
        <v>8.3299999999999999E-2</v>
      </c>
      <c r="P109" s="467">
        <f>+'Metas 7 (Unidades Moviles)'!N40</f>
        <v>8.3299999999999999E-2</v>
      </c>
      <c r="Q109" s="467">
        <f>+'Metas 7 (Unidades Moviles)'!O40</f>
        <v>8.3299999999999999E-2</v>
      </c>
      <c r="R109" s="467">
        <f t="shared" si="8"/>
        <v>0.99960000000000016</v>
      </c>
      <c r="S109" s="515">
        <f t="shared" si="6"/>
        <v>0.66639999999999999</v>
      </c>
      <c r="T109" s="516">
        <f>+S110-S109</f>
        <v>-8.3300000000000041E-2</v>
      </c>
    </row>
    <row r="110" spans="1:20">
      <c r="A110" s="591"/>
      <c r="B110" s="591"/>
      <c r="C110" s="593"/>
      <c r="D110" s="593"/>
      <c r="E110" s="468" t="s">
        <v>46</v>
      </c>
      <c r="F110" s="517">
        <f>+'Metas 7 (Unidades Moviles)'!D41</f>
        <v>0</v>
      </c>
      <c r="G110" s="517">
        <f>+'Metas 7 (Unidades Moviles)'!E41</f>
        <v>8.3299999999999999E-2</v>
      </c>
      <c r="H110" s="517">
        <f>+'Metas 7 (Unidades Moviles)'!F41</f>
        <v>8.3299999999999999E-2</v>
      </c>
      <c r="I110" s="517">
        <f>+'Metas 7 (Unidades Moviles)'!G41</f>
        <v>8.3299999999999999E-2</v>
      </c>
      <c r="J110" s="517">
        <f>+'Metas 7 (Unidades Moviles)'!H41</f>
        <v>8.3299999999999999E-2</v>
      </c>
      <c r="K110" s="517">
        <f>+'Metas 7 (Unidades Moviles)'!I41</f>
        <v>8.3299999999999999E-2</v>
      </c>
      <c r="L110" s="518">
        <f>+'Metas 7 (Unidades Moviles)'!J41</f>
        <v>8.3299999999999999E-2</v>
      </c>
      <c r="M110" s="518">
        <f>+'Metas 7 (Unidades Moviles)'!K41</f>
        <v>8.3299999999999999E-2</v>
      </c>
      <c r="N110" s="518">
        <f>+'Metas 7 (Unidades Moviles)'!L41</f>
        <v>8.3299999999999999E-2</v>
      </c>
      <c r="O110" s="518">
        <f>+'Metas 7 (Unidades Moviles)'!M41</f>
        <v>0.16</v>
      </c>
      <c r="P110" s="518">
        <f>+'Metas 7 (Unidades Moviles)'!N41</f>
        <v>8.3299999999999999E-2</v>
      </c>
      <c r="Q110" s="518">
        <f>+'Metas 7 (Unidades Moviles)'!O41</f>
        <v>0</v>
      </c>
      <c r="R110" s="519">
        <f t="shared" si="8"/>
        <v>0.90970000000000006</v>
      </c>
      <c r="S110" s="515">
        <f t="shared" si="6"/>
        <v>0.58309999999999995</v>
      </c>
      <c r="T110" s="516">
        <f>+S110-S109</f>
        <v>-8.3300000000000041E-2</v>
      </c>
    </row>
    <row r="111" spans="1:20">
      <c r="A111" s="591" t="s">
        <v>52</v>
      </c>
      <c r="B111" s="591" t="str">
        <f>+'Metas 7 (Unidades Moviles)'!A42</f>
        <v>20. Monitorear y hacer seguimiento a las acciones intersectoriales de las dos (2) unidades móviles de servicios de cuidado (urbana y rural)</v>
      </c>
      <c r="C111" s="593"/>
      <c r="D111" s="592">
        <f>+'Metas 7 (Unidades Moviles)'!B42</f>
        <v>0.05</v>
      </c>
      <c r="E111" s="466" t="s">
        <v>45</v>
      </c>
      <c r="F111" s="467">
        <f>+'Metas 7 (Unidades Moviles)'!D42</f>
        <v>0</v>
      </c>
      <c r="G111" s="467">
        <f>+'Metas 7 (Unidades Moviles)'!E42</f>
        <v>0</v>
      </c>
      <c r="H111" s="467">
        <f>+'Metas 7 (Unidades Moviles)'!F42</f>
        <v>0</v>
      </c>
      <c r="I111" s="467">
        <f>+'Metas 7 (Unidades Moviles)'!G42</f>
        <v>0</v>
      </c>
      <c r="J111" s="467">
        <f>+'Metas 7 (Unidades Moviles)'!H42</f>
        <v>0</v>
      </c>
      <c r="K111" s="467">
        <f>+'Metas 7 (Unidades Moviles)'!I42</f>
        <v>0</v>
      </c>
      <c r="L111" s="467">
        <f>+'Metas 7 (Unidades Moviles)'!J42</f>
        <v>0.16500000000000001</v>
      </c>
      <c r="M111" s="467">
        <f>+'Metas 7 (Unidades Moviles)'!K42</f>
        <v>0.16500000000000001</v>
      </c>
      <c r="N111" s="467">
        <f>+'Metas 7 (Unidades Moviles)'!L42</f>
        <v>0.16500000000000001</v>
      </c>
      <c r="O111" s="467">
        <f>+'Metas 7 (Unidades Moviles)'!M42</f>
        <v>0.16500000000000001</v>
      </c>
      <c r="P111" s="467">
        <f>+'Metas 7 (Unidades Moviles)'!N42</f>
        <v>0.16500000000000001</v>
      </c>
      <c r="Q111" s="467">
        <f>+'Metas 7 (Unidades Moviles)'!O42</f>
        <v>0.17899999999999999</v>
      </c>
      <c r="R111" s="467">
        <f t="shared" si="8"/>
        <v>1.004</v>
      </c>
      <c r="S111" s="515">
        <f t="shared" si="6"/>
        <v>0.33</v>
      </c>
      <c r="T111" s="516">
        <f>+S112-S111</f>
        <v>0</v>
      </c>
    </row>
    <row r="112" spans="1:20">
      <c r="A112" s="591"/>
      <c r="B112" s="591"/>
      <c r="C112" s="593"/>
      <c r="D112" s="593"/>
      <c r="E112" s="468" t="s">
        <v>46</v>
      </c>
      <c r="F112" s="517">
        <f>+'Metas 7 (Unidades Moviles)'!D43</f>
        <v>0</v>
      </c>
      <c r="G112" s="517">
        <f>+'Metas 7 (Unidades Moviles)'!E43</f>
        <v>0</v>
      </c>
      <c r="H112" s="517">
        <f>+'Metas 7 (Unidades Moviles)'!F43</f>
        <v>0</v>
      </c>
      <c r="I112" s="517">
        <f>+'Metas 7 (Unidades Moviles)'!G43</f>
        <v>0</v>
      </c>
      <c r="J112" s="517">
        <f>+'Metas 7 (Unidades Moviles)'!H43</f>
        <v>0</v>
      </c>
      <c r="K112" s="517">
        <f>+'Metas 7 (Unidades Moviles)'!I43</f>
        <v>0</v>
      </c>
      <c r="L112" s="518">
        <f>+'Metas 7 (Unidades Moviles)'!J43</f>
        <v>0.16500000000000001</v>
      </c>
      <c r="M112" s="518">
        <f>+'Metas 7 (Unidades Moviles)'!K43</f>
        <v>0.16500000000000001</v>
      </c>
      <c r="N112" s="518">
        <f>+'Metas 7 (Unidades Moviles)'!L43</f>
        <v>0.16500000000000001</v>
      </c>
      <c r="O112" s="518">
        <f>+'Metas 7 (Unidades Moviles)'!M43</f>
        <v>0.16500000000000001</v>
      </c>
      <c r="P112" s="518">
        <f>+'Metas 7 (Unidades Moviles)'!N43</f>
        <v>0.16500000000000001</v>
      </c>
      <c r="Q112" s="518">
        <f>+'Metas 7 (Unidades Moviles)'!O43</f>
        <v>0</v>
      </c>
      <c r="R112" s="519">
        <f t="shared" si="8"/>
        <v>0.82500000000000007</v>
      </c>
      <c r="S112" s="515">
        <f t="shared" si="6"/>
        <v>0.33</v>
      </c>
      <c r="T112" s="516">
        <f>+S112-S111</f>
        <v>0</v>
      </c>
    </row>
    <row r="113" spans="3:20">
      <c r="S113" s="515"/>
      <c r="T113" s="516"/>
    </row>
    <row r="114" spans="3:20">
      <c r="C114" s="516">
        <f>SUM(C73:C112)</f>
        <v>0</v>
      </c>
      <c r="D114" s="516">
        <f>SUM(D73:D112)</f>
        <v>1.0000000000000002</v>
      </c>
      <c r="S114" s="515"/>
      <c r="T114" s="516"/>
    </row>
  </sheetData>
  <autoFilter ref="A72:AP111" xr:uid="{FA2B2DB2-BBB4-48EB-A778-EE20CEC26912}"/>
  <mergeCells count="99">
    <mergeCell ref="A6:D6"/>
    <mergeCell ref="H1:U1"/>
    <mergeCell ref="X1:AK1"/>
    <mergeCell ref="A3:D3"/>
    <mergeCell ref="A4:D4"/>
    <mergeCell ref="A5:D5"/>
    <mergeCell ref="A10:A15"/>
    <mergeCell ref="B10:B15"/>
    <mergeCell ref="C10:C15"/>
    <mergeCell ref="A16:A21"/>
    <mergeCell ref="B16:B21"/>
    <mergeCell ref="C16:C21"/>
    <mergeCell ref="A22:A27"/>
    <mergeCell ref="B22:B27"/>
    <mergeCell ref="C22:C27"/>
    <mergeCell ref="A28:A33"/>
    <mergeCell ref="B28:B33"/>
    <mergeCell ref="C28:C33"/>
    <mergeCell ref="A34:A39"/>
    <mergeCell ref="B34:B39"/>
    <mergeCell ref="C34:C39"/>
    <mergeCell ref="A40:A45"/>
    <mergeCell ref="B40:B45"/>
    <mergeCell ref="C40:C45"/>
    <mergeCell ref="A46:A51"/>
    <mergeCell ref="B46:B51"/>
    <mergeCell ref="C46:C51"/>
    <mergeCell ref="A53:B53"/>
    <mergeCell ref="A71:A72"/>
    <mergeCell ref="B71:B72"/>
    <mergeCell ref="D71:D72"/>
    <mergeCell ref="E71:R71"/>
    <mergeCell ref="A73:A74"/>
    <mergeCell ref="B73:B74"/>
    <mergeCell ref="C73:C76"/>
    <mergeCell ref="D73:D74"/>
    <mergeCell ref="A75:A76"/>
    <mergeCell ref="B75:B76"/>
    <mergeCell ref="D75:D76"/>
    <mergeCell ref="A77:A78"/>
    <mergeCell ref="B77:B78"/>
    <mergeCell ref="C77:C82"/>
    <mergeCell ref="D77:D78"/>
    <mergeCell ref="A79:A80"/>
    <mergeCell ref="B79:B80"/>
    <mergeCell ref="D79:D80"/>
    <mergeCell ref="A81:A82"/>
    <mergeCell ref="B81:B82"/>
    <mergeCell ref="D81:D82"/>
    <mergeCell ref="A83:A84"/>
    <mergeCell ref="B83:B84"/>
    <mergeCell ref="C83:C88"/>
    <mergeCell ref="D83:D84"/>
    <mergeCell ref="A85:A86"/>
    <mergeCell ref="B85:B86"/>
    <mergeCell ref="D85:D86"/>
    <mergeCell ref="A87:A88"/>
    <mergeCell ref="B87:B88"/>
    <mergeCell ref="D87:D88"/>
    <mergeCell ref="A89:A90"/>
    <mergeCell ref="B89:B90"/>
    <mergeCell ref="C89:C94"/>
    <mergeCell ref="D89:D90"/>
    <mergeCell ref="A91:A92"/>
    <mergeCell ref="B91:B92"/>
    <mergeCell ref="D91:D92"/>
    <mergeCell ref="A93:A94"/>
    <mergeCell ref="B93:B94"/>
    <mergeCell ref="D93:D94"/>
    <mergeCell ref="A95:A96"/>
    <mergeCell ref="B95:B96"/>
    <mergeCell ref="C95:C98"/>
    <mergeCell ref="D95:D96"/>
    <mergeCell ref="A97:A98"/>
    <mergeCell ref="B97:B98"/>
    <mergeCell ref="D97:D98"/>
    <mergeCell ref="A99:A100"/>
    <mergeCell ref="B99:B100"/>
    <mergeCell ref="C99:C106"/>
    <mergeCell ref="D99:D100"/>
    <mergeCell ref="A101:A102"/>
    <mergeCell ref="B101:B102"/>
    <mergeCell ref="D101:D102"/>
    <mergeCell ref="A103:A104"/>
    <mergeCell ref="B103:B104"/>
    <mergeCell ref="D103:D104"/>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pageSetUpPr fitToPage="1"/>
  </sheetPr>
  <dimension ref="A1:BB99"/>
  <sheetViews>
    <sheetView view="pageBreakPreview" topLeftCell="W18" zoomScale="50" zoomScaleNormal="50" zoomScaleSheetLayoutView="50" workbookViewId="0">
      <selection activeCell="AL20" sqref="AL20"/>
    </sheetView>
  </sheetViews>
  <sheetFormatPr baseColWidth="10" defaultColWidth="10" defaultRowHeight="15" customHeight="1"/>
  <cols>
    <col min="1" max="1" width="10" style="184"/>
    <col min="2" max="7" width="10" style="184" customWidth="1"/>
    <col min="8" max="8" width="10" style="184"/>
    <col min="9" max="9" width="19.5703125" style="184" customWidth="1"/>
    <col min="10" max="10" width="32" style="184" customWidth="1"/>
    <col min="11" max="11" width="10.7109375" style="184" customWidth="1"/>
    <col min="12" max="12" width="10" style="184"/>
    <col min="13" max="13" width="12.5703125" style="184" customWidth="1"/>
    <col min="14" max="14" width="23.7109375" style="184" customWidth="1"/>
    <col min="15" max="19" width="10" style="184"/>
    <col min="20" max="20" width="12.5703125" style="184" customWidth="1"/>
    <col min="21" max="21" width="15.7109375" style="208" customWidth="1"/>
    <col min="22" max="22" width="10" style="307"/>
    <col min="23" max="23" width="10" style="307" customWidth="1"/>
    <col min="24" max="24" width="13.42578125" style="307" bestFit="1" customWidth="1"/>
    <col min="25" max="25" width="10" style="307" customWidth="1"/>
    <col min="26" max="26" width="13.42578125" style="307" bestFit="1" customWidth="1"/>
    <col min="27" max="33" width="10" style="307" customWidth="1"/>
    <col min="34" max="34" width="8.5703125" style="307" customWidth="1"/>
    <col min="35" max="35" width="10" style="307" customWidth="1"/>
    <col min="36" max="36" width="11.85546875" style="307" customWidth="1"/>
    <col min="37" max="37" width="7.5703125" style="307" customWidth="1"/>
    <col min="38" max="39" width="10" style="307" customWidth="1"/>
    <col min="40" max="40" width="10" style="476" customWidth="1"/>
    <col min="41" max="41" width="8.28515625" style="307" bestFit="1" customWidth="1"/>
    <col min="42" max="44" width="10" style="307" customWidth="1"/>
    <col min="45" max="45" width="12.28515625" style="307" hidden="1" customWidth="1"/>
    <col min="46" max="46" width="10" style="307" customWidth="1"/>
    <col min="47" max="47" width="10" style="184" customWidth="1"/>
    <col min="48" max="48" width="73.28515625" style="184" customWidth="1"/>
    <col min="49" max="49" width="25.5703125" style="184" customWidth="1"/>
    <col min="50" max="50" width="39.42578125" style="184" customWidth="1"/>
    <col min="51" max="51" width="15.42578125" style="341" customWidth="1"/>
    <col min="52" max="16383" width="10" style="184"/>
    <col min="16384" max="16384" width="10" style="184" bestFit="1" customWidth="1"/>
  </cols>
  <sheetData>
    <row r="1" spans="1:52" ht="15.75" customHeight="1">
      <c r="A1" s="616" t="s">
        <v>53</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8"/>
      <c r="AW1" s="619" t="s">
        <v>54</v>
      </c>
      <c r="AX1" s="620"/>
    </row>
    <row r="2" spans="1:52" ht="15.75" customHeight="1">
      <c r="A2" s="621" t="s">
        <v>55</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3"/>
      <c r="AW2" s="624" t="s">
        <v>56</v>
      </c>
      <c r="AX2" s="623"/>
    </row>
    <row r="3" spans="1:52" ht="15" customHeight="1">
      <c r="A3" s="625" t="s">
        <v>57</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626"/>
      <c r="AU3" s="626"/>
      <c r="AV3" s="627"/>
      <c r="AW3" s="624" t="s">
        <v>58</v>
      </c>
      <c r="AX3" s="623"/>
    </row>
    <row r="4" spans="1:52" ht="15.75" customHeight="1">
      <c r="A4" s="628"/>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8"/>
      <c r="AW4" s="629" t="s">
        <v>59</v>
      </c>
      <c r="AX4" s="623"/>
    </row>
    <row r="5" spans="1:52" ht="15" customHeight="1" thickBot="1">
      <c r="A5" s="630" t="s">
        <v>60</v>
      </c>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3"/>
      <c r="AH5" s="631" t="s">
        <v>61</v>
      </c>
      <c r="AI5" s="626"/>
      <c r="AJ5" s="626"/>
      <c r="AK5" s="626"/>
      <c r="AL5" s="626"/>
      <c r="AM5" s="626"/>
      <c r="AN5" s="626"/>
      <c r="AO5" s="626"/>
      <c r="AP5" s="626"/>
      <c r="AQ5" s="626"/>
      <c r="AR5" s="626"/>
      <c r="AS5" s="626"/>
      <c r="AT5" s="626"/>
      <c r="AU5" s="627"/>
      <c r="AV5" s="635" t="s">
        <v>62</v>
      </c>
      <c r="AW5" s="635" t="s">
        <v>63</v>
      </c>
      <c r="AX5" s="635" t="s">
        <v>64</v>
      </c>
    </row>
    <row r="6" spans="1:52" ht="15" customHeight="1">
      <c r="A6" s="631" t="s">
        <v>65</v>
      </c>
      <c r="B6" s="626"/>
      <c r="C6" s="627"/>
      <c r="D6" s="638">
        <v>44866</v>
      </c>
      <c r="E6" s="639"/>
      <c r="F6" s="631" t="s">
        <v>66</v>
      </c>
      <c r="G6" s="627"/>
      <c r="H6" s="644" t="s">
        <v>67</v>
      </c>
      <c r="I6" s="623"/>
      <c r="J6" s="185"/>
      <c r="K6" s="631"/>
      <c r="L6" s="626"/>
      <c r="M6" s="626"/>
      <c r="N6" s="626"/>
      <c r="O6" s="626"/>
      <c r="P6" s="626"/>
      <c r="Q6" s="626"/>
      <c r="R6" s="626"/>
      <c r="S6" s="626"/>
      <c r="T6" s="626"/>
      <c r="U6" s="626"/>
      <c r="V6" s="342"/>
      <c r="W6" s="342"/>
      <c r="X6" s="342"/>
      <c r="Y6" s="342"/>
      <c r="Z6" s="342"/>
      <c r="AA6" s="342"/>
      <c r="AB6" s="342"/>
      <c r="AC6" s="342"/>
      <c r="AD6" s="342"/>
      <c r="AE6" s="342"/>
      <c r="AF6" s="342"/>
      <c r="AG6" s="343"/>
      <c r="AH6" s="632"/>
      <c r="AI6" s="633"/>
      <c r="AJ6" s="633"/>
      <c r="AK6" s="633"/>
      <c r="AL6" s="633"/>
      <c r="AM6" s="633"/>
      <c r="AN6" s="633"/>
      <c r="AO6" s="633"/>
      <c r="AP6" s="633"/>
      <c r="AQ6" s="633"/>
      <c r="AR6" s="633"/>
      <c r="AS6" s="633"/>
      <c r="AT6" s="633"/>
      <c r="AU6" s="634"/>
      <c r="AV6" s="636"/>
      <c r="AW6" s="636"/>
      <c r="AX6" s="636"/>
    </row>
    <row r="7" spans="1:52" ht="15" customHeight="1">
      <c r="A7" s="632"/>
      <c r="B7" s="633"/>
      <c r="C7" s="634"/>
      <c r="D7" s="640"/>
      <c r="E7" s="641"/>
      <c r="F7" s="632"/>
      <c r="G7" s="634"/>
      <c r="H7" s="644" t="s">
        <v>68</v>
      </c>
      <c r="I7" s="623"/>
      <c r="J7" s="185"/>
      <c r="K7" s="632"/>
      <c r="L7" s="633"/>
      <c r="M7" s="633"/>
      <c r="N7" s="633"/>
      <c r="O7" s="633"/>
      <c r="P7" s="633"/>
      <c r="Q7" s="633"/>
      <c r="R7" s="633"/>
      <c r="S7" s="633"/>
      <c r="T7" s="633"/>
      <c r="U7" s="633"/>
      <c r="V7" s="344"/>
      <c r="W7" s="344"/>
      <c r="X7" s="344"/>
      <c r="Y7" s="344"/>
      <c r="Z7" s="344"/>
      <c r="AA7" s="344"/>
      <c r="AB7" s="344"/>
      <c r="AC7" s="344"/>
      <c r="AD7" s="344"/>
      <c r="AE7" s="344"/>
      <c r="AF7" s="344"/>
      <c r="AG7" s="345"/>
      <c r="AH7" s="632"/>
      <c r="AI7" s="633"/>
      <c r="AJ7" s="633"/>
      <c r="AK7" s="633"/>
      <c r="AL7" s="633"/>
      <c r="AM7" s="633"/>
      <c r="AN7" s="633"/>
      <c r="AO7" s="633"/>
      <c r="AP7" s="633"/>
      <c r="AQ7" s="633"/>
      <c r="AR7" s="633"/>
      <c r="AS7" s="633"/>
      <c r="AT7" s="633"/>
      <c r="AU7" s="634"/>
      <c r="AV7" s="636"/>
      <c r="AW7" s="636"/>
      <c r="AX7" s="636"/>
    </row>
    <row r="8" spans="1:52" ht="15" customHeight="1" thickBot="1">
      <c r="A8" s="628"/>
      <c r="B8" s="617"/>
      <c r="C8" s="618"/>
      <c r="D8" s="642"/>
      <c r="E8" s="643"/>
      <c r="F8" s="628"/>
      <c r="G8" s="618"/>
      <c r="H8" s="644" t="s">
        <v>61</v>
      </c>
      <c r="I8" s="623"/>
      <c r="J8" s="185" t="s">
        <v>69</v>
      </c>
      <c r="K8" s="628"/>
      <c r="L8" s="617"/>
      <c r="M8" s="617"/>
      <c r="N8" s="617"/>
      <c r="O8" s="617"/>
      <c r="P8" s="617"/>
      <c r="Q8" s="617"/>
      <c r="R8" s="617"/>
      <c r="S8" s="617"/>
      <c r="T8" s="617"/>
      <c r="U8" s="617"/>
      <c r="V8" s="346"/>
      <c r="W8" s="346"/>
      <c r="X8" s="346"/>
      <c r="Y8" s="346"/>
      <c r="Z8" s="346"/>
      <c r="AA8" s="346"/>
      <c r="AB8" s="346"/>
      <c r="AC8" s="346"/>
      <c r="AD8" s="346"/>
      <c r="AE8" s="346"/>
      <c r="AF8" s="346"/>
      <c r="AG8" s="347"/>
      <c r="AH8" s="632"/>
      <c r="AI8" s="633"/>
      <c r="AJ8" s="633"/>
      <c r="AK8" s="633"/>
      <c r="AL8" s="633"/>
      <c r="AM8" s="633"/>
      <c r="AN8" s="633"/>
      <c r="AO8" s="633"/>
      <c r="AP8" s="633"/>
      <c r="AQ8" s="633"/>
      <c r="AR8" s="633"/>
      <c r="AS8" s="633"/>
      <c r="AT8" s="633"/>
      <c r="AU8" s="634"/>
      <c r="AV8" s="636"/>
      <c r="AW8" s="636"/>
      <c r="AX8" s="636"/>
    </row>
    <row r="9" spans="1:52" ht="15" customHeight="1">
      <c r="A9" s="645" t="s">
        <v>70</v>
      </c>
      <c r="B9" s="617"/>
      <c r="C9" s="618"/>
      <c r="D9" s="646" t="s">
        <v>71</v>
      </c>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8"/>
      <c r="AH9" s="632"/>
      <c r="AI9" s="633"/>
      <c r="AJ9" s="633"/>
      <c r="AK9" s="633"/>
      <c r="AL9" s="633"/>
      <c r="AM9" s="633"/>
      <c r="AN9" s="633"/>
      <c r="AO9" s="633"/>
      <c r="AP9" s="633"/>
      <c r="AQ9" s="633"/>
      <c r="AR9" s="633"/>
      <c r="AS9" s="633"/>
      <c r="AT9" s="633"/>
      <c r="AU9" s="634"/>
      <c r="AV9" s="636"/>
      <c r="AW9" s="636"/>
      <c r="AX9" s="636"/>
    </row>
    <row r="10" spans="1:52" ht="15" customHeight="1">
      <c r="A10" s="647" t="s">
        <v>72</v>
      </c>
      <c r="B10" s="622"/>
      <c r="C10" s="623"/>
      <c r="D10" s="648" t="s">
        <v>73</v>
      </c>
      <c r="E10" s="622"/>
      <c r="F10" s="622"/>
      <c r="G10" s="622"/>
      <c r="H10" s="622"/>
      <c r="I10" s="622"/>
      <c r="J10" s="622"/>
      <c r="K10" s="622"/>
      <c r="L10" s="622"/>
      <c r="M10" s="622"/>
      <c r="N10" s="622"/>
      <c r="O10" s="622"/>
      <c r="P10" s="622"/>
      <c r="Q10" s="622"/>
      <c r="R10" s="622"/>
      <c r="S10" s="622"/>
      <c r="T10" s="622"/>
      <c r="U10" s="622"/>
      <c r="V10" s="626"/>
      <c r="W10" s="626"/>
      <c r="X10" s="626"/>
      <c r="Y10" s="626"/>
      <c r="Z10" s="626"/>
      <c r="AA10" s="626"/>
      <c r="AB10" s="626"/>
      <c r="AC10" s="626"/>
      <c r="AD10" s="626"/>
      <c r="AE10" s="626"/>
      <c r="AF10" s="626"/>
      <c r="AG10" s="627"/>
      <c r="AH10" s="628"/>
      <c r="AI10" s="617"/>
      <c r="AJ10" s="617"/>
      <c r="AK10" s="617"/>
      <c r="AL10" s="617"/>
      <c r="AM10" s="617"/>
      <c r="AN10" s="617"/>
      <c r="AO10" s="617"/>
      <c r="AP10" s="617"/>
      <c r="AQ10" s="617"/>
      <c r="AR10" s="617"/>
      <c r="AS10" s="617"/>
      <c r="AT10" s="617"/>
      <c r="AU10" s="618"/>
      <c r="AV10" s="636"/>
      <c r="AW10" s="636"/>
      <c r="AX10" s="636"/>
      <c r="AY10" s="614" t="s">
        <v>74</v>
      </c>
      <c r="AZ10" s="615"/>
    </row>
    <row r="11" spans="1:52" ht="39.75" customHeight="1">
      <c r="A11" s="649" t="s">
        <v>75</v>
      </c>
      <c r="B11" s="622"/>
      <c r="C11" s="622"/>
      <c r="D11" s="622"/>
      <c r="E11" s="622"/>
      <c r="F11" s="623"/>
      <c r="G11" s="649" t="s">
        <v>76</v>
      </c>
      <c r="H11" s="623"/>
      <c r="I11" s="635" t="s">
        <v>77</v>
      </c>
      <c r="J11" s="635" t="s">
        <v>78</v>
      </c>
      <c r="K11" s="635" t="s">
        <v>79</v>
      </c>
      <c r="L11" s="635" t="s">
        <v>80</v>
      </c>
      <c r="M11" s="635" t="s">
        <v>81</v>
      </c>
      <c r="N11" s="635" t="s">
        <v>82</v>
      </c>
      <c r="O11" s="649" t="s">
        <v>83</v>
      </c>
      <c r="P11" s="622"/>
      <c r="Q11" s="622"/>
      <c r="R11" s="622"/>
      <c r="S11" s="623"/>
      <c r="T11" s="635" t="s">
        <v>84</v>
      </c>
      <c r="U11" s="665" t="s">
        <v>85</v>
      </c>
      <c r="V11" s="667" t="s">
        <v>86</v>
      </c>
      <c r="W11" s="668"/>
      <c r="X11" s="668"/>
      <c r="Y11" s="668"/>
      <c r="Z11" s="668"/>
      <c r="AA11" s="668"/>
      <c r="AB11" s="668"/>
      <c r="AC11" s="668"/>
      <c r="AD11" s="668"/>
      <c r="AE11" s="668"/>
      <c r="AF11" s="668"/>
      <c r="AG11" s="669"/>
      <c r="AH11" s="650" t="s">
        <v>87</v>
      </c>
      <c r="AI11" s="651"/>
      <c r="AJ11" s="651"/>
      <c r="AK11" s="651"/>
      <c r="AL11" s="651"/>
      <c r="AM11" s="651"/>
      <c r="AN11" s="651"/>
      <c r="AO11" s="651"/>
      <c r="AP11" s="651"/>
      <c r="AQ11" s="651"/>
      <c r="AR11" s="651"/>
      <c r="AS11" s="652"/>
      <c r="AT11" s="649" t="s">
        <v>15</v>
      </c>
      <c r="AU11" s="623"/>
      <c r="AV11" s="636"/>
      <c r="AW11" s="636"/>
      <c r="AX11" s="636"/>
      <c r="AY11" s="614" t="s">
        <v>15</v>
      </c>
      <c r="AZ11" s="615"/>
    </row>
    <row r="12" spans="1:52" ht="50.25" customHeight="1">
      <c r="A12" s="186" t="s">
        <v>88</v>
      </c>
      <c r="B12" s="186" t="s">
        <v>89</v>
      </c>
      <c r="C12" s="186" t="s">
        <v>90</v>
      </c>
      <c r="D12" s="186" t="s">
        <v>91</v>
      </c>
      <c r="E12" s="186" t="s">
        <v>92</v>
      </c>
      <c r="F12" s="186" t="s">
        <v>93</v>
      </c>
      <c r="G12" s="186" t="s">
        <v>94</v>
      </c>
      <c r="H12" s="186" t="s">
        <v>95</v>
      </c>
      <c r="I12" s="637"/>
      <c r="J12" s="637"/>
      <c r="K12" s="637"/>
      <c r="L12" s="637"/>
      <c r="M12" s="637"/>
      <c r="N12" s="637"/>
      <c r="O12" s="186">
        <v>2020</v>
      </c>
      <c r="P12" s="186">
        <v>2021</v>
      </c>
      <c r="Q12" s="186">
        <v>2022</v>
      </c>
      <c r="R12" s="186">
        <v>2023</v>
      </c>
      <c r="S12" s="186">
        <v>2024</v>
      </c>
      <c r="T12" s="637"/>
      <c r="U12" s="666"/>
      <c r="V12" s="524" t="s">
        <v>3</v>
      </c>
      <c r="W12" s="305" t="s">
        <v>4</v>
      </c>
      <c r="X12" s="305" t="s">
        <v>5</v>
      </c>
      <c r="Y12" s="305" t="s">
        <v>6</v>
      </c>
      <c r="Z12" s="305" t="s">
        <v>7</v>
      </c>
      <c r="AA12" s="305" t="s">
        <v>8</v>
      </c>
      <c r="AB12" s="305" t="s">
        <v>9</v>
      </c>
      <c r="AC12" s="305" t="s">
        <v>10</v>
      </c>
      <c r="AD12" s="305" t="s">
        <v>11</v>
      </c>
      <c r="AE12" s="305" t="s">
        <v>12</v>
      </c>
      <c r="AF12" s="305" t="s">
        <v>13</v>
      </c>
      <c r="AG12" s="525" t="s">
        <v>14</v>
      </c>
      <c r="AH12" s="535" t="s">
        <v>3</v>
      </c>
      <c r="AI12" s="305" t="s">
        <v>4</v>
      </c>
      <c r="AJ12" s="305" t="s">
        <v>5</v>
      </c>
      <c r="AK12" s="305" t="s">
        <v>6</v>
      </c>
      <c r="AL12" s="305" t="s">
        <v>7</v>
      </c>
      <c r="AM12" s="305" t="s">
        <v>8</v>
      </c>
      <c r="AN12" s="305" t="s">
        <v>9</v>
      </c>
      <c r="AO12" s="305" t="s">
        <v>10</v>
      </c>
      <c r="AP12" s="305" t="s">
        <v>11</v>
      </c>
      <c r="AQ12" s="305" t="s">
        <v>12</v>
      </c>
      <c r="AR12" s="305" t="s">
        <v>13</v>
      </c>
      <c r="AS12" s="305" t="s">
        <v>14</v>
      </c>
      <c r="AT12" s="305" t="s">
        <v>96</v>
      </c>
      <c r="AU12" s="340" t="s">
        <v>97</v>
      </c>
      <c r="AV12" s="637"/>
      <c r="AW12" s="637"/>
      <c r="AX12" s="637"/>
      <c r="AY12" s="446" t="s">
        <v>96</v>
      </c>
      <c r="AZ12" s="447" t="s">
        <v>97</v>
      </c>
    </row>
    <row r="13" spans="1:52" ht="167.25" customHeight="1">
      <c r="A13" s="187">
        <v>52</v>
      </c>
      <c r="B13" s="188"/>
      <c r="C13" s="189"/>
      <c r="D13" s="188"/>
      <c r="E13" s="188"/>
      <c r="F13" s="189"/>
      <c r="G13" s="190"/>
      <c r="H13" s="190" t="s">
        <v>98</v>
      </c>
      <c r="I13" s="434" t="s">
        <v>99</v>
      </c>
      <c r="J13" s="434" t="s">
        <v>100</v>
      </c>
      <c r="K13" s="189" t="s">
        <v>101</v>
      </c>
      <c r="L13" s="189">
        <v>1</v>
      </c>
      <c r="M13" s="189" t="s">
        <v>102</v>
      </c>
      <c r="N13" s="434" t="s">
        <v>103</v>
      </c>
      <c r="O13" s="191">
        <v>0.3</v>
      </c>
      <c r="P13" s="191">
        <v>0.7</v>
      </c>
      <c r="Q13" s="191">
        <v>1</v>
      </c>
      <c r="R13" s="191">
        <v>1</v>
      </c>
      <c r="S13" s="191">
        <v>1</v>
      </c>
      <c r="T13" s="192" t="s">
        <v>104</v>
      </c>
      <c r="U13" s="533" t="s">
        <v>105</v>
      </c>
      <c r="V13" s="526">
        <v>0.75249999999999995</v>
      </c>
      <c r="W13" s="404">
        <v>0.80500000000000005</v>
      </c>
      <c r="X13" s="404">
        <v>0.85749999999999993</v>
      </c>
      <c r="Y13" s="404">
        <v>0.8866666666666666</v>
      </c>
      <c r="Z13" s="404">
        <v>0.91583333333333328</v>
      </c>
      <c r="AA13" s="404">
        <v>0.94499999999999995</v>
      </c>
      <c r="AB13" s="404">
        <v>0.96666666666666656</v>
      </c>
      <c r="AC13" s="404">
        <v>0.97333333333333327</v>
      </c>
      <c r="AD13" s="404">
        <v>0.98</v>
      </c>
      <c r="AE13" s="404">
        <v>0.98666666666666669</v>
      </c>
      <c r="AF13" s="404">
        <v>0.9933333333333334</v>
      </c>
      <c r="AG13" s="542">
        <v>1</v>
      </c>
      <c r="AH13" s="537">
        <f>'Metas 5'!D35</f>
        <v>0.75372499999999998</v>
      </c>
      <c r="AI13" s="538">
        <f>'Metas 5'!E35</f>
        <v>0.79977500000000001</v>
      </c>
      <c r="AJ13" s="538">
        <f>'Metas 5'!F35</f>
        <v>0.84582500000000005</v>
      </c>
      <c r="AK13" s="538">
        <f>'Metas 5'!G35</f>
        <v>0.88266500000000003</v>
      </c>
      <c r="AL13" s="538">
        <f>'Metas 5'!H35</f>
        <v>0.91251222222222228</v>
      </c>
      <c r="AM13" s="538">
        <f>'Metas 5'!I35</f>
        <v>0.93468444444444454</v>
      </c>
      <c r="AN13" s="538">
        <f>'Metas 5'!J35</f>
        <v>0.97459444444444454</v>
      </c>
      <c r="AO13" s="538">
        <f>'Metas 5'!K35</f>
        <v>0.98141666666666671</v>
      </c>
      <c r="AP13" s="538">
        <f>'Metas 5'!L35</f>
        <v>0.98755666666666675</v>
      </c>
      <c r="AQ13" s="538">
        <v>0.97</v>
      </c>
      <c r="AR13" s="538">
        <v>0.98399999999999999</v>
      </c>
      <c r="AS13" s="542"/>
      <c r="AT13" s="569">
        <f>AR13</f>
        <v>0.98399999999999999</v>
      </c>
      <c r="AU13" s="547">
        <f t="shared" ref="AU13:AU21" si="0">AT13/Q13</f>
        <v>0.98399999999999999</v>
      </c>
      <c r="AV13" s="554" t="s">
        <v>106</v>
      </c>
      <c r="AW13" s="482" t="str">
        <f>'Metas 6 (ONU Mujeres)'!W34</f>
        <v xml:space="preserve">Ninguno </v>
      </c>
      <c r="AX13" s="482" t="str">
        <f>'Metas 6 (ONU Mujeres)'!AA34</f>
        <v xml:space="preserve">La acciones de implementación de la estrategia han permitido un mayor reconocimiento, recordación y apronación  por parte de la ciudadanía del Sistem Distrital de Cuidado. </v>
      </c>
      <c r="AY13" s="197">
        <f>+AT13</f>
        <v>0.98399999999999999</v>
      </c>
      <c r="AZ13" s="193">
        <f t="shared" ref="AZ13:AZ21" si="1">AY13/L13</f>
        <v>0.98399999999999999</v>
      </c>
    </row>
    <row r="14" spans="1:52" ht="243.75" customHeight="1">
      <c r="A14" s="187">
        <v>53</v>
      </c>
      <c r="B14" s="188"/>
      <c r="C14" s="189"/>
      <c r="D14" s="188"/>
      <c r="E14" s="188"/>
      <c r="F14" s="189"/>
      <c r="G14" s="190"/>
      <c r="H14" s="190" t="s">
        <v>98</v>
      </c>
      <c r="I14" s="434" t="s">
        <v>107</v>
      </c>
      <c r="J14" s="434" t="s">
        <v>108</v>
      </c>
      <c r="K14" s="189" t="s">
        <v>109</v>
      </c>
      <c r="L14" s="189">
        <v>100</v>
      </c>
      <c r="M14" s="189" t="s">
        <v>110</v>
      </c>
      <c r="N14" s="434" t="s">
        <v>111</v>
      </c>
      <c r="O14" s="194">
        <v>7</v>
      </c>
      <c r="P14" s="194">
        <v>17.91</v>
      </c>
      <c r="Q14" s="194">
        <v>25.09</v>
      </c>
      <c r="R14" s="194">
        <v>25</v>
      </c>
      <c r="S14" s="194">
        <v>25</v>
      </c>
      <c r="T14" s="192" t="s">
        <v>104</v>
      </c>
      <c r="U14" s="533" t="s">
        <v>105</v>
      </c>
      <c r="V14" s="527">
        <f t="shared" ref="V14:AG14" si="2">25.09/12</f>
        <v>2.0908333333333333</v>
      </c>
      <c r="W14" s="477">
        <f t="shared" si="2"/>
        <v>2.0908333333333333</v>
      </c>
      <c r="X14" s="477">
        <f t="shared" si="2"/>
        <v>2.0908333333333333</v>
      </c>
      <c r="Y14" s="477">
        <f t="shared" si="2"/>
        <v>2.0908333333333333</v>
      </c>
      <c r="Z14" s="477">
        <f t="shared" si="2"/>
        <v>2.0908333333333333</v>
      </c>
      <c r="AA14" s="477">
        <f t="shared" si="2"/>
        <v>2.0908333333333333</v>
      </c>
      <c r="AB14" s="477">
        <f t="shared" si="2"/>
        <v>2.0908333333333333</v>
      </c>
      <c r="AC14" s="477">
        <f t="shared" si="2"/>
        <v>2.0908333333333333</v>
      </c>
      <c r="AD14" s="477">
        <f t="shared" si="2"/>
        <v>2.0908333333333333</v>
      </c>
      <c r="AE14" s="477">
        <f t="shared" si="2"/>
        <v>2.0908333333333333</v>
      </c>
      <c r="AF14" s="477">
        <f t="shared" si="2"/>
        <v>2.0908333333333333</v>
      </c>
      <c r="AG14" s="543">
        <f t="shared" si="2"/>
        <v>2.0908333333333333</v>
      </c>
      <c r="AH14" s="526">
        <v>0.72062999999999999</v>
      </c>
      <c r="AI14" s="404">
        <v>3.46</v>
      </c>
      <c r="AJ14" s="404">
        <v>2</v>
      </c>
      <c r="AK14" s="404">
        <v>0.8</v>
      </c>
      <c r="AL14" s="404">
        <v>0.92</v>
      </c>
      <c r="AM14" s="404">
        <f>'Metas 1'!I35</f>
        <v>0.8387943000000001</v>
      </c>
      <c r="AN14" s="474">
        <f>'Metas 1'!J35</f>
        <v>0.88228085000000012</v>
      </c>
      <c r="AO14" s="474">
        <f>'Metas 1'!K35</f>
        <v>0.90785395000000013</v>
      </c>
      <c r="AP14" s="474">
        <f>'Metas 1'!L35</f>
        <v>0.93138550000000009</v>
      </c>
      <c r="AQ14" s="404">
        <f>'Metas 1'!M35+8.55</f>
        <v>9.5049170500000013</v>
      </c>
      <c r="AR14" s="201">
        <v>2</v>
      </c>
      <c r="AS14" s="545"/>
      <c r="AT14" s="568">
        <f>SUM(AH14:AS14)</f>
        <v>22.965861650000001</v>
      </c>
      <c r="AU14" s="549">
        <f t="shared" si="0"/>
        <v>0.91533924471901162</v>
      </c>
      <c r="AV14" s="555" t="s">
        <v>112</v>
      </c>
      <c r="AW14" s="484" t="str">
        <f>'Metas 1'!W34</f>
        <v>Ninguno</v>
      </c>
      <c r="AX14" s="483" t="s">
        <v>113</v>
      </c>
      <c r="AY14" s="197">
        <f>(O14+P14+AT14)</f>
        <v>47.875861650000004</v>
      </c>
      <c r="AZ14" s="193">
        <f t="shared" si="1"/>
        <v>0.47875861650000007</v>
      </c>
    </row>
    <row r="15" spans="1:52" ht="244.5" customHeight="1">
      <c r="A15" s="187">
        <v>56</v>
      </c>
      <c r="B15" s="188"/>
      <c r="C15" s="189"/>
      <c r="D15" s="188"/>
      <c r="E15" s="188"/>
      <c r="F15" s="189"/>
      <c r="G15" s="190"/>
      <c r="H15" s="190" t="s">
        <v>98</v>
      </c>
      <c r="I15" s="434" t="s">
        <v>114</v>
      </c>
      <c r="J15" s="434" t="s">
        <v>115</v>
      </c>
      <c r="K15" s="189" t="s">
        <v>109</v>
      </c>
      <c r="L15" s="189">
        <v>2</v>
      </c>
      <c r="M15" s="189" t="s">
        <v>102</v>
      </c>
      <c r="N15" s="434" t="s">
        <v>116</v>
      </c>
      <c r="O15" s="195">
        <v>0.1</v>
      </c>
      <c r="P15" s="195">
        <v>0.49</v>
      </c>
      <c r="Q15" s="196">
        <v>0.50900000000000001</v>
      </c>
      <c r="R15" s="195">
        <v>0.5</v>
      </c>
      <c r="S15" s="195">
        <v>0.4</v>
      </c>
      <c r="T15" s="192" t="s">
        <v>104</v>
      </c>
      <c r="U15" s="533" t="s">
        <v>117</v>
      </c>
      <c r="V15" s="526">
        <f t="shared" ref="V15:AG15" si="3">$Q$15/12</f>
        <v>4.2416666666666665E-2</v>
      </c>
      <c r="W15" s="404">
        <f t="shared" si="3"/>
        <v>4.2416666666666665E-2</v>
      </c>
      <c r="X15" s="404">
        <f t="shared" si="3"/>
        <v>4.2416666666666665E-2</v>
      </c>
      <c r="Y15" s="404">
        <f t="shared" si="3"/>
        <v>4.2416666666666665E-2</v>
      </c>
      <c r="Z15" s="404">
        <f t="shared" si="3"/>
        <v>4.2416666666666665E-2</v>
      </c>
      <c r="AA15" s="404">
        <f t="shared" si="3"/>
        <v>4.2416666666666665E-2</v>
      </c>
      <c r="AB15" s="404">
        <f t="shared" si="3"/>
        <v>4.2416666666666665E-2</v>
      </c>
      <c r="AC15" s="404">
        <f t="shared" si="3"/>
        <v>4.2416666666666665E-2</v>
      </c>
      <c r="AD15" s="404">
        <f t="shared" si="3"/>
        <v>4.2416666666666665E-2</v>
      </c>
      <c r="AE15" s="404">
        <f t="shared" si="3"/>
        <v>4.2416666666666665E-2</v>
      </c>
      <c r="AF15" s="404">
        <f t="shared" si="3"/>
        <v>4.2416666666666665E-2</v>
      </c>
      <c r="AG15" s="542">
        <f t="shared" si="3"/>
        <v>4.2416666666666665E-2</v>
      </c>
      <c r="AH15" s="526">
        <f>+'[3]Metas 7 (Unidades Moviles)'!D35+'[3]Metas 3'!D35</f>
        <v>1.8916666666666668E-2</v>
      </c>
      <c r="AI15" s="404">
        <f>+'Metas 3'!E35+'Metas 7 (Unidades Moviles)'!E35</f>
        <v>3.4716666666666667E-2</v>
      </c>
      <c r="AJ15" s="404">
        <f>+'Metas 3'!F35+'Metas 7 (Unidades Moviles)'!F35</f>
        <v>4.1105555555555555E-2</v>
      </c>
      <c r="AK15" s="404">
        <f>+'Metas 3'!G35+'Metas 7 (Unidades Moviles)'!G35</f>
        <v>3.4716666666666667E-2</v>
      </c>
      <c r="AL15" s="404">
        <f>+'Metas 3'!H35+'Metas 7 (Unidades Moviles)'!H35</f>
        <v>3.4883333333333336E-2</v>
      </c>
      <c r="AM15" s="404">
        <f>+'Metas 3'!I35+'Metas 7 (Unidades Moviles)'!I35</f>
        <v>3.3883333333333335E-2</v>
      </c>
      <c r="AN15" s="404">
        <f>+'Metas 3'!J35+'Metas 7 (Unidades Moviles)'!J35</f>
        <v>5.2358333333333326E-2</v>
      </c>
      <c r="AO15" s="404">
        <f>+'Metas 3'!K35+'Metas 7 (Unidades Moviles)'!K35</f>
        <v>4.7633333333333333E-2</v>
      </c>
      <c r="AP15" s="404">
        <f>+'Metas 3'!L35+'Metas 7 (Unidades Moviles)'!L35</f>
        <v>4.7633333333333333E-2</v>
      </c>
      <c r="AQ15" s="404">
        <f>+'Metas 3'!M35+'Metas 7 (Unidades Moviles)'!M35</f>
        <v>5.4025000000000004E-2</v>
      </c>
      <c r="AR15" s="404">
        <f>+'Metas 3'!N35+'Metas 7 (Unidades Moviles)'!N35</f>
        <v>4.7633333333333333E-2</v>
      </c>
      <c r="AS15" s="404"/>
      <c r="AT15" s="548">
        <f>SUM(AH15:AS15)</f>
        <v>0.44750555555555549</v>
      </c>
      <c r="AU15" s="549">
        <f t="shared" si="0"/>
        <v>0.87918576729971609</v>
      </c>
      <c r="AV15" s="556" t="s">
        <v>118</v>
      </c>
      <c r="AW15" s="484" t="s">
        <v>119</v>
      </c>
      <c r="AX15" s="482" t="str">
        <f>'Metas 3'!AA34</f>
        <v>La inauguración de las Manzanas del Cuidado de San Cristóbal, Juan Rey, y Tunjuelito ampliará significativamente la cobertura de atenciones y el posicionamiento de la estrategia territorial de las Manzanas del Cuidado, en beneficio de las personas cuidadoras y de las personas que requieren cuidados o altos niveles de apoyo en Bogotá.</v>
      </c>
      <c r="AY15" s="197">
        <f>(O15+P15+AT15)</f>
        <v>1.0375055555555555</v>
      </c>
      <c r="AZ15" s="193">
        <f t="shared" si="1"/>
        <v>0.51875277777777773</v>
      </c>
    </row>
    <row r="16" spans="1:52" ht="124.5" customHeight="1">
      <c r="A16" s="187"/>
      <c r="B16" s="189">
        <v>905</v>
      </c>
      <c r="C16" s="189"/>
      <c r="D16" s="188"/>
      <c r="E16" s="188"/>
      <c r="F16" s="189"/>
      <c r="G16" s="190"/>
      <c r="H16" s="190"/>
      <c r="I16" s="434" t="s">
        <v>120</v>
      </c>
      <c r="J16" s="434" t="s">
        <v>121</v>
      </c>
      <c r="K16" s="189"/>
      <c r="L16" s="189">
        <v>47.2</v>
      </c>
      <c r="M16" s="189" t="s">
        <v>110</v>
      </c>
      <c r="N16" s="434" t="s">
        <v>122</v>
      </c>
      <c r="O16" s="195">
        <v>0</v>
      </c>
      <c r="P16" s="195">
        <v>0</v>
      </c>
      <c r="Q16" s="195">
        <v>47.2</v>
      </c>
      <c r="R16" s="195">
        <v>0</v>
      </c>
      <c r="S16" s="195">
        <v>0</v>
      </c>
      <c r="T16" s="192" t="s">
        <v>123</v>
      </c>
      <c r="U16" s="534" t="s">
        <v>124</v>
      </c>
      <c r="V16" s="528">
        <v>0</v>
      </c>
      <c r="W16" s="201">
        <v>0</v>
      </c>
      <c r="X16" s="201">
        <v>0</v>
      </c>
      <c r="Y16" s="201"/>
      <c r="Z16" s="201"/>
      <c r="AA16" s="201"/>
      <c r="AB16" s="201"/>
      <c r="AC16" s="201"/>
      <c r="AD16" s="201"/>
      <c r="AE16" s="201"/>
      <c r="AF16" s="201"/>
      <c r="AG16" s="544">
        <v>47.2</v>
      </c>
      <c r="AH16" s="528">
        <v>0</v>
      </c>
      <c r="AI16" s="201">
        <v>0</v>
      </c>
      <c r="AJ16" s="201">
        <v>0</v>
      </c>
      <c r="AK16" s="201">
        <v>0</v>
      </c>
      <c r="AL16" s="481">
        <v>0.53300000000000003</v>
      </c>
      <c r="AM16" s="201">
        <v>0</v>
      </c>
      <c r="AN16" s="201">
        <v>0</v>
      </c>
      <c r="AO16" s="201">
        <v>0</v>
      </c>
      <c r="AP16" s="201">
        <v>0</v>
      </c>
      <c r="AQ16" s="536">
        <v>0</v>
      </c>
      <c r="AR16" s="201">
        <v>0</v>
      </c>
      <c r="AS16" s="545"/>
      <c r="AT16" s="550">
        <f>AL16</f>
        <v>0.53300000000000003</v>
      </c>
      <c r="AU16" s="551">
        <f t="shared" si="0"/>
        <v>1.1292372881355933E-2</v>
      </c>
      <c r="AV16" s="555" t="s">
        <v>125</v>
      </c>
      <c r="AW16" s="484" t="s">
        <v>119</v>
      </c>
      <c r="AX16" s="482" t="s">
        <v>119</v>
      </c>
      <c r="AY16" s="197">
        <f>+AT16</f>
        <v>0.53300000000000003</v>
      </c>
      <c r="AZ16" s="193">
        <f t="shared" si="1"/>
        <v>1.1292372881355933E-2</v>
      </c>
    </row>
    <row r="17" spans="1:54" ht="117" customHeight="1">
      <c r="A17" s="187"/>
      <c r="B17" s="189">
        <v>906</v>
      </c>
      <c r="C17" s="189"/>
      <c r="D17" s="188"/>
      <c r="E17" s="188"/>
      <c r="F17" s="189"/>
      <c r="G17" s="190"/>
      <c r="H17" s="190"/>
      <c r="I17" s="434" t="s">
        <v>120</v>
      </c>
      <c r="J17" s="434" t="s">
        <v>126</v>
      </c>
      <c r="K17" s="189"/>
      <c r="L17" s="189">
        <v>48.8</v>
      </c>
      <c r="M17" s="189" t="s">
        <v>110</v>
      </c>
      <c r="N17" s="434" t="s">
        <v>127</v>
      </c>
      <c r="O17" s="195">
        <v>0</v>
      </c>
      <c r="P17" s="195">
        <v>0</v>
      </c>
      <c r="Q17" s="195">
        <v>48.8</v>
      </c>
      <c r="R17" s="195">
        <v>0</v>
      </c>
      <c r="S17" s="195"/>
      <c r="T17" s="192" t="s">
        <v>123</v>
      </c>
      <c r="U17" s="534" t="s">
        <v>124</v>
      </c>
      <c r="V17" s="528">
        <v>0</v>
      </c>
      <c r="W17" s="201">
        <v>0</v>
      </c>
      <c r="X17" s="201">
        <v>0</v>
      </c>
      <c r="Y17" s="201">
        <v>0</v>
      </c>
      <c r="Z17" s="201"/>
      <c r="AA17" s="201"/>
      <c r="AB17" s="201"/>
      <c r="AC17" s="201"/>
      <c r="AD17" s="201"/>
      <c r="AE17" s="201"/>
      <c r="AF17" s="201"/>
      <c r="AG17" s="544">
        <v>48.8</v>
      </c>
      <c r="AH17" s="528">
        <v>0</v>
      </c>
      <c r="AI17" s="201">
        <v>0</v>
      </c>
      <c r="AJ17" s="201">
        <v>0</v>
      </c>
      <c r="AK17" s="201"/>
      <c r="AL17" s="481">
        <v>0.52800000000000002</v>
      </c>
      <c r="AM17" s="201">
        <v>0</v>
      </c>
      <c r="AN17" s="201">
        <v>0</v>
      </c>
      <c r="AO17" s="201">
        <v>0</v>
      </c>
      <c r="AP17" s="201">
        <v>0</v>
      </c>
      <c r="AQ17" s="536">
        <v>0</v>
      </c>
      <c r="AR17" s="481">
        <v>0</v>
      </c>
      <c r="AS17" s="553"/>
      <c r="AT17" s="550">
        <f>AL17</f>
        <v>0.52800000000000002</v>
      </c>
      <c r="AU17" s="551">
        <f t="shared" si="0"/>
        <v>1.0819672131147541E-2</v>
      </c>
      <c r="AV17" s="555" t="s">
        <v>128</v>
      </c>
      <c r="AW17" s="483" t="s">
        <v>119</v>
      </c>
      <c r="AX17" s="484" t="s">
        <v>119</v>
      </c>
      <c r="AY17" s="197">
        <f>+AT17</f>
        <v>0.52800000000000002</v>
      </c>
      <c r="AZ17" s="193">
        <f t="shared" si="1"/>
        <v>1.0819672131147541E-2</v>
      </c>
    </row>
    <row r="18" spans="1:54" ht="162.75" customHeight="1">
      <c r="A18" s="188"/>
      <c r="B18" s="188"/>
      <c r="C18" s="188"/>
      <c r="D18" s="187">
        <v>43</v>
      </c>
      <c r="E18" s="188"/>
      <c r="F18" s="189"/>
      <c r="G18" s="190" t="s">
        <v>129</v>
      </c>
      <c r="H18" s="190" t="s">
        <v>98</v>
      </c>
      <c r="I18" s="434"/>
      <c r="J18" s="434" t="s">
        <v>130</v>
      </c>
      <c r="K18" s="189" t="s">
        <v>109</v>
      </c>
      <c r="L18" s="197">
        <v>12000</v>
      </c>
      <c r="M18" s="189" t="s">
        <v>131</v>
      </c>
      <c r="N18" s="434" t="s">
        <v>132</v>
      </c>
      <c r="O18" s="195">
        <v>0</v>
      </c>
      <c r="P18" s="198">
        <v>3000</v>
      </c>
      <c r="Q18" s="199">
        <v>3600</v>
      </c>
      <c r="R18" s="198">
        <v>3600</v>
      </c>
      <c r="S18" s="198">
        <v>1800</v>
      </c>
      <c r="T18" s="189" t="s">
        <v>133</v>
      </c>
      <c r="U18" s="533" t="s">
        <v>134</v>
      </c>
      <c r="V18" s="528">
        <v>0</v>
      </c>
      <c r="W18" s="201">
        <v>327.27272727272725</v>
      </c>
      <c r="X18" s="201">
        <v>327.27272727272725</v>
      </c>
      <c r="Y18" s="201">
        <v>327.27272727272725</v>
      </c>
      <c r="Z18" s="201">
        <v>327.27272727272725</v>
      </c>
      <c r="AA18" s="201">
        <v>327.27272727272725</v>
      </c>
      <c r="AB18" s="201">
        <v>327.27272727272725</v>
      </c>
      <c r="AC18" s="201">
        <v>327.27272727272725</v>
      </c>
      <c r="AD18" s="201">
        <v>327.27272727272725</v>
      </c>
      <c r="AE18" s="201">
        <v>327.27272727272725</v>
      </c>
      <c r="AF18" s="201">
        <v>327.27272727272725</v>
      </c>
      <c r="AG18" s="545">
        <v>327.27272727272725</v>
      </c>
      <c r="AH18" s="528">
        <v>0</v>
      </c>
      <c r="AI18" s="201">
        <f>+'Metas 4 (Contrato relevos)'!E49</f>
        <v>324</v>
      </c>
      <c r="AJ18" s="201">
        <f>+'Metas 4 (Contrato relevos)'!F49</f>
        <v>441</v>
      </c>
      <c r="AK18" s="201">
        <f>+'Metas 4 (Contrato relevos)'!G49</f>
        <v>624</v>
      </c>
      <c r="AL18" s="201">
        <v>637</v>
      </c>
      <c r="AM18" s="201">
        <f>'Metas 4 (Contrato relevos)'!I49</f>
        <v>613</v>
      </c>
      <c r="AN18" s="201">
        <f>'Metas 4 (Contrato relevos)'!J49</f>
        <v>518</v>
      </c>
      <c r="AO18" s="201">
        <v>314</v>
      </c>
      <c r="AP18" s="565">
        <v>332</v>
      </c>
      <c r="AQ18" s="536">
        <v>104</v>
      </c>
      <c r="AR18" s="201">
        <v>105</v>
      </c>
      <c r="AS18" s="545"/>
      <c r="AT18" s="529">
        <f>SUM(AH18:AS18)</f>
        <v>4012</v>
      </c>
      <c r="AU18" s="549">
        <f t="shared" si="0"/>
        <v>1.1144444444444443</v>
      </c>
      <c r="AV18" s="564" t="str">
        <f>+'Metas 4 (Contrato relevos)'!Q38</f>
        <v xml:space="preserve">Programación y realización de 9 cursos de Formación Complementaria para mujeres cuidadoras todos ellos en "Herramientas para cuidadoras en el reconocimiento de su trabajo de cuidado", programa de 10 horas cuyos contenidos fueron elaborados por la Universidad Nacional de Colombia en la vigencia anterior y a los que se accede a través del Aula Virtual de la Secretaría Distrital de la Mujer con el apoyo de las tutoras territoriales vinculadas al Componente de Formación de la Estrategia Cuidado a Cuidadoras. El número total de cuidadoras graduadas en el mes de noviembre ascendió a 105. La distribución por localidad de prestación del servicio expresa el siguiente comportamiento: Ciudad Bolívar 26; Kennedy 13; Fontibón 10; Usaquén 3; Rafael Uribe Uribe 8; Suba: 11; Chapinero: 15; Sumapaz:10 y Usme:9
En cuanto al proceso de Homologación de Saberes se avanzo en el proceso de resfistro de 25 mujeres. </v>
      </c>
      <c r="AW18" s="482" t="s">
        <v>119</v>
      </c>
      <c r="AX18" s="483" t="str">
        <f>+'Metas 4 (Contrato relevos)'!AA34</f>
        <v>Las cuidadoras apropian contenidos orientados al reconocimiento de su trabajo de cuidado y avanzan en el manejo de las técnologías de información a través de la Estrategia de Cuidado a Cuidadoras. Adicionalmente, disfrutan de la gestión de espacios de desconexión ofrecidos por sectores corresponsables con el SIDICU en el marco de los procesos de coordinación territorial con expresión en la oferta de las Manzanas del Cuidado.</v>
      </c>
      <c r="AY18" s="197">
        <f>+AT18+3680</f>
        <v>7692</v>
      </c>
      <c r="AZ18" s="193">
        <f t="shared" si="1"/>
        <v>0.64100000000000001</v>
      </c>
    </row>
    <row r="19" spans="1:54" ht="147" customHeight="1">
      <c r="A19" s="188"/>
      <c r="B19" s="188"/>
      <c r="C19" s="188"/>
      <c r="D19" s="187">
        <v>45</v>
      </c>
      <c r="E19" s="188"/>
      <c r="F19" s="189"/>
      <c r="G19" s="190" t="s">
        <v>129</v>
      </c>
      <c r="H19" s="190" t="s">
        <v>98</v>
      </c>
      <c r="I19" s="434"/>
      <c r="J19" s="434" t="s">
        <v>135</v>
      </c>
      <c r="K19" s="189" t="s">
        <v>109</v>
      </c>
      <c r="L19" s="197">
        <v>41000</v>
      </c>
      <c r="M19" s="189" t="s">
        <v>136</v>
      </c>
      <c r="N19" s="434" t="s">
        <v>137</v>
      </c>
      <c r="O19" s="195">
        <v>0</v>
      </c>
      <c r="P19" s="561">
        <v>1039</v>
      </c>
      <c r="Q19" s="200">
        <v>8000</v>
      </c>
      <c r="R19" s="200">
        <v>0</v>
      </c>
      <c r="S19" s="200">
        <v>0</v>
      </c>
      <c r="T19" s="189" t="s">
        <v>133</v>
      </c>
      <c r="U19" s="533" t="s">
        <v>134</v>
      </c>
      <c r="V19" s="528">
        <v>2000</v>
      </c>
      <c r="W19" s="201">
        <v>2000</v>
      </c>
      <c r="X19" s="201">
        <v>2000</v>
      </c>
      <c r="Y19" s="201">
        <v>2000</v>
      </c>
      <c r="Z19" s="201">
        <v>1000</v>
      </c>
      <c r="AA19" s="201">
        <v>1000</v>
      </c>
      <c r="AB19" s="201">
        <v>1000</v>
      </c>
      <c r="AC19" s="201">
        <v>1000</v>
      </c>
      <c r="AD19" s="201">
        <v>1000</v>
      </c>
      <c r="AE19" s="201">
        <v>1000</v>
      </c>
      <c r="AF19" s="201">
        <v>1000</v>
      </c>
      <c r="AG19" s="545">
        <v>1000</v>
      </c>
      <c r="AH19" s="528">
        <v>0</v>
      </c>
      <c r="AI19" s="308">
        <v>1312</v>
      </c>
      <c r="AJ19" s="201">
        <v>612</v>
      </c>
      <c r="AK19" s="201">
        <v>387</v>
      </c>
      <c r="AL19" s="201">
        <v>1148</v>
      </c>
      <c r="AM19" s="201">
        <v>2117</v>
      </c>
      <c r="AN19" s="201">
        <v>869</v>
      </c>
      <c r="AO19" s="201">
        <v>1236</v>
      </c>
      <c r="AP19" s="566">
        <v>27</v>
      </c>
      <c r="AQ19" s="536">
        <v>232</v>
      </c>
      <c r="AR19" s="201">
        <v>134</v>
      </c>
      <c r="AS19" s="545"/>
      <c r="AT19" s="529">
        <f>SUM(AH19:AS19)</f>
        <v>8074</v>
      </c>
      <c r="AU19" s="583">
        <f t="shared" si="0"/>
        <v>1.00925</v>
      </c>
      <c r="AV19" s="567" t="str">
        <f>+'Metas 4 (Contrato relevos)'!Q42</f>
        <v xml:space="preserve">Durante el mes de noviembre se realizaron 5 jornadas de alistamiento documental del archivo del Contrato 847-2021, por el cual se ejecutó el programa de relevos domiciliarios de cuidado. Se lideró la sexta Mesa Distrital de Relevos Domiciliarios de Cuidado, donde: i) se reportaron los principales avances en la implementación de los programa de asistencia casa a casa por sector, ii) se socializaron los principales resultados frente a lecciones aprendidas de los programas distritales de relevos domiciliarios de cuidado, implementados entre el 2021 y 2022, y iii) se actualizó el reporte de las gestiones para incluir la información de los programas casa a casa en el sistema de información del Sistema Distrital de Cuidado, La cifra de revisión final de relevos para el mes de noviembre es de 134.  La entidad realiza las gestiones requeridas orientadas al cierre y liquidación del contrato 847 de 2021.  </v>
      </c>
      <c r="AW19" s="482" t="s">
        <v>119</v>
      </c>
      <c r="AX19" s="483" t="str">
        <f>'Metas 4 (Contrato relevos)'!AA34</f>
        <v>Las cuidadoras apropian contenidos orientados al reconocimiento de su trabajo de cuidado y avanzan en el manejo de las técnologías de información a través de la Estrategia de Cuidado a Cuidadoras. Adicionalmente, disfrutan de la gestión de espacios de desconexión ofrecidos por sectores corresponsables con el SIDICU en el marco de los procesos de coordinación territorial con expresión en la oferta de las Manzanas del Cuidado.</v>
      </c>
      <c r="AY19" s="197">
        <f>+AT19+1039</f>
        <v>9113</v>
      </c>
      <c r="AZ19" s="193">
        <f t="shared" si="1"/>
        <v>0.22226829268292683</v>
      </c>
      <c r="BA19" s="184">
        <v>1039</v>
      </c>
      <c r="BB19" s="307">
        <f>+AI19+AJ19+BA19</f>
        <v>2963</v>
      </c>
    </row>
    <row r="20" spans="1:54" ht="144" customHeight="1">
      <c r="A20" s="188"/>
      <c r="B20" s="188"/>
      <c r="C20" s="188"/>
      <c r="D20" s="187">
        <v>46</v>
      </c>
      <c r="E20" s="202"/>
      <c r="F20" s="189"/>
      <c r="G20" s="190" t="s">
        <v>129</v>
      </c>
      <c r="H20" s="190" t="s">
        <v>98</v>
      </c>
      <c r="I20" s="434"/>
      <c r="J20" s="434" t="s">
        <v>138</v>
      </c>
      <c r="K20" s="189" t="s">
        <v>109</v>
      </c>
      <c r="L20" s="197">
        <v>16500</v>
      </c>
      <c r="M20" s="189" t="s">
        <v>139</v>
      </c>
      <c r="N20" s="434" t="s">
        <v>140</v>
      </c>
      <c r="O20" s="195">
        <v>0</v>
      </c>
      <c r="P20" s="198">
        <v>5123</v>
      </c>
      <c r="Q20" s="198">
        <v>4000</v>
      </c>
      <c r="R20" s="198">
        <v>4000</v>
      </c>
      <c r="S20" s="198">
        <v>4000</v>
      </c>
      <c r="T20" s="189" t="s">
        <v>133</v>
      </c>
      <c r="U20" s="533" t="s">
        <v>134</v>
      </c>
      <c r="V20" s="529"/>
      <c r="W20" s="197">
        <v>196</v>
      </c>
      <c r="X20" s="201">
        <v>196</v>
      </c>
      <c r="Y20" s="201">
        <v>196</v>
      </c>
      <c r="Z20" s="201">
        <v>196</v>
      </c>
      <c r="AA20" s="201">
        <v>196</v>
      </c>
      <c r="AB20" s="201">
        <v>604</v>
      </c>
      <c r="AC20" s="201">
        <v>604</v>
      </c>
      <c r="AD20" s="201">
        <v>604</v>
      </c>
      <c r="AE20" s="201">
        <v>604</v>
      </c>
      <c r="AF20" s="201">
        <v>604</v>
      </c>
      <c r="AG20" s="545"/>
      <c r="AH20" s="581">
        <v>0</v>
      </c>
      <c r="AI20" s="308">
        <f>+'Metas 6 (ONU Mujeres)'!E54</f>
        <v>181</v>
      </c>
      <c r="AJ20" s="201">
        <v>469</v>
      </c>
      <c r="AK20" s="201">
        <v>336</v>
      </c>
      <c r="AL20" s="201">
        <f>'Metas 6 (ONU Mujeres)'!H54</f>
        <v>691</v>
      </c>
      <c r="AM20" s="201">
        <f>'Metas 6 (ONU Mujeres)'!I54</f>
        <v>355</v>
      </c>
      <c r="AN20" s="201">
        <f>'Metas 6 (ONU Mujeres)'!J54</f>
        <v>674</v>
      </c>
      <c r="AO20" s="201">
        <f>'Metas 6 (ONU Mujeres)'!K54</f>
        <v>840</v>
      </c>
      <c r="AP20" s="582">
        <v>562</v>
      </c>
      <c r="AQ20" s="536">
        <v>185</v>
      </c>
      <c r="AR20" s="201">
        <v>36</v>
      </c>
      <c r="AS20" s="545"/>
      <c r="AT20" s="529">
        <f>SUM(AH20:AS20)</f>
        <v>4329</v>
      </c>
      <c r="AU20" s="549">
        <f t="shared" si="0"/>
        <v>1.0822499999999999</v>
      </c>
      <c r="AV20" s="574" t="str">
        <f>'Metas 6 (ONU Mujeres)'!Q34</f>
        <v xml:space="preserve">En el marco de la implementación de la estrategia para la resignificación. el reconocimiento y redistribución del trabajo de cuidado no remunerado para la vigencia 2022 con 4329 personas vinculadas a los talleres de cambio cultural. Y se estructura el esquema integral par la Red de Alianzas del Cuidado -RAC- desde una perspectiva estratégica, entre las cuales se etablece la caracterización inicial de emrpesas pra  primera fase de gestión y artículación de la RAC; Royección de cronogramas de meas de trababajo en la que se artículen la RAC y la Manzanasde ciudado y la proyección de actividades para el  2023. 
Desde Comunicaciones se continua el acompañamiento y divulgación de las accines del SIDICU tales como la inguración desl las Manzanas de Cuidado  de San Critóbal y Tunjuelitó; el lanzamiento del Bus de Cuido Rural, Y el cubrimiento de representación teatral Acuidar en Dos Actos.
</v>
      </c>
      <c r="AW20" s="482" t="s">
        <v>119</v>
      </c>
      <c r="AX20" s="482" t="str">
        <f>'Metas 6 (ONU Mujeres)'!AA34</f>
        <v xml:space="preserve">La acciones de implementación de la estrategia han permitido un mayor reconocimiento, recordación y apronación  por parte de la ciudadanía del Sistem Distrital de Cuidado. </v>
      </c>
      <c r="AY20" s="197">
        <f>+AT20+5123</f>
        <v>9452</v>
      </c>
      <c r="AZ20" s="193">
        <f t="shared" si="1"/>
        <v>0.57284848484848483</v>
      </c>
    </row>
    <row r="21" spans="1:54" ht="165" customHeight="1" thickBot="1">
      <c r="A21" s="189">
        <v>56</v>
      </c>
      <c r="B21" s="189"/>
      <c r="C21" s="189"/>
      <c r="D21" s="189"/>
      <c r="E21" s="189"/>
      <c r="F21" s="189"/>
      <c r="G21" s="189"/>
      <c r="H21" s="189"/>
      <c r="I21" s="434"/>
      <c r="J21" s="434" t="s">
        <v>141</v>
      </c>
      <c r="K21" s="203" t="s">
        <v>109</v>
      </c>
      <c r="L21" s="204">
        <v>19</v>
      </c>
      <c r="M21" s="189" t="s">
        <v>142</v>
      </c>
      <c r="N21" s="434" t="s">
        <v>143</v>
      </c>
      <c r="O21" s="188">
        <v>2</v>
      </c>
      <c r="P21" s="188">
        <v>5</v>
      </c>
      <c r="Q21" s="188">
        <v>7</v>
      </c>
      <c r="R21" s="188">
        <v>5</v>
      </c>
      <c r="S21" s="188">
        <v>0</v>
      </c>
      <c r="T21" s="189" t="s">
        <v>133</v>
      </c>
      <c r="U21" s="533" t="s">
        <v>134</v>
      </c>
      <c r="V21" s="530"/>
      <c r="W21" s="531">
        <v>1</v>
      </c>
      <c r="X21" s="532">
        <v>1</v>
      </c>
      <c r="Y21" s="532">
        <v>1</v>
      </c>
      <c r="Z21" s="532"/>
      <c r="AA21" s="532">
        <v>1</v>
      </c>
      <c r="AB21" s="532"/>
      <c r="AC21" s="532">
        <v>1</v>
      </c>
      <c r="AD21" s="532"/>
      <c r="AE21" s="532">
        <v>1</v>
      </c>
      <c r="AF21" s="532"/>
      <c r="AG21" s="546">
        <v>1</v>
      </c>
      <c r="AH21" s="539">
        <v>0</v>
      </c>
      <c r="AI21" s="540">
        <f>+'Metas 3'!E53</f>
        <v>1</v>
      </c>
      <c r="AJ21" s="532">
        <v>1</v>
      </c>
      <c r="AK21" s="532">
        <v>0</v>
      </c>
      <c r="AL21" s="532">
        <v>0</v>
      </c>
      <c r="AM21" s="532">
        <v>1</v>
      </c>
      <c r="AN21" s="541">
        <v>0</v>
      </c>
      <c r="AO21" s="532">
        <v>0</v>
      </c>
      <c r="AP21" s="532">
        <v>1</v>
      </c>
      <c r="AQ21" s="536">
        <v>1</v>
      </c>
      <c r="AR21" s="201">
        <v>2</v>
      </c>
      <c r="AS21" s="545"/>
      <c r="AT21" s="530">
        <f>SUM(AH21:AS21)</f>
        <v>7</v>
      </c>
      <c r="AU21" s="552">
        <f t="shared" si="0"/>
        <v>1</v>
      </c>
      <c r="AV21" s="557" t="str">
        <f>+'Metas 3'!Q40</f>
        <v xml:space="preserve">El 22 de noviembre de 2022 fueron inauguradas con éxito dos Manzanas del Cuidado: San Cristóbal (sector de Juan Rey) y Tunjuelito. La de San Cristóbal es la segunda manzana inaugurada en esa localidad y la primera cuyo equipamiento ancla está en cabeza de la Secretaría de Ambiente (Aula Ambiental parque Entrenubes), que ha significado para la comunidad no solo la llegada de servicios con un fuerte componente ambiental, sino también una amplia gama de servicios para las personas cuidadoras y quiénes requieren cuidados, en una zona que carecía de oferta institucional. Las manzanas del cuidado de San Cristóbal - Juan Rey y Tunjuelito representan la treceava y catorceava manzanas del cuidado de Bogotá y la sexta y séptima en inaugurarse durante el año 2022. Así mismo, se realizaron las acciones de articulación intersectorial requeridas para su apertura y puesta en operación, a saber, la concertación intersectorial del minuto a minuto de las inauguraciones y de las fichas técnicas de las manzanas que especifican la oferta de servicios disponible por los sectores distritales para las personas cuidadoras y las personas que requieren cuidados o altos niveles de apoyo en las localidades de San Cristóbal y Tunjuelito. </v>
      </c>
      <c r="AW21" s="482" t="str">
        <f>'Metas 3'!W34</f>
        <v>Ninguno</v>
      </c>
      <c r="AX21" s="483" t="str">
        <f>'Metas 3'!AA34</f>
        <v>La inauguración de las Manzanas del Cuidado de San Cristóbal, Juan Rey, y Tunjuelito ampliará significativamente la cobertura de atenciones y el posicionamiento de la estrategia territorial de las Manzanas del Cuidado, en beneficio de las personas cuidadoras y de las personas que requieren cuidados o altos niveles de apoyo en Bogotá.</v>
      </c>
      <c r="AY21" s="197">
        <f>+O21+P21+AT21</f>
        <v>14</v>
      </c>
      <c r="AZ21" s="193">
        <f t="shared" si="1"/>
        <v>0.73684210526315785</v>
      </c>
    </row>
    <row r="22" spans="1:54" ht="13.5" customHeight="1">
      <c r="A22" s="648"/>
      <c r="B22" s="622"/>
      <c r="C22" s="622"/>
      <c r="D22" s="622"/>
      <c r="E22" s="622"/>
      <c r="F22" s="622"/>
      <c r="G22" s="622"/>
      <c r="H22" s="622"/>
      <c r="I22" s="622"/>
      <c r="J22" s="622"/>
      <c r="K22" s="622"/>
      <c r="L22" s="622"/>
      <c r="M22" s="622"/>
      <c r="N22" s="622"/>
      <c r="O22" s="622"/>
      <c r="P22" s="622"/>
      <c r="Q22" s="622"/>
      <c r="R22" s="622"/>
      <c r="S22" s="622"/>
      <c r="T22" s="622"/>
      <c r="U22" s="622"/>
      <c r="V22" s="617"/>
      <c r="W22" s="653"/>
      <c r="X22" s="617"/>
      <c r="Y22" s="617"/>
      <c r="Z22" s="617"/>
      <c r="AA22" s="617"/>
      <c r="AB22" s="617"/>
      <c r="AC22" s="617"/>
      <c r="AD22" s="617"/>
      <c r="AE22" s="617"/>
      <c r="AF22" s="617"/>
      <c r="AG22" s="617"/>
      <c r="AH22" s="617"/>
      <c r="AI22" s="617"/>
      <c r="AJ22" s="617"/>
      <c r="AK22" s="617"/>
      <c r="AL22" s="617"/>
      <c r="AM22" s="617"/>
      <c r="AN22" s="617"/>
      <c r="AO22" s="617"/>
      <c r="AP22" s="622"/>
      <c r="AQ22" s="622"/>
      <c r="AR22" s="622"/>
      <c r="AS22" s="622"/>
      <c r="AT22" s="617"/>
      <c r="AU22" s="617"/>
      <c r="AV22" s="622"/>
      <c r="AW22" s="622"/>
      <c r="AX22" s="623"/>
    </row>
    <row r="23" spans="1:54" ht="76.5" customHeight="1">
      <c r="A23" s="654" t="s">
        <v>144</v>
      </c>
      <c r="B23" s="626"/>
      <c r="C23" s="627"/>
      <c r="D23" s="629" t="s">
        <v>145</v>
      </c>
      <c r="E23" s="622"/>
      <c r="F23" s="622"/>
      <c r="G23" s="622"/>
      <c r="H23" s="622"/>
      <c r="I23" s="623"/>
      <c r="J23" s="654" t="s">
        <v>146</v>
      </c>
      <c r="K23" s="626"/>
      <c r="L23" s="626"/>
      <c r="M23" s="626"/>
      <c r="N23" s="626"/>
      <c r="O23" s="627"/>
      <c r="P23" s="629" t="s">
        <v>145</v>
      </c>
      <c r="Q23" s="622"/>
      <c r="R23" s="622"/>
      <c r="S23" s="622"/>
      <c r="T23" s="622"/>
      <c r="U23" s="623"/>
      <c r="V23" s="655" t="s">
        <v>145</v>
      </c>
      <c r="W23" s="651"/>
      <c r="X23" s="651"/>
      <c r="Y23" s="651"/>
      <c r="Z23" s="651"/>
      <c r="AA23" s="651"/>
      <c r="AB23" s="651"/>
      <c r="AC23" s="652"/>
      <c r="AD23" s="655" t="s">
        <v>145</v>
      </c>
      <c r="AE23" s="651"/>
      <c r="AF23" s="651"/>
      <c r="AG23" s="651"/>
      <c r="AH23" s="651"/>
      <c r="AI23" s="651"/>
      <c r="AJ23" s="651"/>
      <c r="AK23" s="651"/>
      <c r="AL23" s="651"/>
      <c r="AM23" s="651"/>
      <c r="AN23" s="651"/>
      <c r="AO23" s="652"/>
      <c r="AP23" s="656" t="s">
        <v>147</v>
      </c>
      <c r="AQ23" s="657"/>
      <c r="AR23" s="657"/>
      <c r="AS23" s="658"/>
      <c r="AT23" s="629" t="s">
        <v>148</v>
      </c>
      <c r="AU23" s="622"/>
      <c r="AV23" s="622"/>
      <c r="AW23" s="622"/>
      <c r="AX23" s="623"/>
      <c r="AZ23" s="184">
        <v>7</v>
      </c>
      <c r="BA23" s="184">
        <v>25</v>
      </c>
    </row>
    <row r="24" spans="1:54" ht="25.15" customHeight="1">
      <c r="A24" s="632"/>
      <c r="B24" s="633"/>
      <c r="C24" s="634"/>
      <c r="D24" s="629" t="s">
        <v>149</v>
      </c>
      <c r="E24" s="622"/>
      <c r="F24" s="622"/>
      <c r="G24" s="622"/>
      <c r="H24" s="622"/>
      <c r="I24" s="623"/>
      <c r="J24" s="632"/>
      <c r="K24" s="633"/>
      <c r="L24" s="633"/>
      <c r="M24" s="633"/>
      <c r="N24" s="633"/>
      <c r="O24" s="634"/>
      <c r="P24" s="629" t="s">
        <v>150</v>
      </c>
      <c r="Q24" s="622"/>
      <c r="R24" s="622"/>
      <c r="S24" s="622"/>
      <c r="T24" s="622"/>
      <c r="U24" s="623"/>
      <c r="V24" s="655" t="s">
        <v>151</v>
      </c>
      <c r="W24" s="651"/>
      <c r="X24" s="651"/>
      <c r="Y24" s="651"/>
      <c r="Z24" s="651"/>
      <c r="AA24" s="651"/>
      <c r="AB24" s="651"/>
      <c r="AC24" s="652"/>
      <c r="AD24" s="655" t="s">
        <v>152</v>
      </c>
      <c r="AE24" s="651"/>
      <c r="AF24" s="651"/>
      <c r="AG24" s="651"/>
      <c r="AH24" s="651"/>
      <c r="AI24" s="651"/>
      <c r="AJ24" s="651"/>
      <c r="AK24" s="651"/>
      <c r="AL24" s="651"/>
      <c r="AM24" s="651"/>
      <c r="AN24" s="651"/>
      <c r="AO24" s="652"/>
      <c r="AP24" s="659"/>
      <c r="AQ24" s="660"/>
      <c r="AR24" s="660"/>
      <c r="AS24" s="661"/>
      <c r="AT24" s="629" t="s">
        <v>153</v>
      </c>
      <c r="AU24" s="622"/>
      <c r="AV24" s="622"/>
      <c r="AW24" s="622"/>
      <c r="AX24" s="623"/>
      <c r="AZ24" s="184">
        <v>4</v>
      </c>
      <c r="BA24" s="184">
        <f>BA23*AZ24</f>
        <v>100</v>
      </c>
      <c r="BB24" s="184">
        <f>100/AZ23</f>
        <v>14.285714285714286</v>
      </c>
    </row>
    <row r="25" spans="1:54" ht="15.75" customHeight="1">
      <c r="A25" s="628"/>
      <c r="B25" s="617"/>
      <c r="C25" s="618"/>
      <c r="D25" s="629" t="s">
        <v>154</v>
      </c>
      <c r="E25" s="622"/>
      <c r="F25" s="622"/>
      <c r="G25" s="622"/>
      <c r="H25" s="622"/>
      <c r="I25" s="623"/>
      <c r="J25" s="628"/>
      <c r="K25" s="617"/>
      <c r="L25" s="617"/>
      <c r="M25" s="617"/>
      <c r="N25" s="617"/>
      <c r="O25" s="618"/>
      <c r="P25" s="629" t="s">
        <v>155</v>
      </c>
      <c r="Q25" s="622"/>
      <c r="R25" s="622"/>
      <c r="S25" s="622"/>
      <c r="T25" s="622"/>
      <c r="U25" s="623"/>
      <c r="V25" s="655" t="s">
        <v>156</v>
      </c>
      <c r="W25" s="651"/>
      <c r="X25" s="651"/>
      <c r="Y25" s="651"/>
      <c r="Z25" s="651"/>
      <c r="AA25" s="651"/>
      <c r="AB25" s="651"/>
      <c r="AC25" s="652"/>
      <c r="AD25" s="655" t="s">
        <v>157</v>
      </c>
      <c r="AE25" s="651"/>
      <c r="AF25" s="651"/>
      <c r="AG25" s="651"/>
      <c r="AH25" s="651"/>
      <c r="AI25" s="651"/>
      <c r="AJ25" s="651"/>
      <c r="AK25" s="651"/>
      <c r="AL25" s="651"/>
      <c r="AM25" s="651"/>
      <c r="AN25" s="651"/>
      <c r="AO25" s="652"/>
      <c r="AP25" s="662"/>
      <c r="AQ25" s="663"/>
      <c r="AR25" s="663"/>
      <c r="AS25" s="664"/>
      <c r="AT25" s="629" t="s">
        <v>158</v>
      </c>
      <c r="AU25" s="622"/>
      <c r="AV25" s="622"/>
      <c r="AW25" s="622"/>
      <c r="AX25" s="623"/>
      <c r="AZ25" s="184">
        <v>5</v>
      </c>
      <c r="BA25" s="184">
        <f>BA24*AZ25</f>
        <v>500</v>
      </c>
      <c r="BB25" s="184">
        <f>100/AZ24</f>
        <v>25</v>
      </c>
    </row>
    <row r="26" spans="1:54" ht="13.5" customHeight="1">
      <c r="A26" s="205"/>
      <c r="B26" s="205"/>
      <c r="C26" s="205"/>
      <c r="D26" s="205"/>
      <c r="E26" s="205"/>
      <c r="F26" s="205"/>
      <c r="G26" s="205"/>
      <c r="H26" s="205"/>
      <c r="I26" s="205"/>
      <c r="J26" s="205"/>
      <c r="K26" s="205"/>
      <c r="L26" s="205"/>
      <c r="M26" s="205"/>
      <c r="N26" s="205"/>
      <c r="O26" s="205"/>
      <c r="P26" s="205"/>
      <c r="Q26" s="205"/>
      <c r="R26" s="205"/>
      <c r="S26" s="205"/>
      <c r="T26" s="205"/>
      <c r="U26" s="207"/>
      <c r="V26" s="306"/>
      <c r="W26" s="306"/>
      <c r="X26" s="306"/>
      <c r="Y26" s="306"/>
      <c r="Z26" s="306"/>
      <c r="AA26" s="306"/>
      <c r="AB26" s="306"/>
      <c r="AC26" s="306"/>
      <c r="AD26" s="306"/>
      <c r="AE26" s="306"/>
      <c r="AF26" s="306"/>
      <c r="AG26" s="306"/>
      <c r="AH26" s="306"/>
      <c r="AI26" s="306"/>
      <c r="AJ26" s="306"/>
      <c r="AK26" s="306"/>
      <c r="AL26" s="306"/>
      <c r="AM26" s="306"/>
      <c r="AN26" s="475"/>
      <c r="AO26" s="306"/>
      <c r="AP26" s="306"/>
      <c r="AQ26" s="306"/>
      <c r="AR26" s="306"/>
      <c r="AS26" s="306"/>
      <c r="AT26" s="306"/>
      <c r="AU26" s="205"/>
      <c r="AV26" s="205"/>
      <c r="AW26" s="205"/>
      <c r="AX26" s="205"/>
    </row>
    <row r="27" spans="1:54" ht="13.5" hidden="1" customHeight="1">
      <c r="A27" s="205"/>
      <c r="B27" s="205"/>
      <c r="C27" s="205"/>
      <c r="D27" s="205"/>
      <c r="E27" s="205"/>
      <c r="F27" s="205"/>
      <c r="G27" s="205"/>
      <c r="H27" s="205"/>
      <c r="I27" s="205"/>
      <c r="J27" s="205"/>
      <c r="K27" s="205"/>
      <c r="L27" s="205"/>
      <c r="M27" s="205"/>
      <c r="N27" s="205"/>
      <c r="O27" s="205"/>
      <c r="P27" s="205"/>
      <c r="Q27" s="205"/>
      <c r="R27" s="206"/>
      <c r="S27" s="205"/>
      <c r="T27" s="205"/>
      <c r="U27" s="207">
        <v>5123</v>
      </c>
      <c r="V27" s="306">
        <v>2021</v>
      </c>
      <c r="W27" s="306">
        <v>1039</v>
      </c>
      <c r="X27" s="306"/>
      <c r="Y27" s="306"/>
      <c r="Z27" s="306"/>
      <c r="AA27" s="306"/>
      <c r="AB27" s="306"/>
      <c r="AC27" s="306"/>
      <c r="AD27" s="306"/>
      <c r="AE27" s="306"/>
      <c r="AF27" s="306"/>
      <c r="AG27" s="306"/>
      <c r="AH27" s="306"/>
      <c r="AI27" s="306"/>
      <c r="AJ27" s="306"/>
      <c r="AK27" s="306"/>
      <c r="AL27" s="306"/>
      <c r="AM27" s="306"/>
      <c r="AN27" s="475"/>
      <c r="AO27" s="306"/>
      <c r="AP27" s="306"/>
      <c r="AQ27" s="306"/>
      <c r="AR27" s="306"/>
      <c r="AS27" s="306"/>
      <c r="AT27" s="306"/>
      <c r="AU27" s="205"/>
      <c r="AV27" s="205"/>
      <c r="AW27" s="205"/>
      <c r="AX27" s="205"/>
    </row>
    <row r="28" spans="1:54" ht="13.5" hidden="1" customHeight="1">
      <c r="A28" s="205"/>
      <c r="B28" s="205"/>
      <c r="C28" s="205"/>
      <c r="D28" s="205"/>
      <c r="E28" s="205"/>
      <c r="F28" s="205"/>
      <c r="G28" s="205"/>
      <c r="H28" s="205"/>
      <c r="I28" s="205"/>
      <c r="J28" s="205"/>
      <c r="K28" s="205"/>
      <c r="L28" s="205"/>
      <c r="M28" s="205"/>
      <c r="N28" s="205"/>
      <c r="O28" s="205"/>
      <c r="P28" s="205"/>
      <c r="Q28" s="205"/>
      <c r="R28" s="205"/>
      <c r="S28" s="205"/>
      <c r="T28" s="205"/>
      <c r="U28" s="207">
        <v>4000</v>
      </c>
      <c r="V28" s="306">
        <v>2022</v>
      </c>
      <c r="W28" s="306">
        <v>20000</v>
      </c>
      <c r="X28" s="306"/>
      <c r="Y28" s="306"/>
      <c r="Z28" s="306"/>
      <c r="AA28" s="306"/>
      <c r="AB28" s="306"/>
      <c r="AC28" s="306"/>
      <c r="AD28" s="306"/>
      <c r="AE28" s="306"/>
      <c r="AF28" s="306"/>
      <c r="AG28" s="306"/>
      <c r="AH28" s="306"/>
      <c r="AI28" s="306"/>
      <c r="AJ28" s="306"/>
      <c r="AK28" s="306"/>
      <c r="AL28" s="306"/>
      <c r="AM28" s="306"/>
      <c r="AN28" s="475"/>
      <c r="AO28" s="306"/>
      <c r="AP28" s="306"/>
      <c r="AQ28" s="306"/>
      <c r="AR28" s="306"/>
      <c r="AS28" s="306"/>
      <c r="AT28" s="306"/>
      <c r="AU28" s="205"/>
      <c r="AV28" s="205"/>
      <c r="AW28" s="205"/>
      <c r="AX28" s="205"/>
    </row>
    <row r="29" spans="1:54" ht="13.5" hidden="1" customHeight="1">
      <c r="A29" s="205"/>
      <c r="B29" s="205"/>
      <c r="C29" s="205"/>
      <c r="D29" s="205"/>
      <c r="E29" s="205"/>
      <c r="F29" s="205"/>
      <c r="G29" s="205"/>
      <c r="H29" s="205"/>
      <c r="I29" s="205"/>
      <c r="J29" s="205"/>
      <c r="K29" s="205"/>
      <c r="L29" s="205"/>
      <c r="M29" s="205"/>
      <c r="N29" s="205"/>
      <c r="O29" s="205"/>
      <c r="P29" s="205"/>
      <c r="Q29" s="205"/>
      <c r="R29" s="205"/>
      <c r="S29" s="205"/>
      <c r="T29" s="205"/>
      <c r="U29" s="207">
        <v>4000</v>
      </c>
      <c r="V29" s="306">
        <v>2023</v>
      </c>
      <c r="W29" s="306">
        <v>20000</v>
      </c>
      <c r="X29" s="306"/>
      <c r="Y29" s="306"/>
      <c r="Z29" s="306"/>
      <c r="AA29" s="306"/>
      <c r="AB29" s="306"/>
      <c r="AC29" s="306"/>
      <c r="AD29" s="306"/>
      <c r="AE29" s="306"/>
      <c r="AF29" s="306"/>
      <c r="AG29" s="306"/>
      <c r="AH29" s="306"/>
      <c r="AI29" s="306"/>
      <c r="AJ29" s="306"/>
      <c r="AK29" s="306"/>
      <c r="AL29" s="306"/>
      <c r="AM29" s="306"/>
      <c r="AN29" s="475"/>
      <c r="AO29" s="306"/>
      <c r="AP29" s="306"/>
      <c r="AQ29" s="306"/>
      <c r="AR29" s="306"/>
      <c r="AS29" s="306"/>
      <c r="AT29" s="306"/>
      <c r="AU29" s="205"/>
      <c r="AV29" s="205"/>
      <c r="AW29" s="205"/>
      <c r="AX29" s="205"/>
    </row>
    <row r="30" spans="1:54" ht="13.5" hidden="1" customHeight="1">
      <c r="A30" s="205"/>
      <c r="B30" s="205"/>
      <c r="C30" s="205"/>
      <c r="D30" s="205"/>
      <c r="E30" s="205"/>
      <c r="F30" s="205"/>
      <c r="G30" s="205"/>
      <c r="H30" s="205"/>
      <c r="I30" s="205"/>
      <c r="J30" s="205"/>
      <c r="K30" s="205"/>
      <c r="L30" s="205"/>
      <c r="M30" s="205"/>
      <c r="N30" s="205"/>
      <c r="O30" s="205"/>
      <c r="P30" s="205"/>
      <c r="Q30" s="205"/>
      <c r="R30" s="205"/>
      <c r="S30" s="205"/>
      <c r="T30" s="205"/>
      <c r="U30" s="207">
        <v>4000</v>
      </c>
      <c r="V30" s="306">
        <v>2024</v>
      </c>
      <c r="W30" s="306">
        <v>10000</v>
      </c>
      <c r="X30" s="306"/>
      <c r="Y30" s="306"/>
      <c r="Z30" s="306"/>
      <c r="AA30" s="306"/>
      <c r="AB30" s="306"/>
      <c r="AC30" s="306"/>
      <c r="AD30" s="306"/>
      <c r="AE30" s="306"/>
      <c r="AF30" s="306"/>
      <c r="AG30" s="306"/>
      <c r="AH30" s="306"/>
      <c r="AI30" s="306"/>
      <c r="AJ30" s="306"/>
      <c r="AK30" s="306"/>
      <c r="AL30" s="306"/>
      <c r="AM30" s="306"/>
      <c r="AN30" s="475"/>
      <c r="AO30" s="306"/>
      <c r="AP30" s="306"/>
      <c r="AQ30" s="306"/>
      <c r="AR30" s="306"/>
      <c r="AS30" s="306"/>
      <c r="AT30" s="306"/>
      <c r="AU30" s="205"/>
      <c r="AV30" s="205"/>
      <c r="AW30" s="205"/>
      <c r="AX30" s="205"/>
    </row>
    <row r="31" spans="1:54" ht="13.5" hidden="1" customHeight="1">
      <c r="A31" s="205"/>
      <c r="B31" s="205"/>
      <c r="C31" s="205"/>
      <c r="D31" s="205"/>
      <c r="E31" s="205"/>
      <c r="F31" s="205"/>
      <c r="G31" s="205"/>
      <c r="H31" s="205"/>
      <c r="I31" s="205"/>
      <c r="J31" s="205"/>
      <c r="K31" s="205"/>
      <c r="L31" s="205"/>
      <c r="M31" s="205"/>
      <c r="N31" s="205"/>
      <c r="O31" s="205"/>
      <c r="P31" s="205"/>
      <c r="Q31" s="205"/>
      <c r="R31" s="205"/>
      <c r="S31" s="205"/>
      <c r="T31" s="205"/>
      <c r="U31" s="207">
        <f>SUM(U27:U30)</f>
        <v>17123</v>
      </c>
      <c r="V31" s="306"/>
      <c r="W31" s="306">
        <f>SUM(W27:W30)</f>
        <v>51039</v>
      </c>
      <c r="X31" s="306"/>
      <c r="Y31" s="306"/>
      <c r="Z31" s="306"/>
      <c r="AA31" s="306"/>
      <c r="AB31" s="306"/>
      <c r="AC31" s="306"/>
      <c r="AD31" s="306"/>
      <c r="AE31" s="306"/>
      <c r="AF31" s="306"/>
      <c r="AG31" s="306"/>
      <c r="AH31" s="306"/>
      <c r="AI31" s="306"/>
      <c r="AJ31" s="306"/>
      <c r="AK31" s="306"/>
      <c r="AL31" s="306"/>
      <c r="AM31" s="306"/>
      <c r="AN31" s="475"/>
      <c r="AO31" s="306"/>
      <c r="AP31" s="306"/>
      <c r="AQ31" s="306"/>
      <c r="AR31" s="306"/>
      <c r="AS31" s="306"/>
      <c r="AT31" s="306"/>
      <c r="AU31" s="205"/>
      <c r="AV31" s="205"/>
      <c r="AW31" s="205"/>
      <c r="AX31" s="205"/>
    </row>
    <row r="32" spans="1:54" ht="13.5" customHeight="1">
      <c r="A32" s="205"/>
      <c r="B32" s="205"/>
      <c r="C32" s="205"/>
      <c r="D32" s="205"/>
      <c r="E32" s="205"/>
      <c r="F32" s="205"/>
      <c r="G32" s="205"/>
      <c r="H32" s="205"/>
      <c r="I32" s="205"/>
      <c r="J32" s="205"/>
      <c r="K32" s="205"/>
      <c r="L32" s="205"/>
      <c r="M32" s="205"/>
      <c r="N32" s="205"/>
      <c r="O32" s="205"/>
      <c r="P32" s="205"/>
      <c r="Q32" s="205"/>
      <c r="R32" s="205"/>
      <c r="S32" s="205"/>
      <c r="T32" s="205"/>
      <c r="U32" s="207"/>
      <c r="V32" s="306"/>
      <c r="W32" s="306"/>
      <c r="X32" s="306"/>
      <c r="Y32" s="306"/>
      <c r="Z32" s="306"/>
      <c r="AA32" s="306"/>
      <c r="AB32" s="306"/>
      <c r="AC32" s="306"/>
      <c r="AD32" s="306"/>
      <c r="AE32" s="306"/>
      <c r="AF32" s="306"/>
      <c r="AG32" s="306"/>
      <c r="AH32" s="306"/>
      <c r="AI32" s="306"/>
      <c r="AJ32" s="306"/>
      <c r="AK32" s="306"/>
      <c r="AL32" s="306"/>
      <c r="AM32" s="306"/>
      <c r="AN32" s="475"/>
      <c r="AO32" s="306"/>
      <c r="AP32" s="306"/>
      <c r="AQ32" s="306"/>
      <c r="AR32" s="306"/>
      <c r="AS32" s="306"/>
      <c r="AT32" s="306"/>
      <c r="AU32" s="205"/>
      <c r="AV32" s="205"/>
      <c r="AW32" s="205"/>
      <c r="AX32" s="205"/>
    </row>
    <row r="33" spans="1:50" ht="13.5" customHeight="1">
      <c r="A33" s="205"/>
      <c r="B33" s="205"/>
      <c r="C33" s="205"/>
      <c r="D33" s="205"/>
      <c r="E33" s="205"/>
      <c r="F33" s="205"/>
      <c r="G33" s="205"/>
      <c r="H33" s="205"/>
      <c r="I33" s="205"/>
      <c r="J33" s="205"/>
      <c r="K33" s="205"/>
      <c r="L33" s="205"/>
      <c r="M33" s="205"/>
      <c r="N33" s="205"/>
      <c r="O33" s="205"/>
      <c r="P33" s="205"/>
      <c r="Q33" s="205"/>
      <c r="R33" s="205"/>
      <c r="S33" s="205"/>
      <c r="T33" s="205"/>
      <c r="U33" s="207"/>
      <c r="V33" s="306"/>
      <c r="W33" s="306"/>
      <c r="X33" s="306"/>
      <c r="Y33" s="306"/>
      <c r="Z33" s="306"/>
      <c r="AA33" s="306"/>
      <c r="AB33" s="306"/>
      <c r="AC33" s="306"/>
      <c r="AD33" s="306"/>
      <c r="AE33" s="306"/>
      <c r="AF33" s="306"/>
      <c r="AG33" s="306"/>
      <c r="AH33" s="306"/>
      <c r="AI33" s="306"/>
      <c r="AJ33" s="306"/>
      <c r="AK33" s="306"/>
      <c r="AL33" s="306"/>
      <c r="AM33" s="306"/>
      <c r="AN33" s="475"/>
      <c r="AO33" s="306"/>
      <c r="AP33" s="306"/>
      <c r="AQ33" s="306"/>
      <c r="AR33" s="306"/>
      <c r="AS33" s="306"/>
      <c r="AT33" s="306"/>
      <c r="AU33" s="205"/>
      <c r="AV33" s="205"/>
      <c r="AW33" s="205"/>
      <c r="AX33" s="205"/>
    </row>
    <row r="34" spans="1:50" ht="13.5" customHeight="1">
      <c r="A34" s="205"/>
      <c r="B34" s="205"/>
      <c r="C34" s="205"/>
      <c r="D34" s="205"/>
      <c r="E34" s="205"/>
      <c r="F34" s="205"/>
      <c r="G34" s="205"/>
      <c r="H34" s="205"/>
      <c r="I34" s="205"/>
      <c r="J34" s="205"/>
      <c r="K34" s="205"/>
      <c r="L34" s="205"/>
      <c r="M34" s="205"/>
      <c r="N34" s="205"/>
      <c r="O34" s="205"/>
      <c r="P34" s="205"/>
      <c r="Q34" s="205"/>
      <c r="R34" s="205"/>
      <c r="S34" s="205"/>
      <c r="T34" s="205"/>
      <c r="U34" s="207"/>
      <c r="V34" s="306"/>
      <c r="W34" s="306"/>
      <c r="X34" s="306"/>
      <c r="Y34" s="306"/>
      <c r="Z34" s="306"/>
      <c r="AA34" s="306"/>
      <c r="AB34" s="306"/>
      <c r="AC34" s="306"/>
      <c r="AD34" s="306"/>
      <c r="AE34" s="306"/>
      <c r="AF34" s="306"/>
      <c r="AG34" s="306"/>
      <c r="AH34" s="306"/>
      <c r="AI34" s="306"/>
      <c r="AJ34" s="306"/>
      <c r="AK34" s="306"/>
      <c r="AL34" s="306"/>
      <c r="AM34" s="306"/>
      <c r="AN34" s="475"/>
      <c r="AO34" s="306"/>
      <c r="AP34" s="306"/>
      <c r="AQ34" s="306"/>
      <c r="AR34" s="306"/>
      <c r="AS34" s="306"/>
      <c r="AT34" s="306"/>
      <c r="AU34" s="205"/>
      <c r="AV34" s="205"/>
      <c r="AW34" s="205"/>
      <c r="AX34" s="205"/>
    </row>
    <row r="35" spans="1:50" ht="13.5" customHeight="1">
      <c r="A35" s="205"/>
      <c r="B35" s="205"/>
      <c r="C35" s="205"/>
      <c r="D35" s="205"/>
      <c r="E35" s="205"/>
      <c r="F35" s="205"/>
      <c r="G35" s="205"/>
      <c r="H35" s="205"/>
      <c r="I35" s="205"/>
      <c r="J35" s="205"/>
      <c r="K35" s="205"/>
      <c r="L35" s="205"/>
      <c r="M35" s="205"/>
      <c r="N35" s="205"/>
      <c r="O35" s="205"/>
      <c r="P35" s="205"/>
      <c r="Q35" s="205"/>
      <c r="R35" s="205"/>
      <c r="S35" s="205"/>
      <c r="T35" s="205"/>
      <c r="U35" s="207"/>
      <c r="V35" s="306"/>
      <c r="W35" s="306"/>
      <c r="X35" s="306"/>
      <c r="Y35" s="306"/>
      <c r="Z35" s="306"/>
      <c r="AA35" s="306"/>
      <c r="AB35" s="306"/>
      <c r="AC35" s="306"/>
      <c r="AD35" s="306"/>
      <c r="AE35" s="306"/>
      <c r="AF35" s="306"/>
      <c r="AG35" s="306"/>
      <c r="AH35" s="306"/>
      <c r="AI35" s="306"/>
      <c r="AJ35" s="306"/>
      <c r="AK35" s="306"/>
      <c r="AL35" s="306"/>
      <c r="AM35" s="306"/>
      <c r="AN35" s="475"/>
      <c r="AO35" s="306"/>
      <c r="AP35" s="306"/>
      <c r="AQ35" s="306"/>
      <c r="AR35" s="306"/>
      <c r="AS35" s="306"/>
      <c r="AT35" s="306"/>
      <c r="AU35" s="205"/>
      <c r="AV35" s="205"/>
      <c r="AW35" s="205"/>
      <c r="AX35" s="205"/>
    </row>
    <row r="36" spans="1:50" ht="13.5" customHeight="1">
      <c r="A36" s="205"/>
      <c r="B36" s="205"/>
      <c r="C36" s="205"/>
      <c r="D36" s="205"/>
      <c r="E36" s="205"/>
      <c r="F36" s="205"/>
      <c r="G36" s="205"/>
      <c r="H36" s="205"/>
      <c r="I36" s="205"/>
      <c r="J36" s="205"/>
      <c r="K36" s="205"/>
      <c r="L36" s="205"/>
      <c r="M36" s="205"/>
      <c r="N36" s="205"/>
      <c r="O36" s="205"/>
      <c r="P36" s="205"/>
      <c r="Q36" s="205"/>
      <c r="R36" s="205"/>
      <c r="S36" s="205"/>
      <c r="T36" s="205"/>
      <c r="U36" s="207"/>
      <c r="V36" s="306"/>
      <c r="W36" s="306"/>
      <c r="X36" s="306"/>
      <c r="Y36" s="306"/>
      <c r="Z36" s="306"/>
      <c r="AA36" s="306"/>
      <c r="AB36" s="306"/>
      <c r="AC36" s="306"/>
      <c r="AD36" s="306"/>
      <c r="AE36" s="306"/>
      <c r="AF36" s="306"/>
      <c r="AG36" s="306"/>
      <c r="AH36" s="306"/>
      <c r="AI36" s="306"/>
      <c r="AJ36" s="306"/>
      <c r="AK36" s="306"/>
      <c r="AL36" s="306"/>
      <c r="AM36" s="306"/>
      <c r="AN36" s="475"/>
      <c r="AO36" s="306"/>
      <c r="AP36" s="306"/>
      <c r="AQ36" s="306"/>
      <c r="AR36" s="306"/>
      <c r="AS36" s="306"/>
      <c r="AT36" s="306"/>
      <c r="AU36" s="205"/>
      <c r="AV36" s="205"/>
      <c r="AW36" s="205"/>
      <c r="AX36" s="205"/>
    </row>
    <row r="37" spans="1:50" ht="13.5" customHeight="1">
      <c r="A37" s="205"/>
      <c r="B37" s="205"/>
      <c r="C37" s="205"/>
      <c r="D37" s="205"/>
      <c r="E37" s="205"/>
      <c r="F37" s="205"/>
      <c r="G37" s="205"/>
      <c r="H37" s="205"/>
      <c r="I37" s="205"/>
      <c r="J37" s="205"/>
      <c r="K37" s="205"/>
      <c r="L37" s="205"/>
      <c r="M37" s="205"/>
      <c r="N37" s="205"/>
      <c r="O37" s="205"/>
      <c r="P37" s="205"/>
      <c r="Q37" s="205"/>
      <c r="R37" s="205"/>
      <c r="S37" s="205"/>
      <c r="T37" s="205"/>
      <c r="U37" s="207"/>
      <c r="V37" s="306"/>
      <c r="W37" s="306"/>
      <c r="X37" s="306"/>
      <c r="Y37" s="306"/>
      <c r="Z37" s="306"/>
      <c r="AA37" s="306"/>
      <c r="AB37" s="306"/>
      <c r="AC37" s="306"/>
      <c r="AD37" s="306"/>
      <c r="AE37" s="306"/>
      <c r="AF37" s="306"/>
      <c r="AG37" s="306"/>
      <c r="AH37" s="306"/>
      <c r="AI37" s="306"/>
      <c r="AJ37" s="306"/>
      <c r="AK37" s="306"/>
      <c r="AL37" s="306"/>
      <c r="AM37" s="306"/>
      <c r="AN37" s="475"/>
      <c r="AO37" s="306"/>
      <c r="AP37" s="306"/>
      <c r="AQ37" s="306"/>
      <c r="AR37" s="306"/>
      <c r="AS37" s="306"/>
      <c r="AT37" s="306"/>
      <c r="AU37" s="205"/>
      <c r="AV37" s="205"/>
      <c r="AW37" s="205"/>
      <c r="AX37" s="205"/>
    </row>
    <row r="38" spans="1:50" ht="13.5" customHeight="1">
      <c r="A38" s="205"/>
      <c r="B38" s="205"/>
      <c r="C38" s="205"/>
      <c r="D38" s="205"/>
      <c r="E38" s="205"/>
      <c r="F38" s="205"/>
      <c r="G38" s="205"/>
      <c r="H38" s="205"/>
      <c r="I38" s="205"/>
      <c r="J38" s="205"/>
      <c r="K38" s="205"/>
      <c r="L38" s="205"/>
      <c r="M38" s="205"/>
      <c r="N38" s="205"/>
      <c r="O38" s="205"/>
      <c r="P38" s="205"/>
      <c r="Q38" s="205"/>
      <c r="R38" s="205"/>
      <c r="S38" s="205"/>
      <c r="T38" s="205"/>
      <c r="U38" s="207"/>
      <c r="V38" s="306"/>
      <c r="W38" s="306"/>
      <c r="X38" s="306"/>
      <c r="Y38" s="306"/>
      <c r="Z38" s="306"/>
      <c r="AA38" s="306"/>
      <c r="AB38" s="306"/>
      <c r="AC38" s="306"/>
      <c r="AD38" s="306"/>
      <c r="AE38" s="306"/>
      <c r="AF38" s="306"/>
      <c r="AG38" s="306"/>
      <c r="AH38" s="306"/>
      <c r="AI38" s="306"/>
      <c r="AJ38" s="306"/>
      <c r="AK38" s="306"/>
      <c r="AL38" s="306"/>
      <c r="AM38" s="306"/>
      <c r="AN38" s="475"/>
      <c r="AO38" s="306"/>
      <c r="AP38" s="306"/>
      <c r="AQ38" s="306"/>
      <c r="AR38" s="306"/>
      <c r="AS38" s="306"/>
      <c r="AT38" s="306"/>
      <c r="AU38" s="205"/>
      <c r="AV38" s="205"/>
      <c r="AW38" s="205"/>
      <c r="AX38" s="205"/>
    </row>
    <row r="39" spans="1:50" ht="13.5" customHeight="1">
      <c r="A39" s="205"/>
      <c r="B39" s="205"/>
      <c r="C39" s="205"/>
      <c r="D39" s="205"/>
      <c r="E39" s="205"/>
      <c r="F39" s="205"/>
      <c r="G39" s="205"/>
      <c r="H39" s="205"/>
      <c r="I39" s="205"/>
      <c r="J39" s="205"/>
      <c r="K39" s="205"/>
      <c r="L39" s="205"/>
      <c r="M39" s="205"/>
      <c r="N39" s="205"/>
      <c r="O39" s="205"/>
      <c r="P39" s="205"/>
      <c r="Q39" s="205"/>
      <c r="R39" s="205"/>
      <c r="S39" s="205"/>
      <c r="T39" s="205"/>
      <c r="U39" s="207"/>
      <c r="V39" s="306"/>
      <c r="W39" s="306"/>
      <c r="X39" s="306"/>
      <c r="Y39" s="306"/>
      <c r="Z39" s="306"/>
      <c r="AA39" s="306"/>
      <c r="AB39" s="306"/>
      <c r="AC39" s="306"/>
      <c r="AD39" s="306"/>
      <c r="AE39" s="306"/>
      <c r="AF39" s="306"/>
      <c r="AG39" s="306"/>
      <c r="AH39" s="306"/>
      <c r="AI39" s="306"/>
      <c r="AJ39" s="306"/>
      <c r="AK39" s="306"/>
      <c r="AL39" s="306"/>
      <c r="AM39" s="306"/>
      <c r="AN39" s="475"/>
      <c r="AO39" s="306"/>
      <c r="AP39" s="306"/>
      <c r="AQ39" s="306"/>
      <c r="AR39" s="306"/>
      <c r="AS39" s="306"/>
      <c r="AT39" s="306"/>
      <c r="AU39" s="205"/>
      <c r="AV39" s="205"/>
      <c r="AW39" s="205"/>
      <c r="AX39" s="205"/>
    </row>
    <row r="40" spans="1:50" ht="13.5" customHeight="1">
      <c r="A40" s="205"/>
      <c r="B40" s="205"/>
      <c r="C40" s="205"/>
      <c r="D40" s="205"/>
      <c r="E40" s="205"/>
      <c r="F40" s="205"/>
      <c r="G40" s="205"/>
      <c r="H40" s="205"/>
      <c r="I40" s="205"/>
      <c r="J40"/>
      <c r="K40" s="205"/>
      <c r="L40" s="205"/>
      <c r="M40" s="205"/>
      <c r="N40" s="205"/>
      <c r="O40" s="205"/>
      <c r="P40" s="205"/>
      <c r="Q40" s="205"/>
      <c r="R40" s="205"/>
      <c r="S40" s="205"/>
      <c r="T40" s="205"/>
      <c r="U40" s="207"/>
      <c r="V40" s="306"/>
      <c r="W40" s="306"/>
      <c r="X40" s="306"/>
      <c r="Y40" s="306"/>
      <c r="Z40" s="306"/>
      <c r="AA40" s="306"/>
      <c r="AB40" s="306"/>
      <c r="AC40" s="306"/>
      <c r="AD40" s="306"/>
      <c r="AE40" s="306"/>
      <c r="AF40" s="306"/>
      <c r="AG40" s="306"/>
      <c r="AH40" s="306"/>
      <c r="AI40" s="306"/>
      <c r="AJ40" s="306"/>
      <c r="AK40" s="306"/>
      <c r="AL40" s="306"/>
      <c r="AM40" s="306"/>
      <c r="AN40" s="475"/>
      <c r="AO40" s="306"/>
      <c r="AP40" s="306"/>
      <c r="AQ40" s="306"/>
      <c r="AR40" s="306"/>
      <c r="AS40" s="306"/>
      <c r="AT40" s="306"/>
      <c r="AU40" s="205"/>
      <c r="AV40" s="205"/>
      <c r="AW40" s="205"/>
      <c r="AX40" s="205"/>
    </row>
    <row r="41" spans="1:50" ht="13.5" customHeight="1">
      <c r="A41" s="205"/>
      <c r="B41" s="205"/>
      <c r="C41" s="205"/>
      <c r="D41" s="205"/>
      <c r="E41" s="205"/>
      <c r="F41" s="205"/>
      <c r="G41" s="205"/>
      <c r="H41" s="205"/>
      <c r="I41" s="205"/>
      <c r="J41" s="205"/>
      <c r="K41" s="205"/>
      <c r="L41" s="205"/>
      <c r="M41" s="205"/>
      <c r="N41" s="205"/>
      <c r="O41" s="205"/>
      <c r="P41" s="205"/>
      <c r="Q41" s="205"/>
      <c r="R41" s="205"/>
      <c r="S41" s="205"/>
      <c r="T41" s="205"/>
      <c r="U41" s="207"/>
      <c r="V41" s="306"/>
      <c r="W41" s="306"/>
      <c r="X41" s="306"/>
      <c r="Y41" s="306"/>
      <c r="Z41" s="306"/>
      <c r="AA41" s="306"/>
      <c r="AB41" s="306"/>
      <c r="AC41" s="306"/>
      <c r="AD41" s="306"/>
      <c r="AE41" s="306"/>
      <c r="AF41" s="306"/>
      <c r="AG41" s="306"/>
      <c r="AH41" s="306"/>
      <c r="AI41" s="306"/>
      <c r="AJ41" s="306"/>
      <c r="AK41" s="306"/>
      <c r="AL41" s="306"/>
      <c r="AM41" s="306"/>
      <c r="AN41" s="475"/>
      <c r="AO41" s="306"/>
      <c r="AP41" s="306"/>
      <c r="AQ41" s="306"/>
      <c r="AR41" s="306"/>
      <c r="AS41" s="306"/>
      <c r="AT41" s="306"/>
      <c r="AU41" s="205"/>
      <c r="AV41" s="205"/>
      <c r="AW41" s="205"/>
      <c r="AX41" s="205"/>
    </row>
    <row r="42" spans="1:50" ht="13.5" customHeight="1">
      <c r="A42" s="205"/>
      <c r="B42" s="205"/>
      <c r="C42" s="205"/>
      <c r="D42" s="205"/>
      <c r="E42" s="205"/>
      <c r="F42" s="205"/>
      <c r="G42" s="205"/>
      <c r="H42" s="205"/>
      <c r="I42" s="205"/>
      <c r="J42" s="205"/>
      <c r="K42" s="205"/>
      <c r="L42" s="205"/>
      <c r="M42" s="205"/>
      <c r="N42" s="205"/>
      <c r="O42" s="205"/>
      <c r="P42" s="205"/>
      <c r="Q42" s="205"/>
      <c r="R42" s="205"/>
      <c r="S42" s="205"/>
      <c r="T42" s="205"/>
      <c r="U42" s="207"/>
      <c r="V42" s="306"/>
      <c r="W42" s="306"/>
      <c r="X42" s="306"/>
      <c r="Y42" s="306"/>
      <c r="Z42" s="306"/>
      <c r="AA42" s="306"/>
      <c r="AB42" s="306"/>
      <c r="AC42" s="306"/>
      <c r="AD42" s="306"/>
      <c r="AE42" s="306"/>
      <c r="AF42" s="306"/>
      <c r="AG42" s="306"/>
      <c r="AH42" s="306"/>
      <c r="AI42" s="306"/>
      <c r="AJ42" s="306"/>
      <c r="AK42" s="306"/>
      <c r="AL42" s="306"/>
      <c r="AM42" s="306"/>
      <c r="AN42" s="475"/>
      <c r="AO42" s="306"/>
      <c r="AP42" s="306"/>
      <c r="AQ42" s="306"/>
      <c r="AR42" s="306"/>
      <c r="AS42" s="306"/>
      <c r="AT42" s="306"/>
      <c r="AU42" s="205"/>
      <c r="AV42" s="205"/>
      <c r="AW42" s="205"/>
      <c r="AX42" s="205"/>
    </row>
    <row r="43" spans="1:50" ht="13.5" customHeight="1">
      <c r="A43" s="205"/>
      <c r="B43" s="205"/>
      <c r="C43" s="205"/>
      <c r="D43" s="205"/>
      <c r="E43" s="205"/>
      <c r="F43" s="205"/>
      <c r="G43" s="205"/>
      <c r="H43" s="205"/>
      <c r="I43" s="205"/>
      <c r="J43" s="205"/>
      <c r="K43" s="205"/>
      <c r="L43" s="205"/>
      <c r="M43" s="205"/>
      <c r="N43" s="205"/>
      <c r="O43" s="205"/>
      <c r="P43" s="205"/>
      <c r="Q43" s="205"/>
      <c r="R43" s="205"/>
      <c r="S43" s="205"/>
      <c r="T43" s="205"/>
      <c r="U43" s="207"/>
      <c r="V43" s="306"/>
      <c r="W43" s="306"/>
      <c r="X43" s="306"/>
      <c r="Y43" s="306"/>
      <c r="Z43" s="306"/>
      <c r="AA43" s="306"/>
      <c r="AB43" s="306"/>
      <c r="AC43" s="306"/>
      <c r="AD43" s="306"/>
      <c r="AE43" s="306"/>
      <c r="AF43" s="306"/>
      <c r="AG43" s="306"/>
      <c r="AH43" s="306"/>
      <c r="AI43" s="306"/>
      <c r="AJ43" s="306"/>
      <c r="AK43" s="306"/>
      <c r="AL43" s="306"/>
      <c r="AM43" s="306"/>
      <c r="AN43" s="475"/>
      <c r="AO43" s="306"/>
      <c r="AP43" s="306"/>
      <c r="AQ43" s="306"/>
      <c r="AR43" s="306"/>
      <c r="AS43" s="306"/>
      <c r="AT43" s="306"/>
      <c r="AU43" s="205"/>
      <c r="AV43" s="205"/>
      <c r="AW43" s="205"/>
      <c r="AX43" s="205"/>
    </row>
    <row r="44" spans="1:50" ht="13.5" customHeight="1">
      <c r="A44" s="205"/>
      <c r="B44" s="205"/>
      <c r="C44" s="205"/>
      <c r="D44" s="205"/>
      <c r="E44" s="205"/>
      <c r="F44" s="205"/>
      <c r="G44" s="205"/>
      <c r="H44" s="205"/>
      <c r="I44" s="205"/>
      <c r="J44" s="205"/>
      <c r="K44" s="205"/>
      <c r="L44" s="205"/>
      <c r="M44" s="205"/>
      <c r="N44" s="205"/>
      <c r="O44" s="205"/>
      <c r="P44" s="205"/>
      <c r="Q44" s="205"/>
      <c r="R44" s="205"/>
      <c r="S44" s="205"/>
      <c r="T44" s="205"/>
      <c r="U44" s="207"/>
      <c r="V44" s="306"/>
      <c r="W44" s="306"/>
      <c r="X44" s="306"/>
      <c r="Y44" s="306"/>
      <c r="Z44" s="306"/>
      <c r="AA44" s="306"/>
      <c r="AB44" s="306"/>
      <c r="AC44" s="306"/>
      <c r="AD44" s="306"/>
      <c r="AE44" s="306"/>
      <c r="AF44" s="306"/>
      <c r="AG44" s="306"/>
      <c r="AH44" s="306"/>
      <c r="AI44" s="306"/>
      <c r="AJ44" s="306"/>
      <c r="AK44" s="306"/>
      <c r="AL44" s="306"/>
      <c r="AM44" s="306"/>
      <c r="AN44" s="475"/>
      <c r="AO44" s="306"/>
      <c r="AP44" s="306"/>
      <c r="AQ44" s="306"/>
      <c r="AR44" s="306"/>
      <c r="AS44" s="306"/>
      <c r="AT44" s="306"/>
      <c r="AU44" s="205"/>
      <c r="AV44" s="205"/>
      <c r="AW44" s="205"/>
      <c r="AX44" s="205"/>
    </row>
    <row r="45" spans="1:50" ht="13.5" customHeight="1">
      <c r="A45" s="205"/>
      <c r="B45" s="205"/>
      <c r="C45" s="205"/>
      <c r="D45" s="205"/>
      <c r="E45" s="205"/>
      <c r="F45" s="205"/>
      <c r="G45" s="205"/>
      <c r="H45" s="205"/>
      <c r="I45" s="205"/>
      <c r="J45" s="205"/>
      <c r="K45" s="205"/>
      <c r="L45" s="205"/>
      <c r="M45" s="205"/>
      <c r="N45" s="205"/>
      <c r="O45" s="205"/>
      <c r="P45" s="205"/>
      <c r="Q45" s="205"/>
      <c r="R45" s="205"/>
      <c r="S45" s="205"/>
      <c r="T45" s="205"/>
      <c r="U45" s="207"/>
      <c r="V45" s="306"/>
      <c r="W45" s="306"/>
      <c r="X45" s="306"/>
      <c r="Y45" s="306"/>
      <c r="Z45" s="306"/>
      <c r="AA45" s="306"/>
      <c r="AB45" s="306"/>
      <c r="AC45" s="306"/>
      <c r="AD45" s="306"/>
      <c r="AE45" s="306"/>
      <c r="AF45" s="306"/>
      <c r="AG45" s="306"/>
      <c r="AH45" s="306"/>
      <c r="AI45" s="306"/>
      <c r="AJ45" s="306"/>
      <c r="AK45" s="306"/>
      <c r="AL45" s="306"/>
      <c r="AM45" s="306"/>
      <c r="AN45" s="475"/>
      <c r="AO45" s="306"/>
      <c r="AP45" s="306"/>
      <c r="AQ45" s="306"/>
      <c r="AR45" s="306"/>
      <c r="AS45" s="306"/>
      <c r="AT45" s="306"/>
      <c r="AU45" s="205"/>
      <c r="AV45" s="205"/>
      <c r="AW45" s="205"/>
      <c r="AX45" s="205"/>
    </row>
    <row r="46" spans="1:50" ht="13.5" customHeight="1">
      <c r="A46" s="205"/>
      <c r="B46" s="205"/>
      <c r="C46" s="205"/>
      <c r="D46" s="205"/>
      <c r="E46" s="205"/>
      <c r="F46" s="205"/>
      <c r="G46" s="205"/>
      <c r="H46" s="205"/>
      <c r="I46" s="205"/>
      <c r="J46" s="205"/>
      <c r="K46" s="205"/>
      <c r="L46" s="205"/>
      <c r="M46" s="205"/>
      <c r="N46" s="205"/>
      <c r="O46" s="205"/>
      <c r="P46" s="205"/>
      <c r="Q46" s="205"/>
      <c r="R46" s="205"/>
      <c r="S46" s="205"/>
      <c r="T46" s="205"/>
      <c r="U46" s="207"/>
      <c r="V46" s="306"/>
      <c r="W46" s="306"/>
      <c r="X46" s="306"/>
      <c r="Y46" s="306"/>
      <c r="Z46" s="306"/>
      <c r="AA46" s="306"/>
      <c r="AB46" s="306"/>
      <c r="AC46" s="306"/>
      <c r="AD46" s="306"/>
      <c r="AE46" s="306"/>
      <c r="AF46" s="306"/>
      <c r="AG46" s="306"/>
      <c r="AH46" s="306"/>
      <c r="AI46" s="306"/>
      <c r="AJ46" s="306"/>
      <c r="AK46" s="306"/>
      <c r="AL46" s="306"/>
      <c r="AM46" s="306"/>
      <c r="AN46" s="475"/>
      <c r="AO46" s="306"/>
      <c r="AP46" s="306"/>
      <c r="AQ46" s="306"/>
      <c r="AR46" s="306"/>
      <c r="AS46" s="306"/>
      <c r="AT46" s="306"/>
      <c r="AU46" s="205"/>
      <c r="AV46" s="205"/>
      <c r="AW46" s="205"/>
      <c r="AX46" s="205"/>
    </row>
    <row r="47" spans="1:50" ht="13.5" customHeight="1">
      <c r="A47" s="205"/>
      <c r="B47" s="205"/>
      <c r="C47" s="205"/>
      <c r="D47" s="205"/>
      <c r="E47" s="205"/>
      <c r="F47" s="205"/>
      <c r="G47" s="205"/>
      <c r="H47" s="205"/>
      <c r="I47" s="205"/>
      <c r="J47" s="205"/>
      <c r="K47" s="205"/>
      <c r="L47" s="205"/>
      <c r="M47" s="205"/>
      <c r="N47" s="205"/>
      <c r="O47" s="205"/>
      <c r="P47" s="205"/>
      <c r="Q47" s="205"/>
      <c r="R47" s="205"/>
      <c r="S47" s="205"/>
      <c r="T47" s="205"/>
      <c r="U47" s="207"/>
      <c r="V47" s="306"/>
      <c r="W47" s="306"/>
      <c r="X47" s="306"/>
      <c r="Y47" s="306"/>
      <c r="Z47" s="306"/>
      <c r="AA47" s="306"/>
      <c r="AB47" s="306"/>
      <c r="AC47" s="306"/>
      <c r="AD47" s="306"/>
      <c r="AE47" s="306"/>
      <c r="AF47" s="306"/>
      <c r="AG47" s="306"/>
      <c r="AH47" s="306"/>
      <c r="AI47" s="306"/>
      <c r="AJ47" s="306"/>
      <c r="AK47" s="306"/>
      <c r="AL47" s="306"/>
      <c r="AM47" s="306"/>
      <c r="AN47" s="475"/>
      <c r="AO47" s="306"/>
      <c r="AP47" s="306"/>
      <c r="AQ47" s="306"/>
      <c r="AR47" s="306"/>
      <c r="AS47" s="306"/>
      <c r="AT47" s="306"/>
      <c r="AU47" s="205"/>
      <c r="AV47" s="205"/>
      <c r="AW47" s="205"/>
      <c r="AX47" s="205"/>
    </row>
    <row r="48" spans="1:50" ht="13.5" customHeight="1">
      <c r="A48" s="205"/>
      <c r="B48" s="205"/>
      <c r="C48" s="205"/>
      <c r="D48" s="205"/>
      <c r="E48" s="205"/>
      <c r="F48" s="205"/>
      <c r="G48" s="205"/>
      <c r="H48" s="205"/>
      <c r="I48" s="205"/>
      <c r="J48" s="205"/>
      <c r="K48" s="205"/>
      <c r="L48" s="205"/>
      <c r="M48" s="205"/>
      <c r="N48" s="205"/>
      <c r="O48" s="205"/>
      <c r="P48" s="205"/>
      <c r="Q48" s="205"/>
      <c r="R48" s="205"/>
      <c r="S48" s="205"/>
      <c r="T48" s="205"/>
      <c r="U48" s="207"/>
      <c r="V48" s="306"/>
      <c r="W48" s="306"/>
      <c r="X48" s="306"/>
      <c r="Y48" s="306"/>
      <c r="Z48" s="306"/>
      <c r="AA48" s="306"/>
      <c r="AB48" s="306"/>
      <c r="AC48" s="306"/>
      <c r="AD48" s="306"/>
      <c r="AE48" s="306"/>
      <c r="AF48" s="306"/>
      <c r="AG48" s="306"/>
      <c r="AH48" s="306"/>
      <c r="AI48" s="306"/>
      <c r="AJ48" s="306"/>
      <c r="AK48" s="306"/>
      <c r="AL48" s="306"/>
      <c r="AM48" s="306"/>
      <c r="AN48" s="475"/>
      <c r="AO48" s="306"/>
      <c r="AP48" s="306"/>
      <c r="AQ48" s="306"/>
      <c r="AR48" s="306"/>
      <c r="AS48" s="306"/>
      <c r="AT48" s="306"/>
      <c r="AU48" s="205"/>
      <c r="AV48" s="205"/>
      <c r="AW48" s="205"/>
      <c r="AX48" s="205"/>
    </row>
    <row r="49" spans="1:50" ht="13.5" customHeight="1">
      <c r="A49" s="205"/>
      <c r="B49" s="205"/>
      <c r="C49" s="205"/>
      <c r="D49" s="205"/>
      <c r="E49" s="205"/>
      <c r="F49" s="205"/>
      <c r="G49" s="205"/>
      <c r="H49" s="205"/>
      <c r="I49" s="205"/>
      <c r="J49" s="205"/>
      <c r="K49" s="205"/>
      <c r="L49" s="205"/>
      <c r="M49" s="205"/>
      <c r="N49" s="205"/>
      <c r="O49" s="205"/>
      <c r="P49" s="205"/>
      <c r="Q49" s="205"/>
      <c r="R49" s="205"/>
      <c r="S49" s="205"/>
      <c r="T49" s="205"/>
      <c r="U49" s="207"/>
      <c r="V49" s="306"/>
      <c r="W49" s="306"/>
      <c r="X49" s="306"/>
      <c r="Y49" s="306"/>
      <c r="Z49" s="306"/>
      <c r="AA49" s="306"/>
      <c r="AB49" s="306"/>
      <c r="AC49" s="306"/>
      <c r="AD49" s="306"/>
      <c r="AE49" s="306"/>
      <c r="AF49" s="306"/>
      <c r="AG49" s="306"/>
      <c r="AH49" s="306"/>
      <c r="AI49" s="306"/>
      <c r="AJ49" s="306"/>
      <c r="AK49" s="306"/>
      <c r="AL49" s="306"/>
      <c r="AM49" s="306"/>
      <c r="AN49" s="475"/>
      <c r="AO49" s="306"/>
      <c r="AP49" s="306"/>
      <c r="AQ49" s="306"/>
      <c r="AR49" s="306"/>
      <c r="AS49" s="306"/>
      <c r="AT49" s="306"/>
      <c r="AU49" s="205"/>
      <c r="AV49" s="205"/>
      <c r="AW49" s="205"/>
      <c r="AX49" s="205"/>
    </row>
    <row r="50" spans="1:50" ht="13.5" customHeight="1">
      <c r="A50" s="205"/>
      <c r="B50" s="205"/>
      <c r="C50" s="205"/>
      <c r="D50" s="205"/>
      <c r="E50" s="205"/>
      <c r="F50" s="205"/>
      <c r="G50" s="205"/>
      <c r="H50" s="205"/>
      <c r="I50" s="205"/>
      <c r="J50" s="205"/>
      <c r="K50" s="205"/>
      <c r="L50" s="205"/>
      <c r="M50" s="205"/>
      <c r="N50" s="205"/>
      <c r="O50" s="205"/>
      <c r="P50" s="205"/>
      <c r="Q50" s="205"/>
      <c r="R50" s="205"/>
      <c r="S50" s="205"/>
      <c r="T50" s="205"/>
      <c r="U50" s="207"/>
      <c r="V50" s="306"/>
      <c r="W50" s="306"/>
      <c r="X50" s="306"/>
      <c r="Y50" s="306"/>
      <c r="Z50" s="306"/>
      <c r="AA50" s="306"/>
      <c r="AB50" s="306"/>
      <c r="AC50" s="306"/>
      <c r="AD50" s="306"/>
      <c r="AE50" s="306"/>
      <c r="AF50" s="306"/>
      <c r="AG50" s="306"/>
      <c r="AH50" s="306"/>
      <c r="AI50" s="306"/>
      <c r="AJ50" s="306"/>
      <c r="AK50" s="306"/>
      <c r="AL50" s="306"/>
      <c r="AM50" s="306"/>
      <c r="AN50" s="475"/>
      <c r="AO50" s="306"/>
      <c r="AP50" s="306"/>
      <c r="AQ50" s="306"/>
      <c r="AR50" s="306"/>
      <c r="AS50" s="306"/>
      <c r="AT50" s="306"/>
      <c r="AU50" s="205"/>
      <c r="AV50" s="205"/>
      <c r="AW50" s="205"/>
      <c r="AX50" s="205"/>
    </row>
    <row r="51" spans="1:50" ht="13.5" customHeight="1">
      <c r="A51" s="205"/>
      <c r="B51" s="205"/>
      <c r="C51" s="205"/>
      <c r="D51" s="205"/>
      <c r="E51" s="205"/>
      <c r="F51" s="205"/>
      <c r="G51" s="205"/>
      <c r="H51" s="205"/>
      <c r="I51" s="205"/>
      <c r="J51" s="205"/>
      <c r="K51" s="205"/>
      <c r="L51" s="205"/>
      <c r="M51" s="205"/>
      <c r="N51" s="205"/>
      <c r="O51" s="205"/>
      <c r="P51" s="205"/>
      <c r="Q51" s="205"/>
      <c r="R51" s="205"/>
      <c r="S51" s="205"/>
      <c r="T51" s="205"/>
      <c r="U51" s="207"/>
      <c r="V51" s="306"/>
      <c r="W51" s="306"/>
      <c r="X51" s="306"/>
      <c r="Y51" s="306"/>
      <c r="Z51" s="306"/>
      <c r="AA51" s="306"/>
      <c r="AB51" s="306"/>
      <c r="AC51" s="306"/>
      <c r="AD51" s="306"/>
      <c r="AE51" s="306"/>
      <c r="AF51" s="306"/>
      <c r="AG51" s="306"/>
      <c r="AH51" s="306"/>
      <c r="AI51" s="306"/>
      <c r="AJ51" s="306"/>
      <c r="AK51" s="306"/>
      <c r="AL51" s="306"/>
      <c r="AM51" s="306"/>
      <c r="AN51" s="475"/>
      <c r="AO51" s="306"/>
      <c r="AP51" s="306"/>
      <c r="AQ51" s="306"/>
      <c r="AR51" s="306"/>
      <c r="AS51" s="306"/>
      <c r="AT51" s="306"/>
      <c r="AU51" s="205"/>
      <c r="AV51" s="205"/>
      <c r="AW51" s="205"/>
      <c r="AX51" s="205"/>
    </row>
    <row r="52" spans="1:50" ht="13.5" customHeight="1">
      <c r="A52" s="205"/>
      <c r="B52" s="205"/>
      <c r="C52" s="205"/>
      <c r="D52" s="205"/>
      <c r="E52" s="205"/>
      <c r="F52" s="205"/>
      <c r="G52" s="205"/>
      <c r="H52" s="205"/>
      <c r="I52" s="205"/>
      <c r="J52" s="205"/>
      <c r="K52" s="205"/>
      <c r="L52" s="205"/>
      <c r="M52" s="205"/>
      <c r="N52" s="205"/>
      <c r="O52" s="205"/>
      <c r="P52" s="205"/>
      <c r="Q52" s="205"/>
      <c r="R52" s="205"/>
      <c r="S52" s="205"/>
      <c r="T52" s="205"/>
      <c r="U52" s="207"/>
      <c r="V52" s="306"/>
      <c r="W52" s="306"/>
      <c r="X52" s="306"/>
      <c r="Y52" s="306"/>
      <c r="Z52" s="306"/>
      <c r="AA52" s="306"/>
      <c r="AB52" s="306"/>
      <c r="AC52" s="306"/>
      <c r="AD52" s="306"/>
      <c r="AE52" s="306"/>
      <c r="AF52" s="306"/>
      <c r="AG52" s="306"/>
      <c r="AH52" s="306"/>
      <c r="AI52" s="306"/>
      <c r="AJ52" s="306"/>
      <c r="AK52" s="306"/>
      <c r="AL52" s="306"/>
      <c r="AM52" s="306"/>
      <c r="AN52" s="475"/>
      <c r="AO52" s="306"/>
      <c r="AP52" s="306"/>
      <c r="AQ52" s="306"/>
      <c r="AR52" s="306"/>
      <c r="AS52" s="306"/>
      <c r="AT52" s="306"/>
      <c r="AU52" s="205"/>
      <c r="AV52" s="205"/>
      <c r="AW52" s="205"/>
      <c r="AX52" s="205"/>
    </row>
    <row r="53" spans="1:50" ht="13.5" customHeight="1">
      <c r="A53" s="205"/>
      <c r="B53" s="205"/>
      <c r="C53" s="205"/>
      <c r="D53" s="205"/>
      <c r="E53" s="205"/>
      <c r="F53" s="205"/>
      <c r="G53" s="205"/>
      <c r="H53" s="205"/>
      <c r="I53" s="205"/>
      <c r="J53" s="205"/>
      <c r="K53" s="205"/>
      <c r="L53" s="205"/>
      <c r="M53" s="205"/>
      <c r="N53" s="205"/>
      <c r="O53" s="205"/>
      <c r="P53" s="205"/>
      <c r="Q53" s="205"/>
      <c r="R53" s="205"/>
      <c r="S53" s="205"/>
      <c r="T53" s="205"/>
      <c r="U53" s="207"/>
      <c r="V53" s="306"/>
      <c r="W53" s="306"/>
      <c r="X53" s="306"/>
      <c r="Y53" s="306"/>
      <c r="Z53" s="306"/>
      <c r="AA53" s="306"/>
      <c r="AB53" s="306"/>
      <c r="AC53" s="306"/>
      <c r="AD53" s="306"/>
      <c r="AE53" s="306"/>
      <c r="AF53" s="306"/>
      <c r="AG53" s="306"/>
      <c r="AH53" s="306"/>
      <c r="AI53" s="306"/>
      <c r="AJ53" s="306"/>
      <c r="AK53" s="306"/>
      <c r="AL53" s="306"/>
      <c r="AM53" s="306"/>
      <c r="AN53" s="475"/>
      <c r="AO53" s="306"/>
      <c r="AP53" s="306"/>
      <c r="AQ53" s="306"/>
      <c r="AR53" s="306"/>
      <c r="AS53" s="306"/>
      <c r="AT53" s="306"/>
      <c r="AU53" s="205"/>
      <c r="AV53" s="205"/>
      <c r="AW53" s="205"/>
      <c r="AX53" s="205"/>
    </row>
    <row r="54" spans="1:50" ht="13.5" customHeight="1">
      <c r="A54" s="205"/>
      <c r="B54" s="205"/>
      <c r="C54" s="205"/>
      <c r="D54" s="205"/>
      <c r="E54" s="205"/>
      <c r="F54" s="205"/>
      <c r="G54" s="205"/>
      <c r="H54" s="205"/>
      <c r="I54" s="205"/>
      <c r="J54" s="205"/>
      <c r="K54" s="205"/>
      <c r="L54" s="205"/>
      <c r="M54" s="205"/>
      <c r="N54" s="205"/>
      <c r="O54" s="205"/>
      <c r="P54" s="205"/>
      <c r="Q54" s="205"/>
      <c r="R54" s="205"/>
      <c r="S54" s="205"/>
      <c r="T54" s="205"/>
      <c r="U54" s="207"/>
      <c r="V54" s="306"/>
      <c r="W54" s="306"/>
      <c r="X54" s="306"/>
      <c r="Y54" s="306"/>
      <c r="Z54" s="306"/>
      <c r="AA54" s="306"/>
      <c r="AB54" s="306"/>
      <c r="AC54" s="306"/>
      <c r="AD54" s="306"/>
      <c r="AE54" s="306"/>
      <c r="AF54" s="306"/>
      <c r="AG54" s="306"/>
      <c r="AH54" s="306"/>
      <c r="AI54" s="306"/>
      <c r="AJ54" s="306"/>
      <c r="AK54" s="306"/>
      <c r="AL54" s="306"/>
      <c r="AM54" s="306"/>
      <c r="AN54" s="475"/>
      <c r="AO54" s="306"/>
      <c r="AP54" s="306"/>
      <c r="AQ54" s="306"/>
      <c r="AR54" s="306"/>
      <c r="AS54" s="306"/>
      <c r="AT54" s="306"/>
      <c r="AU54" s="205"/>
      <c r="AV54" s="205"/>
      <c r="AW54" s="205"/>
      <c r="AX54" s="205"/>
    </row>
    <row r="55" spans="1:50" ht="13.5" customHeight="1">
      <c r="A55" s="205"/>
      <c r="B55" s="205"/>
      <c r="C55" s="205"/>
      <c r="D55" s="205"/>
      <c r="E55" s="205"/>
      <c r="F55" s="205"/>
      <c r="G55" s="205"/>
      <c r="H55" s="205"/>
      <c r="I55" s="205"/>
      <c r="J55" s="205"/>
      <c r="K55" s="205"/>
      <c r="L55" s="205"/>
      <c r="M55" s="205"/>
      <c r="N55" s="205"/>
      <c r="O55" s="205"/>
      <c r="P55" s="205"/>
      <c r="Q55" s="205"/>
      <c r="R55" s="205"/>
      <c r="S55" s="205"/>
      <c r="T55" s="205"/>
      <c r="U55" s="207"/>
      <c r="V55" s="306"/>
      <c r="W55" s="306"/>
      <c r="X55" s="306"/>
      <c r="Y55" s="306"/>
      <c r="Z55" s="306"/>
      <c r="AA55" s="306"/>
      <c r="AB55" s="306"/>
      <c r="AC55" s="306"/>
      <c r="AD55" s="306"/>
      <c r="AE55" s="306"/>
      <c r="AF55" s="306"/>
      <c r="AG55" s="306"/>
      <c r="AH55" s="306"/>
      <c r="AI55" s="306"/>
      <c r="AJ55" s="306"/>
      <c r="AK55" s="306"/>
      <c r="AL55" s="306"/>
      <c r="AM55" s="306"/>
      <c r="AN55" s="475"/>
      <c r="AO55" s="306"/>
      <c r="AP55" s="306"/>
      <c r="AQ55" s="306"/>
      <c r="AR55" s="306"/>
      <c r="AS55" s="306"/>
      <c r="AT55" s="306"/>
      <c r="AU55" s="205"/>
      <c r="AV55" s="205"/>
      <c r="AW55" s="205"/>
      <c r="AX55" s="205"/>
    </row>
    <row r="56" spans="1:50" ht="13.5" customHeight="1">
      <c r="A56" s="205"/>
      <c r="B56" s="205"/>
      <c r="C56" s="205"/>
      <c r="D56" s="205"/>
      <c r="E56" s="205"/>
      <c r="F56" s="205"/>
      <c r="G56" s="205"/>
      <c r="H56" s="205"/>
      <c r="I56" s="205"/>
      <c r="J56" s="205"/>
      <c r="K56" s="205"/>
      <c r="L56" s="205"/>
      <c r="M56" s="205"/>
      <c r="N56" s="205"/>
      <c r="O56" s="205"/>
      <c r="P56" s="205"/>
      <c r="Q56" s="205"/>
      <c r="R56" s="205"/>
      <c r="S56" s="205"/>
      <c r="T56" s="205"/>
      <c r="U56" s="207"/>
      <c r="V56" s="306"/>
      <c r="W56" s="306"/>
      <c r="X56" s="306"/>
      <c r="Y56" s="306"/>
      <c r="Z56" s="306"/>
      <c r="AA56" s="306"/>
      <c r="AB56" s="306"/>
      <c r="AC56" s="306"/>
      <c r="AD56" s="306"/>
      <c r="AE56" s="306"/>
      <c r="AF56" s="306"/>
      <c r="AG56" s="306"/>
      <c r="AH56" s="306"/>
      <c r="AI56" s="306"/>
      <c r="AJ56" s="306"/>
      <c r="AK56" s="306"/>
      <c r="AL56" s="306"/>
      <c r="AM56" s="306"/>
      <c r="AN56" s="475"/>
      <c r="AO56" s="306"/>
      <c r="AP56" s="306"/>
      <c r="AQ56" s="306"/>
      <c r="AR56" s="306"/>
      <c r="AS56" s="306"/>
      <c r="AT56" s="306"/>
      <c r="AU56" s="205"/>
      <c r="AV56" s="205"/>
      <c r="AW56" s="205"/>
      <c r="AX56" s="205"/>
    </row>
    <row r="57" spans="1:50" ht="13.5" customHeight="1">
      <c r="A57" s="205"/>
      <c r="B57" s="205"/>
      <c r="C57" s="205"/>
      <c r="D57" s="205"/>
      <c r="E57" s="205"/>
      <c r="F57" s="205"/>
      <c r="G57" s="205"/>
      <c r="H57" s="205"/>
      <c r="I57" s="205"/>
      <c r="J57" s="205"/>
      <c r="K57" s="205"/>
      <c r="L57" s="205"/>
      <c r="M57" s="205"/>
      <c r="N57" s="205"/>
      <c r="O57" s="205"/>
      <c r="P57" s="205"/>
      <c r="Q57" s="205"/>
      <c r="R57" s="205"/>
      <c r="S57" s="205"/>
      <c r="T57" s="205"/>
      <c r="U57" s="207"/>
      <c r="V57" s="306"/>
      <c r="W57" s="306"/>
      <c r="X57" s="306"/>
      <c r="Y57" s="306"/>
      <c r="Z57" s="306"/>
      <c r="AA57" s="306"/>
      <c r="AB57" s="306"/>
      <c r="AC57" s="306"/>
      <c r="AD57" s="306"/>
      <c r="AE57" s="306"/>
      <c r="AF57" s="306"/>
      <c r="AG57" s="306"/>
      <c r="AH57" s="306"/>
      <c r="AI57" s="306"/>
      <c r="AJ57" s="306"/>
      <c r="AK57" s="306"/>
      <c r="AL57" s="306"/>
      <c r="AM57" s="306"/>
      <c r="AN57" s="475"/>
      <c r="AO57" s="306"/>
      <c r="AP57" s="306"/>
      <c r="AQ57" s="306"/>
      <c r="AR57" s="306"/>
      <c r="AS57" s="306"/>
      <c r="AT57" s="306"/>
      <c r="AU57" s="205"/>
      <c r="AV57" s="205"/>
      <c r="AW57" s="205"/>
      <c r="AX57" s="205"/>
    </row>
    <row r="58" spans="1:50" ht="13.5" customHeight="1">
      <c r="A58" s="205"/>
      <c r="B58" s="205"/>
      <c r="C58" s="205"/>
      <c r="D58" s="205"/>
      <c r="E58" s="205"/>
      <c r="F58" s="205"/>
      <c r="G58" s="205"/>
      <c r="H58" s="205"/>
      <c r="I58" s="205"/>
      <c r="J58" s="205"/>
      <c r="K58" s="205"/>
      <c r="L58" s="205"/>
      <c r="M58" s="205"/>
      <c r="N58" s="205"/>
      <c r="O58" s="205"/>
      <c r="P58" s="205"/>
      <c r="Q58" s="205"/>
      <c r="R58" s="205"/>
      <c r="S58" s="205"/>
      <c r="T58" s="205"/>
      <c r="U58" s="207"/>
      <c r="V58" s="306"/>
      <c r="W58" s="306"/>
      <c r="X58" s="306"/>
      <c r="Y58" s="306"/>
      <c r="Z58" s="306"/>
      <c r="AA58" s="306"/>
      <c r="AB58" s="306"/>
      <c r="AC58" s="306"/>
      <c r="AD58" s="306"/>
      <c r="AE58" s="306"/>
      <c r="AF58" s="306"/>
      <c r="AG58" s="306"/>
      <c r="AH58" s="306"/>
      <c r="AI58" s="306"/>
      <c r="AJ58" s="306"/>
      <c r="AK58" s="306"/>
      <c r="AL58" s="306"/>
      <c r="AM58" s="306"/>
      <c r="AN58" s="475"/>
      <c r="AO58" s="306"/>
      <c r="AP58" s="306"/>
      <c r="AQ58" s="306"/>
      <c r="AR58" s="306"/>
      <c r="AS58" s="306"/>
      <c r="AT58" s="306"/>
      <c r="AU58" s="205"/>
      <c r="AV58" s="205"/>
      <c r="AW58" s="205"/>
      <c r="AX58" s="205"/>
    </row>
    <row r="59" spans="1:50" ht="13.5" customHeight="1">
      <c r="A59" s="205"/>
      <c r="B59" s="205"/>
      <c r="C59" s="205"/>
      <c r="D59" s="205"/>
      <c r="E59" s="205"/>
      <c r="F59" s="205"/>
      <c r="G59" s="205"/>
      <c r="H59" s="205"/>
      <c r="I59" s="205"/>
      <c r="J59" s="205"/>
      <c r="K59" s="205"/>
      <c r="L59" s="205"/>
      <c r="M59" s="205"/>
      <c r="N59" s="205"/>
      <c r="O59" s="205"/>
      <c r="P59" s="205"/>
      <c r="Q59" s="205"/>
      <c r="R59" s="205"/>
      <c r="S59" s="205"/>
      <c r="T59" s="205"/>
      <c r="U59" s="207"/>
      <c r="V59" s="306"/>
      <c r="W59" s="306"/>
      <c r="X59" s="306"/>
      <c r="Y59" s="306"/>
      <c r="Z59" s="306"/>
      <c r="AA59" s="306"/>
      <c r="AB59" s="306"/>
      <c r="AC59" s="306"/>
      <c r="AD59" s="306"/>
      <c r="AE59" s="306"/>
      <c r="AF59" s="306"/>
      <c r="AG59" s="306"/>
      <c r="AH59" s="306"/>
      <c r="AI59" s="306"/>
      <c r="AJ59" s="306"/>
      <c r="AK59" s="306"/>
      <c r="AL59" s="306"/>
      <c r="AM59" s="306"/>
      <c r="AN59" s="475"/>
      <c r="AO59" s="306"/>
      <c r="AP59" s="306"/>
      <c r="AQ59" s="306"/>
      <c r="AR59" s="306"/>
      <c r="AS59" s="306"/>
      <c r="AT59" s="306"/>
      <c r="AU59" s="205"/>
      <c r="AV59" s="205"/>
      <c r="AW59" s="205"/>
      <c r="AX59" s="205"/>
    </row>
    <row r="60" spans="1:50" ht="13.5" customHeight="1">
      <c r="A60" s="205"/>
      <c r="B60" s="205"/>
      <c r="C60" s="205"/>
      <c r="D60" s="205"/>
      <c r="E60" s="205"/>
      <c r="F60" s="205"/>
      <c r="G60" s="205"/>
      <c r="H60" s="205"/>
      <c r="I60" s="205"/>
      <c r="J60" s="205"/>
      <c r="K60" s="205"/>
      <c r="L60" s="205"/>
      <c r="M60" s="205"/>
      <c r="N60" s="205"/>
      <c r="O60" s="205"/>
      <c r="P60" s="205"/>
      <c r="Q60" s="205"/>
      <c r="R60" s="205"/>
      <c r="S60" s="205"/>
      <c r="T60" s="205"/>
      <c r="U60" s="207"/>
      <c r="V60" s="306"/>
      <c r="W60" s="306"/>
      <c r="X60" s="306"/>
      <c r="Y60" s="306"/>
      <c r="Z60" s="306"/>
      <c r="AA60" s="306"/>
      <c r="AB60" s="306"/>
      <c r="AC60" s="306"/>
      <c r="AD60" s="306"/>
      <c r="AE60" s="306"/>
      <c r="AF60" s="306"/>
      <c r="AG60" s="306"/>
      <c r="AH60" s="306"/>
      <c r="AI60" s="306"/>
      <c r="AJ60" s="306"/>
      <c r="AK60" s="306"/>
      <c r="AL60" s="306"/>
      <c r="AM60" s="306"/>
      <c r="AN60" s="475"/>
      <c r="AO60" s="306"/>
      <c r="AP60" s="306"/>
      <c r="AQ60" s="306"/>
      <c r="AR60" s="306"/>
      <c r="AS60" s="306"/>
      <c r="AT60" s="306"/>
      <c r="AU60" s="205"/>
      <c r="AV60" s="205"/>
      <c r="AW60" s="205"/>
      <c r="AX60" s="205"/>
    </row>
    <row r="61" spans="1:50" ht="13.5" customHeight="1">
      <c r="A61" s="205"/>
      <c r="B61" s="205"/>
      <c r="C61" s="205"/>
      <c r="D61" s="205"/>
      <c r="E61" s="205"/>
      <c r="F61" s="205"/>
      <c r="G61" s="205"/>
      <c r="H61" s="205"/>
      <c r="I61" s="205"/>
      <c r="J61" s="205"/>
      <c r="K61" s="205"/>
      <c r="L61" s="205"/>
      <c r="M61" s="205"/>
      <c r="N61" s="205"/>
      <c r="O61" s="205"/>
      <c r="P61" s="205"/>
      <c r="Q61" s="205"/>
      <c r="R61" s="205"/>
      <c r="S61" s="205"/>
      <c r="T61" s="205"/>
      <c r="U61" s="207"/>
      <c r="V61" s="306"/>
      <c r="W61" s="306"/>
      <c r="X61" s="306"/>
      <c r="Y61" s="306"/>
      <c r="Z61" s="306"/>
      <c r="AA61" s="306"/>
      <c r="AB61" s="306"/>
      <c r="AC61" s="306"/>
      <c r="AD61" s="306"/>
      <c r="AE61" s="306"/>
      <c r="AF61" s="306"/>
      <c r="AG61" s="306"/>
      <c r="AH61" s="306"/>
      <c r="AI61" s="306"/>
      <c r="AJ61" s="306"/>
      <c r="AK61" s="306"/>
      <c r="AL61" s="306"/>
      <c r="AM61" s="306"/>
      <c r="AN61" s="475"/>
      <c r="AO61" s="306"/>
      <c r="AP61" s="306"/>
      <c r="AQ61" s="306"/>
      <c r="AR61" s="306"/>
      <c r="AS61" s="306"/>
      <c r="AT61" s="306"/>
      <c r="AU61" s="205"/>
      <c r="AV61" s="205"/>
      <c r="AW61" s="205"/>
      <c r="AX61" s="205"/>
    </row>
    <row r="62" spans="1:50" ht="13.5" customHeight="1">
      <c r="A62" s="205"/>
      <c r="B62" s="205"/>
      <c r="C62" s="205"/>
      <c r="D62" s="205"/>
      <c r="E62" s="205"/>
      <c r="F62" s="205"/>
      <c r="G62" s="205"/>
      <c r="H62" s="205"/>
      <c r="I62" s="205"/>
      <c r="J62" s="205"/>
      <c r="K62" s="205"/>
      <c r="L62" s="205"/>
      <c r="M62" s="205"/>
      <c r="N62" s="205"/>
      <c r="O62" s="205"/>
      <c r="P62" s="205"/>
      <c r="Q62" s="205"/>
      <c r="R62" s="205"/>
      <c r="S62" s="205"/>
      <c r="T62" s="205"/>
      <c r="U62" s="207"/>
      <c r="V62" s="306"/>
      <c r="W62" s="306"/>
      <c r="X62" s="306"/>
      <c r="Y62" s="306"/>
      <c r="Z62" s="306"/>
      <c r="AA62" s="306"/>
      <c r="AB62" s="306"/>
      <c r="AC62" s="306"/>
      <c r="AD62" s="306"/>
      <c r="AE62" s="306"/>
      <c r="AF62" s="306"/>
      <c r="AG62" s="306"/>
      <c r="AH62" s="306"/>
      <c r="AI62" s="306"/>
      <c r="AJ62" s="306"/>
      <c r="AK62" s="306"/>
      <c r="AL62" s="306"/>
      <c r="AM62" s="306"/>
      <c r="AN62" s="475"/>
      <c r="AO62" s="306"/>
      <c r="AP62" s="306"/>
      <c r="AQ62" s="306"/>
      <c r="AR62" s="306"/>
      <c r="AS62" s="306"/>
      <c r="AT62" s="306"/>
      <c r="AU62" s="205"/>
      <c r="AV62" s="205"/>
      <c r="AW62" s="205"/>
      <c r="AX62" s="205"/>
    </row>
    <row r="63" spans="1:50" ht="13.5" customHeight="1">
      <c r="A63" s="205"/>
      <c r="B63" s="205"/>
      <c r="C63" s="205"/>
      <c r="D63" s="205"/>
      <c r="E63" s="205"/>
      <c r="F63" s="205"/>
      <c r="G63" s="205"/>
      <c r="H63" s="205"/>
      <c r="I63" s="205"/>
      <c r="J63" s="205"/>
      <c r="K63" s="205"/>
      <c r="L63" s="205"/>
      <c r="M63" s="205"/>
      <c r="N63" s="205"/>
      <c r="O63" s="205"/>
      <c r="P63" s="205"/>
      <c r="Q63" s="205"/>
      <c r="R63" s="205"/>
      <c r="S63" s="205"/>
      <c r="T63" s="205"/>
      <c r="U63" s="207"/>
      <c r="V63" s="306"/>
      <c r="W63" s="306"/>
      <c r="X63" s="306"/>
      <c r="Y63" s="306"/>
      <c r="Z63" s="306"/>
      <c r="AA63" s="306"/>
      <c r="AB63" s="306"/>
      <c r="AC63" s="306"/>
      <c r="AD63" s="306"/>
      <c r="AE63" s="306"/>
      <c r="AF63" s="306"/>
      <c r="AG63" s="306"/>
      <c r="AH63" s="306"/>
      <c r="AI63" s="306"/>
      <c r="AJ63" s="306"/>
      <c r="AK63" s="306"/>
      <c r="AL63" s="306"/>
      <c r="AM63" s="306"/>
      <c r="AN63" s="475"/>
      <c r="AO63" s="306"/>
      <c r="AP63" s="306"/>
      <c r="AQ63" s="306"/>
      <c r="AR63" s="306"/>
      <c r="AS63" s="306"/>
      <c r="AT63" s="306"/>
      <c r="AU63" s="205"/>
      <c r="AV63" s="205"/>
      <c r="AW63" s="205"/>
      <c r="AX63" s="205"/>
    </row>
    <row r="64" spans="1:50" ht="13.5" customHeight="1">
      <c r="A64" s="205"/>
      <c r="B64" s="205"/>
      <c r="C64" s="205"/>
      <c r="D64" s="205"/>
      <c r="E64" s="205"/>
      <c r="F64" s="205"/>
      <c r="G64" s="205"/>
      <c r="H64" s="205"/>
      <c r="I64" s="205"/>
      <c r="J64" s="205"/>
      <c r="K64" s="205"/>
      <c r="L64" s="205"/>
      <c r="M64" s="205"/>
      <c r="N64" s="205"/>
      <c r="O64" s="205"/>
      <c r="P64" s="205"/>
      <c r="Q64" s="205"/>
      <c r="R64" s="205"/>
      <c r="S64" s="205"/>
      <c r="T64" s="205"/>
      <c r="U64" s="207"/>
      <c r="V64" s="306"/>
      <c r="W64" s="306"/>
      <c r="X64" s="306"/>
      <c r="Y64" s="306"/>
      <c r="Z64" s="306"/>
      <c r="AA64" s="306"/>
      <c r="AB64" s="306"/>
      <c r="AC64" s="306"/>
      <c r="AD64" s="306"/>
      <c r="AE64" s="306"/>
      <c r="AF64" s="306"/>
      <c r="AG64" s="306"/>
      <c r="AH64" s="306"/>
      <c r="AI64" s="306"/>
      <c r="AJ64" s="306"/>
      <c r="AK64" s="306"/>
      <c r="AL64" s="306"/>
      <c r="AM64" s="306"/>
      <c r="AN64" s="475"/>
      <c r="AO64" s="306"/>
      <c r="AP64" s="306"/>
      <c r="AQ64" s="306"/>
      <c r="AR64" s="306"/>
      <c r="AS64" s="306"/>
      <c r="AT64" s="306"/>
      <c r="AU64" s="205"/>
      <c r="AV64" s="205"/>
      <c r="AW64" s="205"/>
      <c r="AX64" s="205"/>
    </row>
    <row r="65" spans="1:50" ht="13.5" customHeight="1">
      <c r="A65" s="205"/>
      <c r="B65" s="205"/>
      <c r="C65" s="205"/>
      <c r="D65" s="205"/>
      <c r="E65" s="205"/>
      <c r="F65" s="205"/>
      <c r="G65" s="205"/>
      <c r="H65" s="205"/>
      <c r="I65" s="205"/>
      <c r="J65" s="205"/>
      <c r="K65" s="205"/>
      <c r="L65" s="205"/>
      <c r="M65" s="205"/>
      <c r="N65" s="205"/>
      <c r="O65" s="205"/>
      <c r="P65" s="205"/>
      <c r="Q65" s="205"/>
      <c r="R65" s="205"/>
      <c r="S65" s="205"/>
      <c r="T65" s="205"/>
      <c r="U65" s="207"/>
      <c r="V65" s="306"/>
      <c r="W65" s="306"/>
      <c r="X65" s="306"/>
      <c r="Y65" s="306"/>
      <c r="Z65" s="306"/>
      <c r="AA65" s="306"/>
      <c r="AB65" s="306"/>
      <c r="AC65" s="306"/>
      <c r="AD65" s="306"/>
      <c r="AE65" s="306"/>
      <c r="AF65" s="306"/>
      <c r="AG65" s="306"/>
      <c r="AH65" s="306"/>
      <c r="AI65" s="306"/>
      <c r="AJ65" s="306"/>
      <c r="AK65" s="306"/>
      <c r="AL65" s="306"/>
      <c r="AM65" s="306"/>
      <c r="AN65" s="475"/>
      <c r="AO65" s="306"/>
      <c r="AP65" s="306"/>
      <c r="AQ65" s="306"/>
      <c r="AR65" s="306"/>
      <c r="AS65" s="306"/>
      <c r="AT65" s="306"/>
      <c r="AU65" s="205"/>
      <c r="AV65" s="205"/>
      <c r="AW65" s="205"/>
      <c r="AX65" s="205"/>
    </row>
    <row r="66" spans="1:50" ht="13.5" customHeight="1">
      <c r="A66" s="205"/>
      <c r="B66" s="205"/>
      <c r="C66" s="205"/>
      <c r="D66" s="205"/>
      <c r="E66" s="205"/>
      <c r="F66" s="205"/>
      <c r="G66" s="205"/>
      <c r="H66" s="205"/>
      <c r="I66" s="205"/>
      <c r="J66" s="205"/>
      <c r="K66" s="205"/>
      <c r="L66" s="205"/>
      <c r="M66" s="205"/>
      <c r="N66" s="205"/>
      <c r="O66" s="205"/>
      <c r="P66" s="205"/>
      <c r="Q66" s="205"/>
      <c r="R66" s="205"/>
      <c r="S66" s="205"/>
      <c r="T66" s="205"/>
      <c r="U66" s="207"/>
      <c r="V66" s="306"/>
      <c r="W66" s="306"/>
      <c r="X66" s="306"/>
      <c r="Y66" s="306"/>
      <c r="Z66" s="306"/>
      <c r="AA66" s="306"/>
      <c r="AB66" s="306"/>
      <c r="AC66" s="306"/>
      <c r="AD66" s="306"/>
      <c r="AE66" s="306"/>
      <c r="AF66" s="306"/>
      <c r="AG66" s="306"/>
      <c r="AH66" s="306"/>
      <c r="AI66" s="306"/>
      <c r="AJ66" s="306"/>
      <c r="AK66" s="306"/>
      <c r="AL66" s="306"/>
      <c r="AM66" s="306"/>
      <c r="AN66" s="475"/>
      <c r="AO66" s="306"/>
      <c r="AP66" s="306"/>
      <c r="AQ66" s="306"/>
      <c r="AR66" s="306"/>
      <c r="AS66" s="306"/>
      <c r="AT66" s="306"/>
      <c r="AU66" s="205"/>
      <c r="AV66" s="205"/>
      <c r="AW66" s="205"/>
      <c r="AX66" s="205"/>
    </row>
    <row r="67" spans="1:50" ht="13.5" customHeight="1">
      <c r="A67" s="205"/>
      <c r="B67" s="205"/>
      <c r="C67" s="205"/>
      <c r="D67" s="205"/>
      <c r="E67" s="205"/>
      <c r="F67" s="205"/>
      <c r="G67" s="205"/>
      <c r="H67" s="205"/>
      <c r="I67" s="205"/>
      <c r="J67" s="205"/>
      <c r="K67" s="205"/>
      <c r="L67" s="205"/>
      <c r="M67" s="205"/>
      <c r="N67" s="205"/>
      <c r="O67" s="205"/>
      <c r="P67" s="205"/>
      <c r="Q67" s="205"/>
      <c r="R67" s="205"/>
      <c r="S67" s="205"/>
      <c r="T67" s="205"/>
      <c r="U67" s="207"/>
      <c r="V67" s="306"/>
      <c r="W67" s="306"/>
      <c r="X67" s="306"/>
      <c r="Y67" s="306"/>
      <c r="Z67" s="306"/>
      <c r="AA67" s="306"/>
      <c r="AB67" s="306"/>
      <c r="AC67" s="306"/>
      <c r="AD67" s="306"/>
      <c r="AE67" s="306"/>
      <c r="AF67" s="306"/>
      <c r="AG67" s="306"/>
      <c r="AH67" s="306"/>
      <c r="AI67" s="306"/>
      <c r="AJ67" s="306"/>
      <c r="AK67" s="306"/>
      <c r="AL67" s="306"/>
      <c r="AM67" s="306"/>
      <c r="AN67" s="475"/>
      <c r="AO67" s="306"/>
      <c r="AP67" s="306"/>
      <c r="AQ67" s="306"/>
      <c r="AR67" s="306"/>
      <c r="AS67" s="306"/>
      <c r="AT67" s="306"/>
      <c r="AU67" s="205"/>
      <c r="AV67" s="205"/>
      <c r="AW67" s="205"/>
      <c r="AX67" s="205"/>
    </row>
    <row r="68" spans="1:50" ht="13.5" customHeight="1">
      <c r="A68" s="205"/>
      <c r="B68" s="205"/>
      <c r="C68" s="205"/>
      <c r="D68" s="205"/>
      <c r="E68" s="205"/>
      <c r="F68" s="205"/>
      <c r="G68" s="205"/>
      <c r="H68" s="205"/>
      <c r="I68" s="205"/>
      <c r="J68" s="205"/>
      <c r="K68" s="205"/>
      <c r="L68" s="205"/>
      <c r="M68" s="205"/>
      <c r="N68" s="205"/>
      <c r="O68" s="205"/>
      <c r="P68" s="205"/>
      <c r="Q68" s="205"/>
      <c r="R68" s="205"/>
      <c r="S68" s="205"/>
      <c r="T68" s="205"/>
      <c r="U68" s="207"/>
      <c r="V68" s="306"/>
      <c r="W68" s="306"/>
      <c r="X68" s="306"/>
      <c r="Y68" s="306"/>
      <c r="Z68" s="306"/>
      <c r="AA68" s="306"/>
      <c r="AB68" s="306"/>
      <c r="AC68" s="306"/>
      <c r="AD68" s="306"/>
      <c r="AE68" s="306"/>
      <c r="AF68" s="306"/>
      <c r="AG68" s="306"/>
      <c r="AH68" s="306"/>
      <c r="AI68" s="306"/>
      <c r="AJ68" s="306"/>
      <c r="AK68" s="306"/>
      <c r="AL68" s="306"/>
      <c r="AM68" s="306"/>
      <c r="AN68" s="475"/>
      <c r="AO68" s="306"/>
      <c r="AP68" s="306"/>
      <c r="AQ68" s="306"/>
      <c r="AR68" s="306"/>
      <c r="AS68" s="306"/>
      <c r="AT68" s="306"/>
      <c r="AU68" s="205"/>
      <c r="AV68" s="205"/>
      <c r="AW68" s="205"/>
      <c r="AX68" s="205"/>
    </row>
    <row r="69" spans="1:50" ht="13.5" customHeight="1">
      <c r="A69" s="205"/>
      <c r="B69" s="205"/>
      <c r="C69" s="205"/>
      <c r="D69" s="205"/>
      <c r="E69" s="205"/>
      <c r="F69" s="205"/>
      <c r="G69" s="205"/>
      <c r="H69" s="205"/>
      <c r="I69" s="205"/>
      <c r="J69" s="205"/>
      <c r="K69" s="205"/>
      <c r="L69" s="205"/>
      <c r="M69" s="205"/>
      <c r="N69" s="205"/>
      <c r="O69" s="205"/>
      <c r="P69" s="205"/>
      <c r="Q69" s="205"/>
      <c r="R69" s="205"/>
      <c r="S69" s="205"/>
      <c r="T69" s="205"/>
      <c r="U69" s="207"/>
      <c r="V69" s="306"/>
      <c r="W69" s="306"/>
      <c r="X69" s="306"/>
      <c r="Y69" s="306"/>
      <c r="Z69" s="306"/>
      <c r="AA69" s="306"/>
      <c r="AB69" s="306"/>
      <c r="AC69" s="306"/>
      <c r="AD69" s="306"/>
      <c r="AE69" s="306"/>
      <c r="AF69" s="306"/>
      <c r="AG69" s="306"/>
      <c r="AH69" s="306"/>
      <c r="AI69" s="306"/>
      <c r="AJ69" s="306"/>
      <c r="AK69" s="306"/>
      <c r="AL69" s="306"/>
      <c r="AM69" s="306"/>
      <c r="AN69" s="475"/>
      <c r="AO69" s="306"/>
      <c r="AP69" s="306"/>
      <c r="AQ69" s="306"/>
      <c r="AR69" s="306"/>
      <c r="AS69" s="306"/>
      <c r="AT69" s="306"/>
      <c r="AU69" s="205"/>
      <c r="AV69" s="205"/>
      <c r="AW69" s="205"/>
      <c r="AX69" s="205"/>
    </row>
    <row r="70" spans="1:50" ht="13.5" customHeight="1">
      <c r="A70" s="205"/>
      <c r="B70" s="205"/>
      <c r="C70" s="205"/>
      <c r="D70" s="205"/>
      <c r="E70" s="205"/>
      <c r="F70" s="205"/>
      <c r="G70" s="205"/>
      <c r="H70" s="205"/>
      <c r="I70" s="205"/>
      <c r="J70" s="205"/>
      <c r="K70" s="205"/>
      <c r="L70" s="205"/>
      <c r="M70" s="205"/>
      <c r="N70" s="205"/>
      <c r="O70" s="205"/>
      <c r="P70" s="205"/>
      <c r="Q70" s="205"/>
      <c r="R70" s="205"/>
      <c r="S70" s="205"/>
      <c r="T70" s="205"/>
      <c r="U70" s="207"/>
      <c r="V70" s="306"/>
      <c r="W70" s="306"/>
      <c r="X70" s="306"/>
      <c r="Y70" s="306"/>
      <c r="Z70" s="306"/>
      <c r="AA70" s="306"/>
      <c r="AB70" s="306"/>
      <c r="AC70" s="306"/>
      <c r="AD70" s="306"/>
      <c r="AE70" s="306"/>
      <c r="AF70" s="306"/>
      <c r="AG70" s="306"/>
      <c r="AH70" s="306"/>
      <c r="AI70" s="306"/>
      <c r="AJ70" s="306"/>
      <c r="AK70" s="306"/>
      <c r="AL70" s="306"/>
      <c r="AM70" s="306"/>
      <c r="AN70" s="475"/>
      <c r="AO70" s="306"/>
      <c r="AP70" s="306"/>
      <c r="AQ70" s="306"/>
      <c r="AR70" s="306"/>
      <c r="AS70" s="306"/>
      <c r="AT70" s="306"/>
      <c r="AU70" s="205"/>
      <c r="AV70" s="205"/>
      <c r="AW70" s="205"/>
      <c r="AX70" s="205"/>
    </row>
    <row r="71" spans="1:50" ht="13.5" customHeight="1">
      <c r="A71" s="205"/>
      <c r="B71" s="205"/>
      <c r="C71" s="205"/>
      <c r="D71" s="205"/>
      <c r="E71" s="205"/>
      <c r="F71" s="205"/>
      <c r="G71" s="205"/>
      <c r="H71" s="205"/>
      <c r="I71" s="205"/>
      <c r="J71" s="205"/>
      <c r="K71" s="205"/>
      <c r="L71" s="205"/>
      <c r="M71" s="205"/>
      <c r="N71" s="205"/>
      <c r="O71" s="205"/>
      <c r="P71" s="205"/>
      <c r="Q71" s="205"/>
      <c r="R71" s="205"/>
      <c r="S71" s="205"/>
      <c r="T71" s="205"/>
      <c r="U71" s="207"/>
      <c r="V71" s="306"/>
      <c r="W71" s="306"/>
      <c r="X71" s="306"/>
      <c r="Y71" s="306"/>
      <c r="Z71" s="306"/>
      <c r="AA71" s="306"/>
      <c r="AB71" s="306"/>
      <c r="AC71" s="306"/>
      <c r="AD71" s="306"/>
      <c r="AE71" s="306"/>
      <c r="AF71" s="306"/>
      <c r="AG71" s="306"/>
      <c r="AH71" s="306"/>
      <c r="AI71" s="306"/>
      <c r="AJ71" s="306"/>
      <c r="AK71" s="306"/>
      <c r="AL71" s="306"/>
      <c r="AM71" s="306"/>
      <c r="AN71" s="475"/>
      <c r="AO71" s="306"/>
      <c r="AP71" s="306"/>
      <c r="AQ71" s="306"/>
      <c r="AR71" s="306"/>
      <c r="AS71" s="306"/>
      <c r="AT71" s="306"/>
      <c r="AU71" s="205"/>
      <c r="AV71" s="205"/>
      <c r="AW71" s="205"/>
      <c r="AX71" s="205"/>
    </row>
    <row r="72" spans="1:50" ht="13.5" customHeight="1">
      <c r="A72" s="205"/>
      <c r="B72" s="205"/>
      <c r="C72" s="205"/>
      <c r="D72" s="205"/>
      <c r="E72" s="205"/>
      <c r="F72" s="205"/>
      <c r="G72" s="205"/>
      <c r="H72" s="205"/>
      <c r="I72" s="205"/>
      <c r="J72" s="205"/>
      <c r="K72" s="205"/>
      <c r="L72" s="205"/>
      <c r="M72" s="205"/>
      <c r="N72" s="205"/>
      <c r="O72" s="205"/>
      <c r="P72" s="205"/>
      <c r="Q72" s="205"/>
      <c r="R72" s="205"/>
      <c r="S72" s="205"/>
      <c r="T72" s="205"/>
      <c r="U72" s="207"/>
      <c r="V72" s="306"/>
      <c r="W72" s="306"/>
      <c r="X72" s="306"/>
      <c r="Y72" s="306"/>
      <c r="Z72" s="306"/>
      <c r="AA72" s="306"/>
      <c r="AB72" s="306"/>
      <c r="AC72" s="306"/>
      <c r="AD72" s="306"/>
      <c r="AE72" s="306"/>
      <c r="AF72" s="306"/>
      <c r="AG72" s="306"/>
      <c r="AH72" s="306"/>
      <c r="AI72" s="306"/>
      <c r="AJ72" s="306"/>
      <c r="AK72" s="306"/>
      <c r="AL72" s="306"/>
      <c r="AM72" s="306"/>
      <c r="AN72" s="475"/>
      <c r="AO72" s="306"/>
      <c r="AP72" s="306"/>
      <c r="AQ72" s="306"/>
      <c r="AR72" s="306"/>
      <c r="AS72" s="306"/>
      <c r="AT72" s="306"/>
      <c r="AU72" s="205"/>
      <c r="AV72" s="205"/>
      <c r="AW72" s="205"/>
      <c r="AX72" s="205"/>
    </row>
    <row r="73" spans="1:50" ht="13.5" customHeight="1">
      <c r="A73" s="205"/>
      <c r="B73" s="205"/>
      <c r="C73" s="205"/>
      <c r="D73" s="205"/>
      <c r="E73" s="205"/>
      <c r="F73" s="205"/>
      <c r="G73" s="205"/>
      <c r="H73" s="205"/>
      <c r="I73" s="205"/>
      <c r="J73" s="205"/>
      <c r="K73" s="205"/>
      <c r="L73" s="205"/>
      <c r="M73" s="205"/>
      <c r="N73" s="205"/>
      <c r="O73" s="205"/>
      <c r="P73" s="205"/>
      <c r="Q73" s="205"/>
      <c r="R73" s="205"/>
      <c r="S73" s="205"/>
      <c r="T73" s="205"/>
      <c r="U73" s="207"/>
      <c r="V73" s="306"/>
      <c r="W73" s="306"/>
      <c r="X73" s="306"/>
      <c r="Y73" s="306"/>
      <c r="Z73" s="306"/>
      <c r="AA73" s="306"/>
      <c r="AB73" s="306"/>
      <c r="AC73" s="306"/>
      <c r="AD73" s="306"/>
      <c r="AE73" s="306"/>
      <c r="AF73" s="306"/>
      <c r="AG73" s="306"/>
      <c r="AH73" s="306"/>
      <c r="AI73" s="306"/>
      <c r="AJ73" s="306"/>
      <c r="AK73" s="306"/>
      <c r="AL73" s="306"/>
      <c r="AM73" s="306"/>
      <c r="AN73" s="475"/>
      <c r="AO73" s="306"/>
      <c r="AP73" s="306"/>
      <c r="AQ73" s="306"/>
      <c r="AR73" s="306"/>
      <c r="AS73" s="306"/>
      <c r="AT73" s="306"/>
      <c r="AU73" s="205"/>
      <c r="AV73" s="205"/>
      <c r="AW73" s="205"/>
      <c r="AX73" s="205"/>
    </row>
    <row r="74" spans="1:50" ht="13.5" customHeight="1">
      <c r="A74" s="205"/>
      <c r="B74" s="205"/>
      <c r="C74" s="205"/>
      <c r="D74" s="205"/>
      <c r="E74" s="205"/>
      <c r="F74" s="205"/>
      <c r="G74" s="205"/>
      <c r="H74" s="205"/>
      <c r="I74" s="205"/>
      <c r="J74" s="205"/>
      <c r="K74" s="205"/>
      <c r="L74" s="205"/>
      <c r="M74" s="205"/>
      <c r="N74" s="205"/>
      <c r="O74" s="205"/>
      <c r="P74" s="205"/>
      <c r="Q74" s="205"/>
      <c r="R74" s="205"/>
      <c r="S74" s="205"/>
      <c r="T74" s="205"/>
      <c r="U74" s="207"/>
      <c r="V74" s="306"/>
      <c r="W74" s="306"/>
      <c r="X74" s="306"/>
      <c r="Y74" s="306"/>
      <c r="Z74" s="306"/>
      <c r="AA74" s="306"/>
      <c r="AB74" s="306"/>
      <c r="AC74" s="306"/>
      <c r="AD74" s="306"/>
      <c r="AE74" s="306"/>
      <c r="AF74" s="306"/>
      <c r="AG74" s="306"/>
      <c r="AH74" s="306"/>
      <c r="AI74" s="306"/>
      <c r="AJ74" s="306"/>
      <c r="AK74" s="306"/>
      <c r="AL74" s="306"/>
      <c r="AM74" s="306"/>
      <c r="AN74" s="475"/>
      <c r="AO74" s="306"/>
      <c r="AP74" s="306"/>
      <c r="AQ74" s="306"/>
      <c r="AR74" s="306"/>
      <c r="AS74" s="306"/>
      <c r="AT74" s="306"/>
      <c r="AU74" s="205"/>
      <c r="AV74" s="205"/>
      <c r="AW74" s="205"/>
      <c r="AX74" s="205"/>
    </row>
    <row r="75" spans="1:50" ht="13.5" customHeight="1">
      <c r="A75" s="205"/>
      <c r="B75" s="205"/>
      <c r="C75" s="205"/>
      <c r="D75" s="205"/>
      <c r="E75" s="205"/>
      <c r="F75" s="205"/>
      <c r="G75" s="205"/>
      <c r="H75" s="205"/>
      <c r="I75" s="205"/>
      <c r="J75" s="205"/>
      <c r="K75" s="205"/>
      <c r="L75" s="205"/>
      <c r="M75" s="205"/>
      <c r="N75" s="205"/>
      <c r="O75" s="205"/>
      <c r="P75" s="205"/>
      <c r="Q75" s="205"/>
      <c r="R75" s="205"/>
      <c r="S75" s="205"/>
      <c r="T75" s="205"/>
      <c r="U75" s="207"/>
      <c r="V75" s="306"/>
      <c r="W75" s="306"/>
      <c r="X75" s="306"/>
      <c r="Y75" s="306"/>
      <c r="Z75" s="306"/>
      <c r="AA75" s="306"/>
      <c r="AB75" s="306"/>
      <c r="AC75" s="306"/>
      <c r="AD75" s="306"/>
      <c r="AE75" s="306"/>
      <c r="AF75" s="306"/>
      <c r="AG75" s="306"/>
      <c r="AH75" s="306"/>
      <c r="AI75" s="306"/>
      <c r="AJ75" s="306"/>
      <c r="AK75" s="306"/>
      <c r="AL75" s="306"/>
      <c r="AM75" s="306"/>
      <c r="AN75" s="475"/>
      <c r="AO75" s="306"/>
      <c r="AP75" s="306"/>
      <c r="AQ75" s="306"/>
      <c r="AR75" s="306"/>
      <c r="AS75" s="306"/>
      <c r="AT75" s="306"/>
      <c r="AU75" s="205"/>
      <c r="AV75" s="205"/>
      <c r="AW75" s="205"/>
      <c r="AX75" s="205"/>
    </row>
    <row r="76" spans="1:50" ht="13.5" customHeight="1">
      <c r="A76" s="205"/>
      <c r="B76" s="205"/>
      <c r="C76" s="205"/>
      <c r="D76" s="205"/>
      <c r="E76" s="205"/>
      <c r="F76" s="205"/>
      <c r="G76" s="205"/>
      <c r="H76" s="205"/>
      <c r="I76" s="205"/>
      <c r="J76" s="205"/>
      <c r="K76" s="205"/>
      <c r="L76" s="205"/>
      <c r="M76" s="205"/>
      <c r="N76" s="205"/>
      <c r="O76" s="205"/>
      <c r="P76" s="205"/>
      <c r="Q76" s="205"/>
      <c r="R76" s="205"/>
      <c r="S76" s="205"/>
      <c r="T76" s="205"/>
      <c r="U76" s="207"/>
      <c r="V76" s="306"/>
      <c r="W76" s="306"/>
      <c r="X76" s="306"/>
      <c r="Y76" s="306"/>
      <c r="Z76" s="306"/>
      <c r="AA76" s="306"/>
      <c r="AB76" s="306"/>
      <c r="AC76" s="306"/>
      <c r="AD76" s="306"/>
      <c r="AE76" s="306"/>
      <c r="AF76" s="306"/>
      <c r="AG76" s="306"/>
      <c r="AH76" s="306"/>
      <c r="AI76" s="306"/>
      <c r="AJ76" s="306"/>
      <c r="AK76" s="306"/>
      <c r="AL76" s="306"/>
      <c r="AM76" s="306"/>
      <c r="AN76" s="475"/>
      <c r="AO76" s="306"/>
      <c r="AP76" s="306"/>
      <c r="AQ76" s="306"/>
      <c r="AR76" s="306"/>
      <c r="AS76" s="306"/>
      <c r="AT76" s="306"/>
      <c r="AU76" s="205"/>
      <c r="AV76" s="205"/>
      <c r="AW76" s="205"/>
      <c r="AX76" s="205"/>
    </row>
    <row r="77" spans="1:50" ht="13.5" customHeight="1">
      <c r="A77" s="205"/>
      <c r="B77" s="205"/>
      <c r="C77" s="205"/>
      <c r="D77" s="205"/>
      <c r="E77" s="205"/>
      <c r="F77" s="205"/>
      <c r="G77" s="205"/>
      <c r="H77" s="205"/>
      <c r="I77" s="205"/>
      <c r="J77" s="205"/>
      <c r="K77" s="205"/>
      <c r="L77" s="205"/>
      <c r="M77" s="205"/>
      <c r="N77" s="205"/>
      <c r="O77" s="205"/>
      <c r="P77" s="205"/>
      <c r="Q77" s="205"/>
      <c r="R77" s="205"/>
      <c r="S77" s="205"/>
      <c r="T77" s="205"/>
      <c r="U77" s="207"/>
      <c r="V77" s="306"/>
      <c r="W77" s="306"/>
      <c r="X77" s="306"/>
      <c r="Y77" s="306"/>
      <c r="Z77" s="306"/>
      <c r="AA77" s="306"/>
      <c r="AB77" s="306"/>
      <c r="AC77" s="306"/>
      <c r="AD77" s="306"/>
      <c r="AE77" s="306"/>
      <c r="AF77" s="306"/>
      <c r="AG77" s="306"/>
      <c r="AH77" s="306"/>
      <c r="AI77" s="306"/>
      <c r="AJ77" s="306"/>
      <c r="AK77" s="306"/>
      <c r="AL77" s="306"/>
      <c r="AM77" s="306"/>
      <c r="AN77" s="475"/>
      <c r="AO77" s="306"/>
      <c r="AP77" s="306"/>
      <c r="AQ77" s="306"/>
      <c r="AR77" s="306"/>
      <c r="AS77" s="306"/>
      <c r="AT77" s="306"/>
      <c r="AU77" s="205"/>
      <c r="AV77" s="205"/>
      <c r="AW77" s="205"/>
      <c r="AX77" s="205"/>
    </row>
    <row r="78" spans="1:50" ht="13.5" customHeight="1">
      <c r="A78" s="205"/>
      <c r="B78" s="205"/>
      <c r="C78" s="205"/>
      <c r="D78" s="205"/>
      <c r="E78" s="205"/>
      <c r="F78" s="205"/>
      <c r="G78" s="205"/>
      <c r="H78" s="205"/>
      <c r="I78" s="205"/>
      <c r="J78" s="205"/>
      <c r="K78" s="205"/>
      <c r="L78" s="205"/>
      <c r="M78" s="205"/>
      <c r="N78" s="205"/>
      <c r="O78" s="205"/>
      <c r="P78" s="205"/>
      <c r="Q78" s="205"/>
      <c r="R78" s="205"/>
      <c r="S78" s="205"/>
      <c r="T78" s="205"/>
      <c r="U78" s="207"/>
      <c r="V78" s="306"/>
      <c r="W78" s="306"/>
      <c r="X78" s="306"/>
      <c r="Y78" s="306"/>
      <c r="Z78" s="306"/>
      <c r="AA78" s="306"/>
      <c r="AB78" s="306"/>
      <c r="AC78" s="306"/>
      <c r="AD78" s="306"/>
      <c r="AE78" s="306"/>
      <c r="AF78" s="306"/>
      <c r="AG78" s="306"/>
      <c r="AH78" s="306"/>
      <c r="AI78" s="306"/>
      <c r="AJ78" s="306"/>
      <c r="AK78" s="306"/>
      <c r="AL78" s="306"/>
      <c r="AM78" s="306"/>
      <c r="AN78" s="475"/>
      <c r="AO78" s="306"/>
      <c r="AP78" s="306"/>
      <c r="AQ78" s="306"/>
      <c r="AR78" s="306"/>
      <c r="AS78" s="306"/>
      <c r="AT78" s="306"/>
      <c r="AU78" s="205"/>
      <c r="AV78" s="205"/>
      <c r="AW78" s="205"/>
      <c r="AX78" s="205"/>
    </row>
    <row r="79" spans="1:50" ht="13.5" customHeight="1">
      <c r="A79" s="205"/>
      <c r="B79" s="205"/>
      <c r="C79" s="205"/>
      <c r="D79" s="205"/>
      <c r="E79" s="205"/>
      <c r="F79" s="205"/>
      <c r="G79" s="205"/>
      <c r="H79" s="205"/>
      <c r="I79" s="205"/>
      <c r="J79" s="205"/>
      <c r="K79" s="205"/>
      <c r="L79" s="205"/>
      <c r="M79" s="205"/>
      <c r="N79" s="205"/>
      <c r="O79" s="205"/>
      <c r="P79" s="205"/>
      <c r="Q79" s="205"/>
      <c r="R79" s="205"/>
      <c r="S79" s="205"/>
      <c r="T79" s="205"/>
      <c r="U79" s="207"/>
      <c r="V79" s="306"/>
      <c r="W79" s="306"/>
      <c r="X79" s="306"/>
      <c r="Y79" s="306"/>
      <c r="Z79" s="306"/>
      <c r="AA79" s="306"/>
      <c r="AB79" s="306"/>
      <c r="AC79" s="306"/>
      <c r="AD79" s="306"/>
      <c r="AE79" s="306"/>
      <c r="AF79" s="306"/>
      <c r="AG79" s="306"/>
      <c r="AH79" s="306"/>
      <c r="AI79" s="306"/>
      <c r="AJ79" s="306"/>
      <c r="AK79" s="306"/>
      <c r="AL79" s="306"/>
      <c r="AM79" s="306"/>
      <c r="AN79" s="475"/>
      <c r="AO79" s="306"/>
      <c r="AP79" s="306"/>
      <c r="AQ79" s="306"/>
      <c r="AR79" s="306"/>
      <c r="AS79" s="306"/>
      <c r="AT79" s="306"/>
      <c r="AU79" s="205"/>
      <c r="AV79" s="205"/>
      <c r="AW79" s="205"/>
      <c r="AX79" s="205"/>
    </row>
    <row r="80" spans="1:50" ht="13.5" customHeight="1">
      <c r="A80" s="205"/>
      <c r="B80" s="205"/>
      <c r="C80" s="205"/>
      <c r="D80" s="205"/>
      <c r="E80" s="205"/>
      <c r="F80" s="205"/>
      <c r="G80" s="205"/>
      <c r="H80" s="205"/>
      <c r="I80" s="205"/>
      <c r="J80" s="205"/>
      <c r="K80" s="205"/>
      <c r="L80" s="205"/>
      <c r="M80" s="205"/>
      <c r="N80" s="205"/>
      <c r="O80" s="205"/>
      <c r="P80" s="205"/>
      <c r="Q80" s="205"/>
      <c r="R80" s="205"/>
      <c r="S80" s="205"/>
      <c r="T80" s="205"/>
      <c r="U80" s="207"/>
      <c r="V80" s="306"/>
      <c r="W80" s="306"/>
      <c r="X80" s="306"/>
      <c r="Y80" s="306"/>
      <c r="Z80" s="306"/>
      <c r="AA80" s="306"/>
      <c r="AB80" s="306"/>
      <c r="AC80" s="306"/>
      <c r="AD80" s="306"/>
      <c r="AE80" s="306"/>
      <c r="AF80" s="306"/>
      <c r="AG80" s="306"/>
      <c r="AH80" s="306"/>
      <c r="AI80" s="306"/>
      <c r="AJ80" s="306"/>
      <c r="AK80" s="306"/>
      <c r="AL80" s="306"/>
      <c r="AM80" s="306"/>
      <c r="AN80" s="475"/>
      <c r="AO80" s="306"/>
      <c r="AP80" s="306"/>
      <c r="AQ80" s="306"/>
      <c r="AR80" s="306"/>
      <c r="AS80" s="306"/>
      <c r="AT80" s="306"/>
      <c r="AU80" s="205"/>
      <c r="AV80" s="205"/>
      <c r="AW80" s="205"/>
      <c r="AX80" s="205"/>
    </row>
    <row r="81" spans="1:50" ht="13.5" customHeight="1">
      <c r="A81" s="205"/>
      <c r="B81" s="205"/>
      <c r="C81" s="205"/>
      <c r="D81" s="205"/>
      <c r="E81" s="205"/>
      <c r="F81" s="205"/>
      <c r="G81" s="205"/>
      <c r="H81" s="205"/>
      <c r="I81" s="205"/>
      <c r="J81" s="205"/>
      <c r="K81" s="205"/>
      <c r="L81" s="205"/>
      <c r="M81" s="205"/>
      <c r="N81" s="205"/>
      <c r="O81" s="205"/>
      <c r="P81" s="205"/>
      <c r="Q81" s="205"/>
      <c r="R81" s="205"/>
      <c r="S81" s="205"/>
      <c r="T81" s="205"/>
      <c r="U81" s="207"/>
      <c r="V81" s="306"/>
      <c r="W81" s="306"/>
      <c r="X81" s="306"/>
      <c r="Y81" s="306"/>
      <c r="Z81" s="306"/>
      <c r="AA81" s="306"/>
      <c r="AB81" s="306"/>
      <c r="AC81" s="306"/>
      <c r="AD81" s="306"/>
      <c r="AE81" s="306"/>
      <c r="AF81" s="306"/>
      <c r="AG81" s="306"/>
      <c r="AH81" s="306"/>
      <c r="AI81" s="306"/>
      <c r="AJ81" s="306"/>
      <c r="AK81" s="306"/>
      <c r="AL81" s="306"/>
      <c r="AM81" s="306"/>
      <c r="AN81" s="475"/>
      <c r="AO81" s="306"/>
      <c r="AP81" s="306"/>
      <c r="AQ81" s="306"/>
      <c r="AR81" s="306"/>
      <c r="AS81" s="306"/>
      <c r="AT81" s="306"/>
      <c r="AU81" s="205"/>
      <c r="AV81" s="205"/>
      <c r="AW81" s="205"/>
      <c r="AX81" s="205"/>
    </row>
    <row r="82" spans="1:50" ht="13.5" customHeight="1">
      <c r="A82" s="205"/>
      <c r="B82" s="205"/>
      <c r="C82" s="205"/>
      <c r="D82" s="205"/>
      <c r="E82" s="205"/>
      <c r="F82" s="205"/>
      <c r="G82" s="205"/>
      <c r="H82" s="205"/>
      <c r="I82" s="205"/>
      <c r="J82" s="205"/>
      <c r="K82" s="205"/>
      <c r="L82" s="205"/>
      <c r="M82" s="205"/>
      <c r="N82" s="205"/>
      <c r="O82" s="205"/>
      <c r="P82" s="205"/>
      <c r="Q82" s="205"/>
      <c r="R82" s="205"/>
      <c r="S82" s="205"/>
      <c r="T82" s="205"/>
      <c r="U82" s="207"/>
      <c r="V82" s="306"/>
      <c r="W82" s="306"/>
      <c r="X82" s="306"/>
      <c r="Y82" s="306"/>
      <c r="Z82" s="306"/>
      <c r="AA82" s="306"/>
      <c r="AB82" s="306"/>
      <c r="AC82" s="306"/>
      <c r="AD82" s="306"/>
      <c r="AE82" s="306"/>
      <c r="AF82" s="306"/>
      <c r="AG82" s="306"/>
      <c r="AH82" s="306"/>
      <c r="AI82" s="306"/>
      <c r="AJ82" s="306"/>
      <c r="AK82" s="306"/>
      <c r="AL82" s="306"/>
      <c r="AM82" s="306"/>
      <c r="AN82" s="475"/>
      <c r="AO82" s="306"/>
      <c r="AP82" s="306"/>
      <c r="AQ82" s="306"/>
      <c r="AR82" s="306"/>
      <c r="AS82" s="306"/>
      <c r="AT82" s="306"/>
      <c r="AU82" s="205"/>
      <c r="AV82" s="205"/>
      <c r="AW82" s="205"/>
      <c r="AX82" s="205"/>
    </row>
    <row r="83" spans="1:50" ht="13.5" customHeight="1">
      <c r="A83" s="205"/>
      <c r="B83" s="205"/>
      <c r="C83" s="205"/>
      <c r="D83" s="205"/>
      <c r="E83" s="205"/>
      <c r="F83" s="205"/>
      <c r="G83" s="205"/>
      <c r="H83" s="205"/>
      <c r="I83" s="205"/>
      <c r="J83" s="205"/>
      <c r="K83" s="205"/>
      <c r="L83" s="205"/>
      <c r="M83" s="205"/>
      <c r="N83" s="205"/>
      <c r="O83" s="205"/>
      <c r="P83" s="205"/>
      <c r="Q83" s="205"/>
      <c r="R83" s="205"/>
      <c r="S83" s="205"/>
      <c r="T83" s="205"/>
      <c r="U83" s="207"/>
      <c r="V83" s="306"/>
      <c r="W83" s="306"/>
      <c r="X83" s="306"/>
      <c r="Y83" s="306"/>
      <c r="Z83" s="306"/>
      <c r="AA83" s="306"/>
      <c r="AB83" s="306"/>
      <c r="AC83" s="306"/>
      <c r="AD83" s="306"/>
      <c r="AE83" s="306"/>
      <c r="AF83" s="306"/>
      <c r="AG83" s="306"/>
      <c r="AH83" s="306"/>
      <c r="AI83" s="306"/>
      <c r="AJ83" s="306"/>
      <c r="AK83" s="306"/>
      <c r="AL83" s="306"/>
      <c r="AM83" s="306"/>
      <c r="AN83" s="475"/>
      <c r="AO83" s="306"/>
      <c r="AP83" s="306"/>
      <c r="AQ83" s="306"/>
      <c r="AR83" s="306"/>
      <c r="AS83" s="306"/>
      <c r="AT83" s="306"/>
      <c r="AU83" s="205"/>
      <c r="AV83" s="205"/>
      <c r="AW83" s="205"/>
      <c r="AX83" s="205"/>
    </row>
    <row r="84" spans="1:50" ht="13.5" customHeight="1">
      <c r="A84" s="205"/>
      <c r="B84" s="205"/>
      <c r="C84" s="205"/>
      <c r="D84" s="205"/>
      <c r="E84" s="205"/>
      <c r="F84" s="205"/>
      <c r="G84" s="205"/>
      <c r="H84" s="205"/>
      <c r="I84" s="205"/>
      <c r="J84" s="205"/>
      <c r="K84" s="205"/>
      <c r="L84" s="205"/>
      <c r="M84" s="205"/>
      <c r="N84" s="205"/>
      <c r="O84" s="205"/>
      <c r="P84" s="205"/>
      <c r="Q84" s="205"/>
      <c r="R84" s="205"/>
      <c r="S84" s="205"/>
      <c r="T84" s="205"/>
      <c r="U84" s="207"/>
      <c r="V84" s="306"/>
      <c r="W84" s="306"/>
      <c r="X84" s="306"/>
      <c r="Y84" s="306"/>
      <c r="Z84" s="306"/>
      <c r="AA84" s="306"/>
      <c r="AB84" s="306"/>
      <c r="AC84" s="306"/>
      <c r="AD84" s="306"/>
      <c r="AE84" s="306"/>
      <c r="AF84" s="306"/>
      <c r="AG84" s="306"/>
      <c r="AH84" s="306"/>
      <c r="AI84" s="306"/>
      <c r="AJ84" s="306"/>
      <c r="AK84" s="306"/>
      <c r="AL84" s="306"/>
      <c r="AM84" s="306"/>
      <c r="AN84" s="475"/>
      <c r="AO84" s="306"/>
      <c r="AP84" s="306"/>
      <c r="AQ84" s="306"/>
      <c r="AR84" s="306"/>
      <c r="AS84" s="306"/>
      <c r="AT84" s="306"/>
      <c r="AU84" s="205"/>
      <c r="AV84" s="205"/>
      <c r="AW84" s="205"/>
      <c r="AX84" s="205"/>
    </row>
    <row r="85" spans="1:50" ht="13.5" customHeight="1">
      <c r="A85" s="205"/>
      <c r="B85" s="205"/>
      <c r="C85" s="205"/>
      <c r="D85" s="205"/>
      <c r="E85" s="205"/>
      <c r="F85" s="205"/>
      <c r="G85" s="205"/>
      <c r="H85" s="205"/>
      <c r="I85" s="205"/>
      <c r="J85" s="205"/>
      <c r="K85" s="205"/>
      <c r="L85" s="205"/>
      <c r="M85" s="205"/>
      <c r="N85" s="205"/>
      <c r="O85" s="205"/>
      <c r="P85" s="205"/>
      <c r="Q85" s="205"/>
      <c r="R85" s="205"/>
      <c r="S85" s="205"/>
      <c r="T85" s="205"/>
      <c r="U85" s="207"/>
      <c r="V85" s="306"/>
      <c r="W85" s="306"/>
      <c r="X85" s="306"/>
      <c r="Y85" s="306"/>
      <c r="Z85" s="306"/>
      <c r="AA85" s="306"/>
      <c r="AB85" s="306"/>
      <c r="AC85" s="306"/>
      <c r="AD85" s="306"/>
      <c r="AE85" s="306"/>
      <c r="AF85" s="306"/>
      <c r="AG85" s="306"/>
      <c r="AH85" s="306"/>
      <c r="AI85" s="306"/>
      <c r="AJ85" s="306"/>
      <c r="AK85" s="306"/>
      <c r="AL85" s="306"/>
      <c r="AM85" s="306"/>
      <c r="AN85" s="475"/>
      <c r="AO85" s="306"/>
      <c r="AP85" s="306"/>
      <c r="AQ85" s="306"/>
      <c r="AR85" s="306"/>
      <c r="AS85" s="306"/>
      <c r="AT85" s="306"/>
      <c r="AU85" s="205"/>
      <c r="AV85" s="205"/>
      <c r="AW85" s="205"/>
      <c r="AX85" s="205"/>
    </row>
    <row r="86" spans="1:50" ht="13.5" customHeight="1">
      <c r="A86" s="205"/>
      <c r="B86" s="205"/>
      <c r="C86" s="205"/>
      <c r="D86" s="205"/>
      <c r="E86" s="205"/>
      <c r="F86" s="205"/>
      <c r="G86" s="205"/>
      <c r="H86" s="205"/>
      <c r="I86" s="205"/>
      <c r="J86" s="205"/>
      <c r="K86" s="205"/>
      <c r="L86" s="205"/>
      <c r="M86" s="205"/>
      <c r="N86" s="205"/>
      <c r="O86" s="205"/>
      <c r="P86" s="205"/>
      <c r="Q86" s="205"/>
      <c r="R86" s="205"/>
      <c r="S86" s="205"/>
      <c r="T86" s="205"/>
      <c r="U86" s="207"/>
      <c r="V86" s="306"/>
      <c r="W86" s="306"/>
      <c r="X86" s="306"/>
      <c r="Y86" s="306"/>
      <c r="Z86" s="306"/>
      <c r="AA86" s="306"/>
      <c r="AB86" s="306"/>
      <c r="AC86" s="306"/>
      <c r="AD86" s="306"/>
      <c r="AE86" s="306"/>
      <c r="AF86" s="306"/>
      <c r="AG86" s="306"/>
      <c r="AH86" s="306"/>
      <c r="AI86" s="306"/>
      <c r="AJ86" s="306"/>
      <c r="AK86" s="306"/>
      <c r="AL86" s="306"/>
      <c r="AM86" s="306"/>
      <c r="AN86" s="475"/>
      <c r="AO86" s="306"/>
      <c r="AP86" s="306"/>
      <c r="AQ86" s="306"/>
      <c r="AR86" s="306"/>
      <c r="AS86" s="306"/>
      <c r="AT86" s="306"/>
      <c r="AU86" s="205"/>
      <c r="AV86" s="205"/>
      <c r="AW86" s="205"/>
      <c r="AX86" s="205"/>
    </row>
    <row r="87" spans="1:50" ht="13.5" customHeight="1">
      <c r="A87" s="205"/>
      <c r="B87" s="205"/>
      <c r="C87" s="205"/>
      <c r="D87" s="205"/>
      <c r="E87" s="205"/>
      <c r="F87" s="205"/>
      <c r="G87" s="205"/>
      <c r="H87" s="205"/>
      <c r="I87" s="205"/>
      <c r="J87" s="205"/>
      <c r="K87" s="205"/>
      <c r="L87" s="205"/>
      <c r="M87" s="205"/>
      <c r="N87" s="205"/>
      <c r="O87" s="205"/>
      <c r="P87" s="205"/>
      <c r="Q87" s="205"/>
      <c r="R87" s="205"/>
      <c r="S87" s="205"/>
      <c r="T87" s="205"/>
      <c r="U87" s="207"/>
      <c r="V87" s="306"/>
      <c r="W87" s="306"/>
      <c r="X87" s="306"/>
      <c r="Y87" s="306"/>
      <c r="Z87" s="306"/>
      <c r="AA87" s="306"/>
      <c r="AB87" s="306"/>
      <c r="AC87" s="306"/>
      <c r="AD87" s="306"/>
      <c r="AE87" s="306"/>
      <c r="AF87" s="306"/>
      <c r="AG87" s="306"/>
      <c r="AH87" s="306"/>
      <c r="AI87" s="306"/>
      <c r="AJ87" s="306"/>
      <c r="AK87" s="306"/>
      <c r="AL87" s="306"/>
      <c r="AM87" s="306"/>
      <c r="AN87" s="475"/>
      <c r="AO87" s="306"/>
      <c r="AP87" s="306"/>
      <c r="AQ87" s="306"/>
      <c r="AR87" s="306"/>
      <c r="AS87" s="306"/>
      <c r="AT87" s="306"/>
      <c r="AU87" s="205"/>
      <c r="AV87" s="205"/>
      <c r="AW87" s="205"/>
      <c r="AX87" s="205"/>
    </row>
    <row r="88" spans="1:50" ht="13.5" customHeight="1">
      <c r="A88" s="205"/>
      <c r="B88" s="205"/>
      <c r="C88" s="205"/>
      <c r="D88" s="205"/>
      <c r="E88" s="205"/>
      <c r="F88" s="205"/>
      <c r="G88" s="205"/>
      <c r="H88" s="205"/>
      <c r="I88" s="205"/>
      <c r="J88" s="205"/>
      <c r="K88" s="205"/>
      <c r="L88" s="205"/>
      <c r="M88" s="205"/>
      <c r="N88" s="205"/>
      <c r="O88" s="205"/>
      <c r="P88" s="205"/>
      <c r="Q88" s="205"/>
      <c r="R88" s="205"/>
      <c r="S88" s="205"/>
      <c r="T88" s="205"/>
      <c r="U88" s="207"/>
      <c r="V88" s="306"/>
      <c r="W88" s="306"/>
      <c r="X88" s="306"/>
      <c r="Y88" s="306"/>
      <c r="Z88" s="306"/>
      <c r="AA88" s="306"/>
      <c r="AB88" s="306"/>
      <c r="AC88" s="306"/>
      <c r="AD88" s="306"/>
      <c r="AE88" s="306"/>
      <c r="AF88" s="306"/>
      <c r="AG88" s="306"/>
      <c r="AH88" s="306"/>
      <c r="AI88" s="306"/>
      <c r="AJ88" s="306"/>
      <c r="AK88" s="306"/>
      <c r="AL88" s="306"/>
      <c r="AM88" s="306"/>
      <c r="AN88" s="475"/>
      <c r="AO88" s="306"/>
      <c r="AP88" s="306"/>
      <c r="AQ88" s="306"/>
      <c r="AR88" s="306"/>
      <c r="AS88" s="306"/>
      <c r="AT88" s="306"/>
      <c r="AU88" s="205"/>
      <c r="AV88" s="205"/>
      <c r="AW88" s="205"/>
      <c r="AX88" s="205"/>
    </row>
    <row r="89" spans="1:50" ht="13.5" customHeight="1">
      <c r="A89" s="205"/>
      <c r="B89" s="205"/>
      <c r="C89" s="205"/>
      <c r="D89" s="205"/>
      <c r="E89" s="205"/>
      <c r="F89" s="205"/>
      <c r="G89" s="205"/>
      <c r="H89" s="205"/>
      <c r="I89" s="205"/>
      <c r="J89" s="205"/>
      <c r="K89" s="205"/>
      <c r="L89" s="205"/>
      <c r="M89" s="205"/>
      <c r="N89" s="205"/>
      <c r="O89" s="205"/>
      <c r="P89" s="205"/>
      <c r="Q89" s="205"/>
      <c r="R89" s="205"/>
      <c r="S89" s="205"/>
      <c r="T89" s="205"/>
      <c r="U89" s="207"/>
      <c r="V89" s="306"/>
      <c r="W89" s="306"/>
      <c r="X89" s="306"/>
      <c r="Y89" s="306"/>
      <c r="Z89" s="306"/>
      <c r="AA89" s="306"/>
      <c r="AB89" s="306"/>
      <c r="AC89" s="306"/>
      <c r="AD89" s="306"/>
      <c r="AE89" s="306"/>
      <c r="AF89" s="306"/>
      <c r="AG89" s="306"/>
      <c r="AH89" s="306"/>
      <c r="AI89" s="306"/>
      <c r="AJ89" s="306"/>
      <c r="AK89" s="306"/>
      <c r="AL89" s="306"/>
      <c r="AM89" s="306"/>
      <c r="AN89" s="475"/>
      <c r="AO89" s="306"/>
      <c r="AP89" s="306"/>
      <c r="AQ89" s="306"/>
      <c r="AR89" s="306"/>
      <c r="AS89" s="306"/>
      <c r="AT89" s="306"/>
      <c r="AU89" s="205"/>
      <c r="AV89" s="205"/>
      <c r="AW89" s="205"/>
      <c r="AX89" s="205"/>
    </row>
    <row r="90" spans="1:50" ht="13.5" customHeight="1">
      <c r="A90" s="205"/>
      <c r="B90" s="205"/>
      <c r="C90" s="205"/>
      <c r="D90" s="205"/>
      <c r="E90" s="205"/>
      <c r="F90" s="205"/>
      <c r="G90" s="205"/>
      <c r="H90" s="205"/>
      <c r="I90" s="205"/>
      <c r="J90" s="205"/>
      <c r="K90" s="205"/>
      <c r="L90" s="205"/>
      <c r="M90" s="205"/>
      <c r="N90" s="205"/>
      <c r="O90" s="205"/>
      <c r="P90" s="205"/>
      <c r="Q90" s="205"/>
      <c r="R90" s="205"/>
      <c r="S90" s="205"/>
      <c r="T90" s="205"/>
      <c r="U90" s="207"/>
      <c r="V90" s="306"/>
      <c r="W90" s="306"/>
      <c r="X90" s="306"/>
      <c r="Y90" s="306"/>
      <c r="Z90" s="306"/>
      <c r="AA90" s="306"/>
      <c r="AB90" s="306"/>
      <c r="AC90" s="306"/>
      <c r="AD90" s="306"/>
      <c r="AE90" s="306"/>
      <c r="AF90" s="306"/>
      <c r="AG90" s="306"/>
      <c r="AH90" s="306"/>
      <c r="AI90" s="306"/>
      <c r="AJ90" s="306"/>
      <c r="AK90" s="306"/>
      <c r="AL90" s="306"/>
      <c r="AM90" s="306"/>
      <c r="AN90" s="475"/>
      <c r="AO90" s="306"/>
      <c r="AP90" s="306"/>
      <c r="AQ90" s="306"/>
      <c r="AR90" s="306"/>
      <c r="AS90" s="306"/>
      <c r="AT90" s="306"/>
      <c r="AU90" s="205"/>
      <c r="AV90" s="205"/>
      <c r="AW90" s="205"/>
      <c r="AX90" s="205"/>
    </row>
    <row r="91" spans="1:50" ht="13.5" customHeight="1">
      <c r="A91" s="205"/>
      <c r="B91" s="205"/>
      <c r="C91" s="205"/>
      <c r="D91" s="205"/>
      <c r="E91" s="205"/>
      <c r="F91" s="205"/>
      <c r="G91" s="205"/>
      <c r="H91" s="205"/>
      <c r="I91" s="205"/>
      <c r="J91" s="205"/>
      <c r="K91" s="205"/>
      <c r="L91" s="205"/>
      <c r="M91" s="205"/>
      <c r="N91" s="205"/>
      <c r="O91" s="205"/>
      <c r="P91" s="205"/>
      <c r="Q91" s="205"/>
      <c r="R91" s="205"/>
      <c r="S91" s="205"/>
      <c r="T91" s="205"/>
      <c r="U91" s="207"/>
      <c r="V91" s="306"/>
      <c r="W91" s="306"/>
      <c r="X91" s="306"/>
      <c r="Y91" s="306"/>
      <c r="Z91" s="306"/>
      <c r="AA91" s="306"/>
      <c r="AB91" s="306"/>
      <c r="AC91" s="306"/>
      <c r="AD91" s="306"/>
      <c r="AE91" s="306"/>
      <c r="AF91" s="306"/>
      <c r="AG91" s="306"/>
      <c r="AH91" s="306"/>
      <c r="AI91" s="306"/>
      <c r="AJ91" s="306"/>
      <c r="AK91" s="306"/>
      <c r="AL91" s="306"/>
      <c r="AM91" s="306"/>
      <c r="AN91" s="475"/>
      <c r="AO91" s="306"/>
      <c r="AP91" s="306"/>
      <c r="AQ91" s="306"/>
      <c r="AR91" s="306"/>
      <c r="AS91" s="306"/>
      <c r="AT91" s="306"/>
      <c r="AU91" s="205"/>
      <c r="AV91" s="205"/>
      <c r="AW91" s="205"/>
      <c r="AX91" s="205"/>
    </row>
    <row r="92" spans="1:50" ht="13.5" customHeight="1">
      <c r="A92" s="205"/>
      <c r="B92" s="205"/>
      <c r="C92" s="205"/>
      <c r="D92" s="205"/>
      <c r="E92" s="205"/>
      <c r="F92" s="205"/>
      <c r="G92" s="205"/>
      <c r="H92" s="205"/>
      <c r="I92" s="205"/>
      <c r="J92" s="205"/>
      <c r="K92" s="205"/>
      <c r="L92" s="205"/>
      <c r="M92" s="205"/>
      <c r="N92" s="205"/>
      <c r="O92" s="205"/>
      <c r="P92" s="205"/>
      <c r="Q92" s="205"/>
      <c r="R92" s="205"/>
      <c r="S92" s="205"/>
      <c r="T92" s="205"/>
      <c r="U92" s="207"/>
      <c r="V92" s="306"/>
      <c r="W92" s="306"/>
      <c r="X92" s="306"/>
      <c r="Y92" s="306"/>
      <c r="Z92" s="306"/>
      <c r="AA92" s="306"/>
      <c r="AB92" s="306"/>
      <c r="AC92" s="306"/>
      <c r="AD92" s="306"/>
      <c r="AE92" s="306"/>
      <c r="AF92" s="306"/>
      <c r="AG92" s="306"/>
      <c r="AH92" s="306"/>
      <c r="AI92" s="306"/>
      <c r="AJ92" s="306"/>
      <c r="AK92" s="306"/>
      <c r="AL92" s="306"/>
      <c r="AM92" s="306"/>
      <c r="AN92" s="475"/>
      <c r="AO92" s="306"/>
      <c r="AP92" s="306"/>
      <c r="AQ92" s="306"/>
      <c r="AR92" s="306"/>
      <c r="AS92" s="306"/>
      <c r="AT92" s="306"/>
      <c r="AU92" s="205"/>
      <c r="AV92" s="205"/>
      <c r="AW92" s="205"/>
      <c r="AX92" s="205"/>
    </row>
    <row r="93" spans="1:50" ht="13.5" customHeight="1">
      <c r="A93" s="205"/>
      <c r="B93" s="205"/>
      <c r="C93" s="205"/>
      <c r="D93" s="205"/>
      <c r="E93" s="205"/>
      <c r="F93" s="205"/>
      <c r="G93" s="205"/>
      <c r="H93" s="205"/>
      <c r="I93" s="205"/>
      <c r="J93" s="205"/>
      <c r="K93" s="205"/>
      <c r="L93" s="205"/>
      <c r="M93" s="205"/>
      <c r="N93" s="205"/>
      <c r="O93" s="205"/>
      <c r="P93" s="205"/>
      <c r="Q93" s="205"/>
      <c r="R93" s="205"/>
      <c r="S93" s="205"/>
      <c r="T93" s="205"/>
      <c r="U93" s="207"/>
      <c r="V93" s="306"/>
      <c r="W93" s="306"/>
      <c r="X93" s="306"/>
      <c r="Y93" s="306"/>
      <c r="Z93" s="306"/>
      <c r="AA93" s="306"/>
      <c r="AB93" s="306"/>
      <c r="AC93" s="306"/>
      <c r="AD93" s="306"/>
      <c r="AE93" s="306"/>
      <c r="AF93" s="306"/>
      <c r="AG93" s="306"/>
      <c r="AH93" s="306"/>
      <c r="AI93" s="306"/>
      <c r="AJ93" s="306"/>
      <c r="AK93" s="306"/>
      <c r="AL93" s="306"/>
      <c r="AM93" s="306"/>
      <c r="AN93" s="475"/>
      <c r="AO93" s="306"/>
      <c r="AP93" s="306"/>
      <c r="AQ93" s="306"/>
      <c r="AR93" s="306"/>
      <c r="AS93" s="306"/>
      <c r="AT93" s="306"/>
      <c r="AU93" s="205"/>
      <c r="AV93" s="205"/>
      <c r="AW93" s="205"/>
      <c r="AX93" s="205"/>
    </row>
    <row r="94" spans="1:50" ht="13.5" customHeight="1">
      <c r="A94" s="205"/>
      <c r="B94" s="205"/>
      <c r="C94" s="205"/>
      <c r="D94" s="205"/>
      <c r="E94" s="205"/>
      <c r="F94" s="205"/>
      <c r="G94" s="205"/>
      <c r="H94" s="205"/>
      <c r="I94" s="205"/>
      <c r="J94" s="205"/>
      <c r="K94" s="205"/>
      <c r="L94" s="205"/>
      <c r="M94" s="205"/>
      <c r="N94" s="205"/>
      <c r="O94" s="205"/>
      <c r="P94" s="205"/>
      <c r="Q94" s="205"/>
      <c r="R94" s="205"/>
      <c r="S94" s="205"/>
      <c r="T94" s="205"/>
      <c r="U94" s="207"/>
      <c r="V94" s="306"/>
      <c r="W94" s="306"/>
      <c r="X94" s="306"/>
      <c r="Y94" s="306"/>
      <c r="Z94" s="306"/>
      <c r="AA94" s="306"/>
      <c r="AB94" s="306"/>
      <c r="AC94" s="306"/>
      <c r="AD94" s="306"/>
      <c r="AE94" s="306"/>
      <c r="AF94" s="306"/>
      <c r="AG94" s="306"/>
      <c r="AH94" s="306"/>
      <c r="AI94" s="306"/>
      <c r="AJ94" s="306"/>
      <c r="AK94" s="306"/>
      <c r="AL94" s="306"/>
      <c r="AM94" s="306"/>
      <c r="AN94" s="475"/>
      <c r="AO94" s="306"/>
      <c r="AP94" s="306"/>
      <c r="AQ94" s="306"/>
      <c r="AR94" s="306"/>
      <c r="AS94" s="306"/>
      <c r="AT94" s="306"/>
      <c r="AU94" s="205"/>
      <c r="AV94" s="205"/>
      <c r="AW94" s="205"/>
      <c r="AX94" s="205"/>
    </row>
    <row r="95" spans="1:50" ht="13.5" customHeight="1">
      <c r="A95" s="205"/>
      <c r="B95" s="205"/>
      <c r="C95" s="205"/>
      <c r="D95" s="205"/>
      <c r="E95" s="205"/>
      <c r="F95" s="205"/>
      <c r="G95" s="205"/>
      <c r="H95" s="205"/>
      <c r="I95" s="205"/>
      <c r="J95" s="205"/>
      <c r="K95" s="205"/>
      <c r="L95" s="205"/>
      <c r="M95" s="205"/>
      <c r="N95" s="205"/>
      <c r="O95" s="205"/>
      <c r="P95" s="205"/>
      <c r="Q95" s="205"/>
      <c r="R95" s="205"/>
      <c r="S95" s="205"/>
      <c r="T95" s="205"/>
      <c r="U95" s="207"/>
      <c r="V95" s="306"/>
      <c r="W95" s="306"/>
      <c r="X95" s="306"/>
      <c r="Y95" s="306"/>
      <c r="Z95" s="306"/>
      <c r="AA95" s="306"/>
      <c r="AB95" s="306"/>
      <c r="AC95" s="306"/>
      <c r="AD95" s="306"/>
      <c r="AE95" s="306"/>
      <c r="AF95" s="306"/>
      <c r="AG95" s="306"/>
      <c r="AH95" s="306"/>
      <c r="AI95" s="306"/>
      <c r="AJ95" s="306"/>
      <c r="AK95" s="306"/>
      <c r="AL95" s="306"/>
      <c r="AM95" s="306"/>
      <c r="AN95" s="475"/>
      <c r="AO95" s="306"/>
      <c r="AP95" s="306"/>
      <c r="AQ95" s="306"/>
      <c r="AR95" s="306"/>
      <c r="AS95" s="306"/>
      <c r="AT95" s="306"/>
      <c r="AU95" s="205"/>
      <c r="AV95" s="205"/>
      <c r="AW95" s="205"/>
      <c r="AX95" s="205"/>
    </row>
    <row r="96" spans="1:50" ht="13.5" customHeight="1">
      <c r="A96" s="205"/>
      <c r="B96" s="205"/>
      <c r="C96" s="205"/>
      <c r="D96" s="205"/>
      <c r="E96" s="205"/>
      <c r="F96" s="205"/>
      <c r="G96" s="205"/>
      <c r="H96" s="205"/>
      <c r="I96" s="205"/>
      <c r="J96" s="205"/>
      <c r="K96" s="205"/>
      <c r="L96" s="205"/>
      <c r="M96" s="205"/>
      <c r="N96" s="205"/>
      <c r="O96" s="205"/>
      <c r="P96" s="205"/>
      <c r="Q96" s="205"/>
      <c r="R96" s="205"/>
      <c r="S96" s="205"/>
      <c r="T96" s="205"/>
      <c r="U96" s="207"/>
      <c r="V96" s="306"/>
      <c r="W96" s="306"/>
      <c r="X96" s="306"/>
      <c r="Y96" s="306"/>
      <c r="Z96" s="306"/>
      <c r="AA96" s="306"/>
      <c r="AB96" s="306"/>
      <c r="AC96" s="306"/>
      <c r="AD96" s="306"/>
      <c r="AE96" s="306"/>
      <c r="AF96" s="306"/>
      <c r="AG96" s="306"/>
      <c r="AH96" s="306"/>
      <c r="AI96" s="306"/>
      <c r="AJ96" s="306"/>
      <c r="AK96" s="306"/>
      <c r="AL96" s="306"/>
      <c r="AM96" s="306"/>
      <c r="AN96" s="475"/>
      <c r="AO96" s="306"/>
      <c r="AP96" s="306"/>
      <c r="AQ96" s="306"/>
      <c r="AR96" s="306"/>
      <c r="AS96" s="306"/>
      <c r="AT96" s="306"/>
      <c r="AU96" s="205"/>
      <c r="AV96" s="205"/>
      <c r="AW96" s="205"/>
      <c r="AX96" s="205"/>
    </row>
    <row r="97" spans="1:50" ht="13.5" customHeight="1">
      <c r="A97" s="205"/>
      <c r="B97" s="205"/>
      <c r="C97" s="205"/>
      <c r="D97" s="205"/>
      <c r="E97" s="205"/>
      <c r="F97" s="205"/>
      <c r="G97" s="205"/>
      <c r="H97" s="205"/>
      <c r="I97" s="205"/>
      <c r="J97" s="205"/>
      <c r="K97" s="205"/>
      <c r="L97" s="205"/>
      <c r="M97" s="205"/>
      <c r="N97" s="205"/>
      <c r="O97" s="205"/>
      <c r="P97" s="205"/>
      <c r="Q97" s="205"/>
      <c r="R97" s="205"/>
      <c r="S97" s="205"/>
      <c r="T97" s="205"/>
      <c r="U97" s="207"/>
      <c r="V97" s="306"/>
      <c r="W97" s="306"/>
      <c r="X97" s="306"/>
      <c r="Y97" s="306"/>
      <c r="Z97" s="306"/>
      <c r="AA97" s="306"/>
      <c r="AB97" s="306"/>
      <c r="AC97" s="306"/>
      <c r="AD97" s="306"/>
      <c r="AE97" s="306"/>
      <c r="AF97" s="306"/>
      <c r="AG97" s="306"/>
      <c r="AH97" s="306"/>
      <c r="AI97" s="306"/>
      <c r="AJ97" s="306"/>
      <c r="AK97" s="306"/>
      <c r="AL97" s="306"/>
      <c r="AM97" s="306"/>
      <c r="AN97" s="475"/>
      <c r="AO97" s="306"/>
      <c r="AP97" s="306"/>
      <c r="AQ97" s="306"/>
      <c r="AR97" s="306"/>
      <c r="AS97" s="306"/>
      <c r="AT97" s="306"/>
      <c r="AU97" s="205"/>
      <c r="AV97" s="205"/>
      <c r="AW97" s="205"/>
      <c r="AX97" s="205"/>
    </row>
    <row r="98" spans="1:50" ht="13.5" customHeight="1">
      <c r="A98" s="205"/>
      <c r="B98" s="205"/>
      <c r="C98" s="205"/>
      <c r="D98" s="205"/>
      <c r="E98" s="205"/>
      <c r="F98" s="205"/>
      <c r="G98" s="205"/>
      <c r="H98" s="205"/>
      <c r="I98" s="205"/>
      <c r="J98" s="205"/>
      <c r="K98" s="205"/>
      <c r="L98" s="205"/>
      <c r="M98" s="205"/>
      <c r="N98" s="205"/>
      <c r="O98" s="205"/>
      <c r="P98" s="205"/>
      <c r="Q98" s="205"/>
      <c r="R98" s="205"/>
      <c r="S98" s="205"/>
      <c r="T98" s="205"/>
      <c r="U98" s="207"/>
      <c r="V98" s="306"/>
      <c r="W98" s="306"/>
      <c r="X98" s="306"/>
      <c r="Y98" s="306"/>
      <c r="Z98" s="306"/>
      <c r="AA98" s="306"/>
      <c r="AB98" s="306"/>
      <c r="AC98" s="306"/>
      <c r="AD98" s="306"/>
      <c r="AE98" s="306"/>
      <c r="AF98" s="306"/>
      <c r="AG98" s="306"/>
      <c r="AH98" s="306"/>
      <c r="AI98" s="306"/>
      <c r="AJ98" s="306"/>
      <c r="AK98" s="306"/>
      <c r="AL98" s="306"/>
      <c r="AM98" s="306"/>
      <c r="AN98" s="475"/>
      <c r="AO98" s="306"/>
      <c r="AP98" s="306"/>
      <c r="AQ98" s="306"/>
      <c r="AR98" s="306"/>
      <c r="AS98" s="306"/>
      <c r="AT98" s="306"/>
      <c r="AU98" s="205"/>
      <c r="AV98" s="205"/>
      <c r="AW98" s="205"/>
      <c r="AX98" s="205"/>
    </row>
    <row r="99" spans="1:50" ht="13.5" customHeight="1">
      <c r="A99" s="205"/>
      <c r="B99" s="205"/>
      <c r="C99" s="205"/>
      <c r="D99" s="205"/>
      <c r="E99" s="205"/>
      <c r="F99" s="205"/>
      <c r="G99" s="205"/>
      <c r="H99" s="205"/>
      <c r="I99" s="205"/>
      <c r="J99" s="205"/>
      <c r="K99" s="205"/>
      <c r="L99" s="205"/>
      <c r="M99" s="205"/>
      <c r="N99" s="205"/>
      <c r="O99" s="205"/>
      <c r="P99" s="205"/>
      <c r="Q99" s="205"/>
      <c r="R99" s="205"/>
      <c r="S99" s="205"/>
      <c r="T99" s="205"/>
      <c r="U99" s="207"/>
      <c r="V99" s="306"/>
      <c r="W99" s="306"/>
      <c r="X99" s="306"/>
      <c r="Y99" s="306"/>
      <c r="Z99" s="306"/>
      <c r="AA99" s="306"/>
      <c r="AB99" s="306"/>
      <c r="AC99" s="306"/>
      <c r="AD99" s="306"/>
      <c r="AE99" s="306"/>
      <c r="AF99" s="306"/>
      <c r="AG99" s="306"/>
      <c r="AH99" s="306"/>
      <c r="AI99" s="306"/>
      <c r="AJ99" s="306"/>
      <c r="AK99" s="306"/>
      <c r="AL99" s="306"/>
      <c r="AM99" s="306"/>
      <c r="AN99" s="475"/>
      <c r="AO99" s="306"/>
      <c r="AP99" s="306"/>
      <c r="AQ99" s="306"/>
      <c r="AR99" s="306"/>
      <c r="AS99" s="306"/>
      <c r="AT99" s="306"/>
      <c r="AU99" s="205"/>
      <c r="AV99" s="205"/>
      <c r="AW99" s="205"/>
      <c r="AX99" s="205"/>
    </row>
  </sheetData>
  <autoFilter ref="A12:BB25" xr:uid="{11FF8117-CC3F-4C6F-A3B9-1F78C52FF85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25" right="0.25" top="0.75" bottom="0.75" header="0.3" footer="0.3"/>
  <pageSetup paperSize="5" scale="2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fitToPage="1"/>
  </sheetPr>
  <dimension ref="A1:AO100"/>
  <sheetViews>
    <sheetView showGridLines="0" tabSelected="1" view="pageBreakPreview" topLeftCell="O36" zoomScale="70" zoomScaleNormal="30" zoomScaleSheetLayoutView="70" workbookViewId="0">
      <selection activeCell="Q40" sqref="Q40:AD41"/>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9" customWidth="1"/>
    <col min="6" max="6" width="16.28515625" customWidth="1"/>
    <col min="7" max="7" width="15.42578125" customWidth="1"/>
    <col min="8" max="11" width="12.42578125" customWidth="1"/>
    <col min="12" max="14" width="14" customWidth="1"/>
    <col min="15" max="15" width="22" customWidth="1"/>
    <col min="16" max="16" width="14.28515625" customWidth="1"/>
    <col min="17" max="21" width="14" customWidth="1"/>
    <col min="22" max="23" width="14.42578125" customWidth="1"/>
    <col min="24" max="24" width="16" bestFit="1" customWidth="1"/>
    <col min="25" max="25" width="14.42578125" customWidth="1"/>
    <col min="26" max="26" width="14" bestFit="1" customWidth="1"/>
    <col min="27" max="28" width="14.42578125" customWidth="1"/>
    <col min="29" max="29" width="16.42578125" bestFit="1" customWidth="1"/>
    <col min="30" max="30" width="14.42578125" customWidth="1"/>
    <col min="31" max="31" width="19.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5.650000000000006"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171</v>
      </c>
      <c r="D17" s="724"/>
      <c r="E17" s="724"/>
      <c r="F17" s="724"/>
      <c r="G17" s="724"/>
      <c r="H17" s="724"/>
      <c r="I17" s="724"/>
      <c r="J17" s="724"/>
      <c r="K17" s="724"/>
      <c r="L17" s="724"/>
      <c r="M17" s="724"/>
      <c r="N17" s="724"/>
      <c r="O17" s="724"/>
      <c r="P17" s="724"/>
      <c r="Q17" s="715"/>
      <c r="R17" s="725" t="s">
        <v>172</v>
      </c>
      <c r="S17" s="724"/>
      <c r="T17" s="724"/>
      <c r="U17" s="724"/>
      <c r="V17" s="715"/>
      <c r="W17" s="722">
        <v>1</v>
      </c>
      <c r="X17" s="715"/>
      <c r="Y17" s="723" t="s">
        <v>173</v>
      </c>
      <c r="Z17" s="724"/>
      <c r="AA17" s="724"/>
      <c r="AB17" s="715"/>
      <c r="AC17" s="746">
        <f>+B34</f>
        <v>0.1</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1" t="s">
        <v>17</v>
      </c>
      <c r="B22" s="684"/>
      <c r="C22" s="22"/>
      <c r="D22" s="23"/>
      <c r="E22" s="23"/>
      <c r="F22" s="23"/>
      <c r="G22" s="23"/>
      <c r="H22" s="451"/>
      <c r="I22" s="480"/>
      <c r="J22" s="23"/>
      <c r="K22" s="23"/>
      <c r="L22" s="23"/>
      <c r="M22" s="23"/>
      <c r="N22" s="23"/>
      <c r="O22" s="141">
        <f t="shared" ref="O22:O25" si="0">SUM(C22:N22)</f>
        <v>0</v>
      </c>
      <c r="P22" s="244"/>
      <c r="Q22" s="140">
        <v>291713963</v>
      </c>
      <c r="R22" s="72"/>
      <c r="S22" s="72"/>
      <c r="T22" s="72"/>
      <c r="U22" s="72">
        <v>14000000</v>
      </c>
      <c r="V22" s="451"/>
      <c r="W22" s="143"/>
      <c r="X22" s="488">
        <v>35000000</v>
      </c>
      <c r="Y22" s="72"/>
      <c r="Z22" s="72">
        <v>47426115</v>
      </c>
      <c r="AA22" s="72"/>
      <c r="AB22" s="72"/>
      <c r="AC22" s="141">
        <f t="shared" ref="AC22" si="1">SUM(Q22:AB22)</f>
        <v>388140078</v>
      </c>
      <c r="AD22" s="24"/>
      <c r="AE22" s="559">
        <v>388140078</v>
      </c>
      <c r="AF22" s="559">
        <f>+AE22-AC22</f>
        <v>0</v>
      </c>
      <c r="AG22" s="1"/>
      <c r="AH22" s="1"/>
      <c r="AI22" s="1"/>
      <c r="AJ22" s="1"/>
      <c r="AK22" s="1"/>
      <c r="AL22" s="1"/>
      <c r="AM22" s="1"/>
      <c r="AN22" s="1"/>
      <c r="AO22" s="1"/>
    </row>
    <row r="23" spans="1:41" ht="31.5" customHeight="1">
      <c r="A23" s="713" t="s">
        <v>18</v>
      </c>
      <c r="B23" s="688"/>
      <c r="C23" s="25">
        <v>706330045</v>
      </c>
      <c r="D23" s="26"/>
      <c r="E23" s="26">
        <v>-2744000</v>
      </c>
      <c r="F23" s="26">
        <v>0</v>
      </c>
      <c r="G23" s="437">
        <v>-179378</v>
      </c>
      <c r="H23" s="452">
        <v>0</v>
      </c>
      <c r="I23" s="478">
        <v>0</v>
      </c>
      <c r="J23" s="26">
        <v>0</v>
      </c>
      <c r="K23" s="26">
        <v>0</v>
      </c>
      <c r="L23" s="26">
        <v>0</v>
      </c>
      <c r="M23" s="26">
        <v>0</v>
      </c>
      <c r="N23" s="26"/>
      <c r="O23" s="27">
        <f t="shared" si="0"/>
        <v>703406667</v>
      </c>
      <c r="P23" s="154"/>
      <c r="Q23" s="153">
        <v>291713963</v>
      </c>
      <c r="R23" s="28">
        <v>0</v>
      </c>
      <c r="S23" s="421">
        <v>-5124327</v>
      </c>
      <c r="T23" s="421">
        <v>-1608166</v>
      </c>
      <c r="U23" s="26">
        <v>18226536</v>
      </c>
      <c r="V23" s="453">
        <v>0</v>
      </c>
      <c r="W23" s="28">
        <v>0</v>
      </c>
      <c r="X23" s="489">
        <v>42000000</v>
      </c>
      <c r="Y23" s="489">
        <v>2995122</v>
      </c>
      <c r="Z23" s="28">
        <v>-1</v>
      </c>
      <c r="AA23" s="28">
        <v>1</v>
      </c>
      <c r="AB23" s="28"/>
      <c r="AC23" s="571">
        <f>SUM(Q23:AB23)</f>
        <v>348203128</v>
      </c>
      <c r="AD23" s="29">
        <f>AC23/AC22</f>
        <v>0.89710686356898195</v>
      </c>
      <c r="AE23" s="354" t="s">
        <v>175</v>
      </c>
      <c r="AF23" s="18"/>
      <c r="AG23" s="1"/>
      <c r="AH23" s="1"/>
      <c r="AI23" s="1"/>
      <c r="AJ23" s="1"/>
      <c r="AK23" s="1"/>
      <c r="AL23" s="1"/>
      <c r="AM23" s="1"/>
      <c r="AN23" s="1"/>
      <c r="AO23" s="1"/>
    </row>
    <row r="24" spans="1:41" ht="31.5" customHeight="1">
      <c r="A24" s="713" t="s">
        <v>19</v>
      </c>
      <c r="B24" s="688"/>
      <c r="C24" s="30"/>
      <c r="D24" s="26">
        <f>6150667</f>
        <v>6150667</v>
      </c>
      <c r="E24" s="26"/>
      <c r="F24" s="26">
        <f>700000000+E23</f>
        <v>697256000</v>
      </c>
      <c r="G24" s="438"/>
      <c r="H24" s="453"/>
      <c r="I24" s="28"/>
      <c r="J24" s="27"/>
      <c r="K24" s="27"/>
      <c r="L24" s="27"/>
      <c r="M24" s="27"/>
      <c r="N24" s="27"/>
      <c r="O24" s="27">
        <f t="shared" si="0"/>
        <v>703406667</v>
      </c>
      <c r="P24" s="245"/>
      <c r="Q24" s="142"/>
      <c r="R24" s="26">
        <v>11192930</v>
      </c>
      <c r="S24" s="422">
        <v>25522700</v>
      </c>
      <c r="T24" s="26">
        <v>25522700</v>
      </c>
      <c r="U24" s="26">
        <v>25522700</v>
      </c>
      <c r="V24" s="452">
        <v>25522700</v>
      </c>
      <c r="W24" s="478">
        <v>39522700</v>
      </c>
      <c r="X24" s="489">
        <v>25522700</v>
      </c>
      <c r="Y24" s="26">
        <v>25522700</v>
      </c>
      <c r="Z24" s="26">
        <v>25522700</v>
      </c>
      <c r="AA24" s="26">
        <v>32522700</v>
      </c>
      <c r="AB24" s="26">
        <f>32522700+46294033</f>
        <v>78816733</v>
      </c>
      <c r="AC24" s="27">
        <f>SUM(R24:AB24)</f>
        <v>340713963</v>
      </c>
      <c r="AD24" s="29"/>
      <c r="AE24" s="18"/>
      <c r="AF24" s="139"/>
      <c r="AG24" s="1"/>
      <c r="AH24" s="1"/>
      <c r="AI24" s="1"/>
      <c r="AJ24" s="1"/>
      <c r="AK24" s="1"/>
      <c r="AL24" s="1"/>
      <c r="AM24" s="1"/>
      <c r="AN24" s="1"/>
      <c r="AO24" s="1"/>
    </row>
    <row r="25" spans="1:41" ht="31.5" customHeight="1">
      <c r="A25" s="749" t="s">
        <v>20</v>
      </c>
      <c r="B25" s="750"/>
      <c r="C25" s="31">
        <v>3150000</v>
      </c>
      <c r="D25" s="32">
        <v>256667</v>
      </c>
      <c r="E25" s="32">
        <f>402744000+E23</f>
        <v>400000000</v>
      </c>
      <c r="F25" s="32">
        <v>0</v>
      </c>
      <c r="G25" s="435">
        <v>300000000</v>
      </c>
      <c r="H25" s="454">
        <v>0</v>
      </c>
      <c r="I25" s="479">
        <v>0</v>
      </c>
      <c r="J25" s="32">
        <v>0</v>
      </c>
      <c r="K25" s="32">
        <v>0</v>
      </c>
      <c r="L25" s="32">
        <v>0</v>
      </c>
      <c r="M25" s="26">
        <v>0</v>
      </c>
      <c r="N25" s="32"/>
      <c r="O25" s="33">
        <f t="shared" si="0"/>
        <v>703406667</v>
      </c>
      <c r="P25" s="34">
        <f>O25/O24</f>
        <v>1</v>
      </c>
      <c r="Q25" s="31"/>
      <c r="R25" s="294">
        <v>6932787</v>
      </c>
      <c r="S25" s="32">
        <v>23074033</v>
      </c>
      <c r="T25" s="32">
        <v>27829900</v>
      </c>
      <c r="U25" s="435">
        <v>21252700</v>
      </c>
      <c r="V25" s="454">
        <v>46409235</v>
      </c>
      <c r="W25" s="479">
        <v>26411700</v>
      </c>
      <c r="X25" s="490">
        <v>25403700</v>
      </c>
      <c r="Y25" s="32">
        <v>22909367</v>
      </c>
      <c r="Z25" s="32">
        <v>26246033</v>
      </c>
      <c r="AA25" s="32">
        <v>27957822</v>
      </c>
      <c r="AB25" s="32"/>
      <c r="AC25" s="33">
        <f>SUM(Q25:AB25)</f>
        <v>254427277</v>
      </c>
      <c r="AD25" s="34">
        <f>AC25/AC24</f>
        <v>0.74674743224421358</v>
      </c>
      <c r="AE25" s="139"/>
      <c r="AF25" s="18"/>
      <c r="AG25" s="1"/>
      <c r="AH25" s="1"/>
      <c r="AI25" s="1"/>
      <c r="AJ25" s="1"/>
      <c r="AK25" s="1"/>
      <c r="AL25" s="1"/>
      <c r="AM25" s="1"/>
      <c r="AN25" s="1"/>
      <c r="AO25" s="1"/>
    </row>
    <row r="26" spans="1:41" ht="31.5" customHeigh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718"/>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9"/>
      <c r="C29" s="720"/>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74.25" customHeight="1" thickBot="1">
      <c r="A30" s="36" t="s">
        <v>181</v>
      </c>
      <c r="B30" s="473" t="s">
        <v>182</v>
      </c>
      <c r="C30" s="472"/>
      <c r="D30" s="37">
        <v>0.01</v>
      </c>
      <c r="E30" s="247"/>
      <c r="F30" s="37"/>
      <c r="G30" s="247"/>
      <c r="H30" s="247"/>
      <c r="I30" s="247"/>
      <c r="J30" s="247"/>
      <c r="K30" s="247"/>
      <c r="L30" s="247"/>
      <c r="M30" s="247"/>
      <c r="N30" s="247"/>
      <c r="O30" s="247"/>
      <c r="P30" s="408">
        <f>+D30</f>
        <v>0.01</v>
      </c>
      <c r="Q30" s="739"/>
      <c r="R30" s="688"/>
      <c r="S30" s="688"/>
      <c r="T30" s="688"/>
      <c r="U30" s="688"/>
      <c r="V30" s="688"/>
      <c r="W30" s="688"/>
      <c r="X30" s="688"/>
      <c r="Y30" s="688"/>
      <c r="Z30" s="688"/>
      <c r="AA30" s="688"/>
      <c r="AB30" s="688"/>
      <c r="AC30" s="688"/>
      <c r="AD30" s="689"/>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7.6"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35.6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29" t="s">
        <v>190</v>
      </c>
      <c r="AB33" s="727"/>
      <c r="AC33" s="727"/>
      <c r="AD33" s="641"/>
      <c r="AE33" s="1"/>
      <c r="AF33" s="1"/>
      <c r="AG33" s="38"/>
      <c r="AH33" s="38"/>
      <c r="AI33" s="38"/>
      <c r="AJ33" s="38"/>
      <c r="AK33" s="38"/>
      <c r="AL33" s="38"/>
      <c r="AM33" s="38"/>
      <c r="AN33" s="38"/>
      <c r="AO33" s="38"/>
    </row>
    <row r="34" spans="1:41" ht="87.75" customHeight="1">
      <c r="A34" s="704" t="s">
        <v>181</v>
      </c>
      <c r="B34" s="706">
        <f>SUM(B38,B40)</f>
        <v>0.1</v>
      </c>
      <c r="C34" s="214" t="s">
        <v>45</v>
      </c>
      <c r="D34" s="259">
        <f>+D45</f>
        <v>0.72113654999999999</v>
      </c>
      <c r="E34" s="259">
        <f t="shared" ref="E34:O34" si="2">+E45</f>
        <v>0.74927310000000003</v>
      </c>
      <c r="F34" s="259">
        <f t="shared" si="2"/>
        <v>0.77740965000000006</v>
      </c>
      <c r="G34" s="259">
        <f t="shared" si="2"/>
        <v>0.8055462000000001</v>
      </c>
      <c r="H34" s="259">
        <f t="shared" si="2"/>
        <v>0.83368275000000014</v>
      </c>
      <c r="I34" s="259">
        <f t="shared" si="2"/>
        <v>0.86181930000000018</v>
      </c>
      <c r="J34" s="259">
        <f t="shared" si="2"/>
        <v>0.88482895000000017</v>
      </c>
      <c r="K34" s="259">
        <f t="shared" si="2"/>
        <v>0.90783860000000016</v>
      </c>
      <c r="L34" s="259">
        <f t="shared" si="2"/>
        <v>0.93084825000000015</v>
      </c>
      <c r="M34" s="259">
        <f t="shared" si="2"/>
        <v>0.95385790000000015</v>
      </c>
      <c r="N34" s="259">
        <f t="shared" si="2"/>
        <v>0.97686755000000014</v>
      </c>
      <c r="O34" s="249">
        <f t="shared" si="2"/>
        <v>0.99987720000000013</v>
      </c>
      <c r="P34" s="250">
        <f>+O34</f>
        <v>0.99987720000000013</v>
      </c>
      <c r="Q34" s="734" t="s">
        <v>191</v>
      </c>
      <c r="R34" s="691"/>
      <c r="S34" s="691"/>
      <c r="T34" s="691"/>
      <c r="U34" s="691"/>
      <c r="V34" s="735"/>
      <c r="W34" s="690" t="s">
        <v>119</v>
      </c>
      <c r="X34" s="730"/>
      <c r="Y34" s="730"/>
      <c r="Z34" s="730"/>
      <c r="AA34" s="733" t="s">
        <v>192</v>
      </c>
      <c r="AB34" s="733"/>
      <c r="AC34" s="733"/>
      <c r="AD34" s="733"/>
      <c r="AE34" s="251">
        <f>LEN(Q34)</f>
        <v>635</v>
      </c>
      <c r="AF34" s="1"/>
      <c r="AG34" s="38"/>
      <c r="AH34" s="38"/>
      <c r="AI34" s="38"/>
      <c r="AJ34" s="38"/>
      <c r="AK34" s="38"/>
      <c r="AL34" s="38"/>
      <c r="AM34" s="38"/>
      <c r="AN34" s="38"/>
      <c r="AO34" s="38"/>
    </row>
    <row r="35" spans="1:41" ht="94.5" customHeight="1">
      <c r="A35" s="705"/>
      <c r="B35" s="707"/>
      <c r="C35" s="211" t="s">
        <v>46</v>
      </c>
      <c r="D35" s="212">
        <f>+D46</f>
        <v>0.72113654999999999</v>
      </c>
      <c r="E35" s="212">
        <f>+E46</f>
        <v>0.74927310000000003</v>
      </c>
      <c r="F35" s="212">
        <f>+F46</f>
        <v>0.77740965000000006</v>
      </c>
      <c r="G35" s="212">
        <f t="shared" ref="G35:L35" si="3">+G46</f>
        <v>0.8055462000000001</v>
      </c>
      <c r="H35" s="212">
        <f t="shared" si="3"/>
        <v>0.81833275000000005</v>
      </c>
      <c r="I35" s="212">
        <f t="shared" si="3"/>
        <v>0.8387943000000001</v>
      </c>
      <c r="J35" s="212">
        <f t="shared" si="3"/>
        <v>0.88228085000000012</v>
      </c>
      <c r="K35" s="212">
        <f t="shared" si="3"/>
        <v>0.90785395000000013</v>
      </c>
      <c r="L35" s="212">
        <f t="shared" si="3"/>
        <v>0.93138550000000009</v>
      </c>
      <c r="M35" s="212">
        <f>+M46</f>
        <v>0.95491705000000004</v>
      </c>
      <c r="N35" s="212">
        <f>+N46</f>
        <v>0.9784486</v>
      </c>
      <c r="O35" s="296">
        <f t="shared" ref="O35" si="4">+O46</f>
        <v>0.9784486</v>
      </c>
      <c r="P35" s="309">
        <f>N35</f>
        <v>0.9784486</v>
      </c>
      <c r="Q35" s="736"/>
      <c r="R35" s="737"/>
      <c r="S35" s="737"/>
      <c r="T35" s="737"/>
      <c r="U35" s="737"/>
      <c r="V35" s="738"/>
      <c r="W35" s="731"/>
      <c r="X35" s="732"/>
      <c r="Y35" s="732"/>
      <c r="Z35" s="732"/>
      <c r="AA35" s="733"/>
      <c r="AB35" s="733"/>
      <c r="AC35" s="733"/>
      <c r="AD35" s="733"/>
      <c r="AE35" s="443"/>
      <c r="AF35" s="1"/>
      <c r="AG35" s="38"/>
      <c r="AH35" s="38"/>
      <c r="AI35" s="38"/>
      <c r="AJ35" s="38"/>
      <c r="AK35" s="38"/>
      <c r="AL35" s="38"/>
      <c r="AM35" s="38"/>
      <c r="AN35" s="38"/>
      <c r="AO35" s="38"/>
    </row>
    <row r="36" spans="1:41" ht="40.5" customHeight="1">
      <c r="A36" s="675" t="s">
        <v>27</v>
      </c>
      <c r="B36" s="677" t="s">
        <v>28</v>
      </c>
      <c r="C36" s="680" t="s">
        <v>29</v>
      </c>
      <c r="D36" s="681"/>
      <c r="E36" s="681"/>
      <c r="F36" s="681"/>
      <c r="G36" s="681"/>
      <c r="H36" s="681"/>
      <c r="I36" s="681"/>
      <c r="J36" s="681"/>
      <c r="K36" s="681"/>
      <c r="L36" s="681"/>
      <c r="M36" s="681"/>
      <c r="N36" s="681"/>
      <c r="O36" s="681"/>
      <c r="P36" s="682"/>
      <c r="Q36" s="683" t="s">
        <v>193</v>
      </c>
      <c r="R36" s="684"/>
      <c r="S36" s="684"/>
      <c r="T36" s="684"/>
      <c r="U36" s="684"/>
      <c r="V36" s="684"/>
      <c r="W36" s="684"/>
      <c r="X36" s="684"/>
      <c r="Y36" s="684"/>
      <c r="Z36" s="684"/>
      <c r="AA36" s="685"/>
      <c r="AB36" s="685"/>
      <c r="AC36" s="685"/>
      <c r="AD36" s="686"/>
      <c r="AE36" s="1"/>
      <c r="AF36" s="1"/>
      <c r="AG36" s="38"/>
      <c r="AH36" s="38"/>
      <c r="AI36" s="38"/>
      <c r="AJ36" s="38"/>
      <c r="AK36" s="38"/>
      <c r="AL36" s="38"/>
      <c r="AM36" s="38"/>
      <c r="AN36" s="38"/>
      <c r="AO36" s="38"/>
    </row>
    <row r="37" spans="1:41" ht="40.5" customHeight="1">
      <c r="A37" s="676"/>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689"/>
      <c r="AE37" s="1"/>
      <c r="AF37" s="1"/>
      <c r="AG37" s="41"/>
      <c r="AH37" s="41"/>
      <c r="AI37" s="41"/>
      <c r="AJ37" s="41"/>
      <c r="AK37" s="41"/>
      <c r="AL37" s="41"/>
      <c r="AM37" s="41"/>
      <c r="AN37" s="41"/>
      <c r="AO37" s="41"/>
    </row>
    <row r="38" spans="1:41" ht="71.25" customHeight="1">
      <c r="A38" s="671" t="s">
        <v>195</v>
      </c>
      <c r="B38" s="679">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39" si="5">SUM(D38:O38)</f>
        <v>0.99960000000000016</v>
      </c>
      <c r="Q38" s="690" t="s">
        <v>191</v>
      </c>
      <c r="R38" s="691"/>
      <c r="S38" s="691"/>
      <c r="T38" s="691"/>
      <c r="U38" s="691"/>
      <c r="V38" s="691"/>
      <c r="W38" s="691"/>
      <c r="X38" s="691"/>
      <c r="Y38" s="691"/>
      <c r="Z38" s="691"/>
      <c r="AA38" s="691"/>
      <c r="AB38" s="691"/>
      <c r="AC38" s="691"/>
      <c r="AD38" s="692"/>
      <c r="AE38" s="416"/>
      <c r="AF38" s="1"/>
      <c r="AG38" s="44"/>
      <c r="AH38" s="44"/>
      <c r="AI38" s="44"/>
      <c r="AJ38" s="44"/>
      <c r="AK38" s="44"/>
      <c r="AL38" s="44"/>
      <c r="AM38" s="44"/>
      <c r="AN38" s="44"/>
      <c r="AO38" s="44"/>
    </row>
    <row r="39" spans="1:41" ht="71.25" customHeight="1">
      <c r="A39" s="676"/>
      <c r="B39" s="678"/>
      <c r="C39" s="45" t="s">
        <v>46</v>
      </c>
      <c r="D39" s="46">
        <v>8.3299999999999999E-2</v>
      </c>
      <c r="E39" s="46">
        <v>8.3299999999999999E-2</v>
      </c>
      <c r="F39" s="46">
        <v>8.3299999999999999E-2</v>
      </c>
      <c r="G39" s="46">
        <v>8.3299999999999999E-2</v>
      </c>
      <c r="H39" s="46">
        <v>8.3299999999999999E-2</v>
      </c>
      <c r="I39" s="46">
        <v>8.3299999999999999E-2</v>
      </c>
      <c r="J39" s="46">
        <v>8.3299999999999999E-2</v>
      </c>
      <c r="K39" s="46">
        <v>8.3299999999999999E-2</v>
      </c>
      <c r="L39" s="46">
        <v>8.3299999999999999E-2</v>
      </c>
      <c r="M39" s="46">
        <v>8.3299999999999999E-2</v>
      </c>
      <c r="N39" s="46">
        <v>8.3299999999999999E-2</v>
      </c>
      <c r="O39" s="46"/>
      <c r="P39" s="216">
        <f t="shared" si="5"/>
        <v>0.91630000000000011</v>
      </c>
      <c r="Q39" s="693"/>
      <c r="R39" s="694"/>
      <c r="S39" s="694"/>
      <c r="T39" s="694"/>
      <c r="U39" s="694"/>
      <c r="V39" s="694"/>
      <c r="W39" s="694"/>
      <c r="X39" s="694"/>
      <c r="Y39" s="694"/>
      <c r="Z39" s="694"/>
      <c r="AA39" s="694"/>
      <c r="AB39" s="694"/>
      <c r="AC39" s="694"/>
      <c r="AD39" s="695"/>
      <c r="AE39" s="43"/>
      <c r="AF39" s="1"/>
      <c r="AG39" s="1"/>
      <c r="AH39" s="1"/>
      <c r="AI39" s="1"/>
      <c r="AJ39" s="1"/>
      <c r="AK39" s="1"/>
      <c r="AL39" s="1"/>
      <c r="AM39" s="1"/>
      <c r="AN39" s="1"/>
      <c r="AO39" s="1"/>
    </row>
    <row r="40" spans="1:41" ht="127.5" customHeight="1">
      <c r="A40" s="671" t="s">
        <v>196</v>
      </c>
      <c r="B40" s="673">
        <v>0.05</v>
      </c>
      <c r="C40" s="47" t="s">
        <v>45</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6">
        <f>SUM(D40:O40)</f>
        <v>0.99959999999999993</v>
      </c>
      <c r="Q40" s="696" t="s">
        <v>197</v>
      </c>
      <c r="R40" s="697"/>
      <c r="S40" s="697"/>
      <c r="T40" s="697"/>
      <c r="U40" s="697"/>
      <c r="V40" s="697"/>
      <c r="W40" s="697"/>
      <c r="X40" s="697"/>
      <c r="Y40" s="697"/>
      <c r="Z40" s="697"/>
      <c r="AA40" s="697"/>
      <c r="AB40" s="697"/>
      <c r="AC40" s="697"/>
      <c r="AD40" s="698"/>
      <c r="AE40" s="416"/>
      <c r="AF40" s="1">
        <f>LEN(Q40)</f>
        <v>576</v>
      </c>
      <c r="AG40" s="1"/>
      <c r="AH40" s="1"/>
      <c r="AI40" s="1"/>
      <c r="AJ40" s="1"/>
      <c r="AK40" s="1"/>
      <c r="AL40" s="1"/>
      <c r="AM40" s="1"/>
      <c r="AN40" s="1"/>
      <c r="AO40" s="1"/>
    </row>
    <row r="41" spans="1:41" ht="72.75" customHeight="1">
      <c r="A41" s="672"/>
      <c r="B41" s="674"/>
      <c r="C41" s="217" t="s">
        <v>46</v>
      </c>
      <c r="D41" s="218">
        <v>0.1</v>
      </c>
      <c r="E41" s="218">
        <v>0.1</v>
      </c>
      <c r="F41" s="382">
        <v>0.1</v>
      </c>
      <c r="G41" s="218">
        <v>0.1</v>
      </c>
      <c r="H41" s="218">
        <v>0</v>
      </c>
      <c r="I41" s="218">
        <v>0.05</v>
      </c>
      <c r="J41" s="218">
        <v>0.2</v>
      </c>
      <c r="K41" s="46">
        <v>8.3299999999999999E-2</v>
      </c>
      <c r="L41" s="46">
        <v>7.0000000000000007E-2</v>
      </c>
      <c r="M41" s="46">
        <v>7.0000000000000007E-2</v>
      </c>
      <c r="N41" s="46">
        <v>7.0000000000000007E-2</v>
      </c>
      <c r="O41" s="219"/>
      <c r="P41" s="220">
        <f>SUM(D41:O41)</f>
        <v>0.94330000000000025</v>
      </c>
      <c r="Q41" s="699"/>
      <c r="R41" s="700"/>
      <c r="S41" s="700"/>
      <c r="T41" s="700"/>
      <c r="U41" s="700"/>
      <c r="V41" s="700"/>
      <c r="W41" s="700"/>
      <c r="X41" s="700"/>
      <c r="Y41" s="700"/>
      <c r="Z41" s="700"/>
      <c r="AA41" s="700"/>
      <c r="AB41" s="700"/>
      <c r="AC41" s="700"/>
      <c r="AD41" s="701"/>
      <c r="AE41" s="43"/>
      <c r="AF41" s="1"/>
      <c r="AG41" s="1"/>
      <c r="AH41" s="1"/>
      <c r="AI41" s="1"/>
      <c r="AJ41" s="1"/>
      <c r="AK41" s="1"/>
      <c r="AL41" s="1"/>
      <c r="AM41" s="1"/>
      <c r="AN41" s="1"/>
      <c r="AO41" s="1"/>
    </row>
    <row r="42" spans="1:41" ht="14.25" customHeight="1">
      <c r="A42" s="1" t="s">
        <v>198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199</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((((L38+L40)/2)*0.307)+K45)</f>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200</v>
      </c>
      <c r="D46" s="55">
        <f>((((D39+D41)/2)*0.307)+C44)</f>
        <v>0.72113654999999999</v>
      </c>
      <c r="E46" s="55">
        <f>((((E39+E41)/2)*0.307)+D46)</f>
        <v>0.74927310000000003</v>
      </c>
      <c r="F46" s="383">
        <f t="shared" ref="F46:O46" si="7">((((F39+F41)/2)*0.307)+E46)</f>
        <v>0.77740965000000006</v>
      </c>
      <c r="G46" s="55">
        <f>((((G39+G41)/2)*0.307)+F46)</f>
        <v>0.8055462000000001</v>
      </c>
      <c r="H46" s="55">
        <f t="shared" si="7"/>
        <v>0.81833275000000005</v>
      </c>
      <c r="I46" s="55">
        <f t="shared" si="7"/>
        <v>0.8387943000000001</v>
      </c>
      <c r="J46" s="55">
        <f t="shared" si="7"/>
        <v>0.88228085000000012</v>
      </c>
      <c r="K46" s="55">
        <f t="shared" si="7"/>
        <v>0.90785395000000013</v>
      </c>
      <c r="L46" s="55">
        <f>((((L39+L41)/2)*0.307)+K46)</f>
        <v>0.93138550000000009</v>
      </c>
      <c r="M46" s="55">
        <f t="shared" si="7"/>
        <v>0.95491705000000004</v>
      </c>
      <c r="N46" s="55">
        <f t="shared" si="7"/>
        <v>0.9784486</v>
      </c>
      <c r="O46" s="55">
        <f t="shared" si="7"/>
        <v>0.9784486</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14"/>
      <c r="G48" s="414"/>
      <c r="H48" s="1"/>
      <c r="I48" s="1"/>
      <c r="J48" s="1"/>
      <c r="K48" s="1"/>
      <c r="L48" s="1"/>
      <c r="M48" s="1"/>
      <c r="N48" s="1"/>
      <c r="O48" s="1"/>
      <c r="P48" s="1"/>
      <c r="Q48" s="670"/>
      <c r="R48" s="670"/>
      <c r="S48" s="670"/>
      <c r="T48" s="670"/>
      <c r="U48" s="670"/>
      <c r="V48" s="670"/>
      <c r="W48" s="670"/>
      <c r="X48" s="670"/>
      <c r="Y48" s="670"/>
      <c r="Z48" s="670"/>
      <c r="AA48" s="670"/>
      <c r="AB48" s="670"/>
      <c r="AC48" s="670"/>
      <c r="AD48" s="670"/>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670"/>
      <c r="R49" s="670"/>
      <c r="S49" s="670"/>
      <c r="T49" s="670"/>
      <c r="U49" s="670"/>
      <c r="V49" s="670"/>
      <c r="W49" s="670"/>
      <c r="X49" s="670"/>
      <c r="Y49" s="670"/>
      <c r="Z49" s="670"/>
      <c r="AA49" s="670"/>
      <c r="AB49" s="670"/>
      <c r="AC49" s="670"/>
      <c r="AD49" s="670"/>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5"/>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48" xr:uid="{00000000-0002-0000-0000-000001000000}">
      <formula1>LTE(LEN(Q48),(2000))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paperSize="5" scale="3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639"/>
      <c r="Z1" s="823" t="s">
        <v>54</v>
      </c>
      <c r="AA1" s="684"/>
      <c r="AB1" s="741"/>
      <c r="AC1" s="1"/>
      <c r="AD1" s="1"/>
      <c r="AE1" s="1"/>
      <c r="AF1" s="1"/>
      <c r="AG1" s="1"/>
      <c r="AH1" s="1"/>
      <c r="AI1" s="1"/>
      <c r="AJ1" s="1"/>
      <c r="AK1" s="1"/>
      <c r="AL1" s="1"/>
      <c r="AM1" s="1"/>
    </row>
    <row r="2" spans="1:39"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641"/>
      <c r="Z2" s="822" t="s">
        <v>201</v>
      </c>
      <c r="AA2" s="688"/>
      <c r="AB2" s="689"/>
      <c r="AC2" s="1"/>
      <c r="AD2" s="1"/>
      <c r="AE2" s="1"/>
      <c r="AF2" s="1"/>
      <c r="AG2" s="1"/>
      <c r="AH2" s="1"/>
      <c r="AI2" s="1"/>
      <c r="AJ2" s="1"/>
      <c r="AK2" s="1"/>
      <c r="AL2" s="1"/>
      <c r="AM2" s="1"/>
    </row>
    <row r="3" spans="1:39"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641"/>
      <c r="Z3" s="822" t="s">
        <v>202</v>
      </c>
      <c r="AA3" s="688"/>
      <c r="AB3" s="689"/>
      <c r="AC3" s="1"/>
      <c r="AD3" s="1"/>
      <c r="AE3" s="1"/>
      <c r="AF3" s="1"/>
      <c r="AG3" s="1"/>
      <c r="AH3" s="1"/>
      <c r="AI3" s="1"/>
      <c r="AJ3" s="1"/>
      <c r="AK3" s="1"/>
      <c r="AL3" s="1"/>
      <c r="AM3" s="1"/>
    </row>
    <row r="4" spans="1:39" ht="15.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643"/>
      <c r="Z4" s="829" t="s">
        <v>160</v>
      </c>
      <c r="AA4" s="750"/>
      <c r="AB4" s="759"/>
      <c r="AC4" s="1"/>
      <c r="AD4" s="1"/>
      <c r="AE4" s="1"/>
      <c r="AF4" s="1"/>
      <c r="AG4" s="1"/>
      <c r="AH4" s="1"/>
      <c r="AI4" s="1"/>
      <c r="AJ4" s="1"/>
      <c r="AK4" s="1"/>
      <c r="AL4" s="1"/>
      <c r="AM4" s="1"/>
    </row>
    <row r="5" spans="1:39" ht="9" customHeight="1">
      <c r="A5" s="2"/>
      <c r="B5" s="3"/>
      <c r="C5" s="4"/>
      <c r="D5" s="230"/>
      <c r="E5" s="230"/>
      <c r="F5" s="230"/>
      <c r="G5" s="230"/>
      <c r="H5" s="230"/>
      <c r="I5" s="230"/>
      <c r="J5" s="230"/>
      <c r="K5" s="230"/>
      <c r="L5" s="230"/>
      <c r="M5" s="230"/>
      <c r="N5" s="230"/>
      <c r="O5" s="230"/>
      <c r="P5" s="230"/>
      <c r="Q5" s="230"/>
      <c r="R5" s="230"/>
      <c r="S5" s="230"/>
      <c r="T5" s="230"/>
      <c r="U5" s="230"/>
      <c r="V5" s="230"/>
      <c r="W5" s="230"/>
      <c r="X5" s="231"/>
      <c r="Y5" s="230"/>
      <c r="Z5" s="5"/>
      <c r="AA5" s="6"/>
      <c r="AB5" s="7"/>
      <c r="AC5" s="1"/>
      <c r="AD5" s="1"/>
      <c r="AE5" s="1"/>
      <c r="AF5" s="1"/>
      <c r="AG5" s="1"/>
      <c r="AH5" s="1"/>
      <c r="AI5" s="1"/>
      <c r="AJ5" s="1"/>
      <c r="AK5" s="1"/>
      <c r="AL5" s="1"/>
      <c r="AM5" s="1"/>
    </row>
    <row r="6" spans="1:39" ht="9" customHeight="1">
      <c r="A6" s="232"/>
      <c r="B6" s="230"/>
      <c r="C6" s="230"/>
      <c r="D6" s="230"/>
      <c r="E6" s="230"/>
      <c r="F6" s="230"/>
      <c r="G6" s="230"/>
      <c r="H6" s="230"/>
      <c r="I6" s="230"/>
      <c r="J6" s="230"/>
      <c r="K6" s="230"/>
      <c r="L6" s="230"/>
      <c r="M6" s="230"/>
      <c r="N6" s="230"/>
      <c r="O6" s="230"/>
      <c r="P6" s="230"/>
      <c r="Q6" s="230"/>
      <c r="R6" s="230"/>
      <c r="S6" s="230"/>
      <c r="T6" s="230"/>
      <c r="U6" s="230"/>
      <c r="V6" s="230"/>
      <c r="W6" s="230"/>
      <c r="X6" s="231"/>
      <c r="Y6" s="230"/>
      <c r="Z6" s="230"/>
      <c r="AA6" s="233"/>
      <c r="AB6" s="234"/>
      <c r="AC6" s="1"/>
      <c r="AD6" s="1"/>
      <c r="AE6" s="1"/>
      <c r="AF6" s="1"/>
      <c r="AG6" s="1"/>
      <c r="AH6" s="1"/>
      <c r="AI6" s="1"/>
      <c r="AJ6" s="1"/>
      <c r="AK6" s="1"/>
      <c r="AL6" s="1"/>
      <c r="AM6" s="1"/>
    </row>
    <row r="7" spans="1:39" ht="15" customHeight="1">
      <c r="A7" s="754" t="s">
        <v>162</v>
      </c>
      <c r="B7" s="639"/>
      <c r="C7" s="817"/>
      <c r="D7" s="752"/>
      <c r="E7" s="752"/>
      <c r="F7" s="752"/>
      <c r="G7" s="752"/>
      <c r="H7" s="752"/>
      <c r="I7" s="752"/>
      <c r="J7" s="752"/>
      <c r="K7" s="639"/>
      <c r="L7" s="56"/>
      <c r="M7" s="57"/>
      <c r="N7" s="57"/>
      <c r="O7" s="57"/>
      <c r="P7" s="57"/>
      <c r="Q7" s="58"/>
      <c r="R7" s="821" t="s">
        <v>65</v>
      </c>
      <c r="S7" s="752"/>
      <c r="T7" s="639"/>
      <c r="U7" s="820" t="s">
        <v>203</v>
      </c>
      <c r="V7" s="639"/>
      <c r="W7" s="821" t="s">
        <v>66</v>
      </c>
      <c r="X7" s="639"/>
      <c r="Y7" s="831" t="s">
        <v>67</v>
      </c>
      <c r="Z7" s="741"/>
      <c r="AA7" s="830"/>
      <c r="AB7" s="741"/>
      <c r="AC7" s="1"/>
      <c r="AD7" s="1"/>
      <c r="AE7" s="1"/>
      <c r="AF7" s="1"/>
      <c r="AG7" s="1"/>
      <c r="AH7" s="1"/>
      <c r="AI7" s="1"/>
      <c r="AJ7" s="1"/>
      <c r="AK7" s="1"/>
      <c r="AL7" s="1"/>
      <c r="AM7" s="1"/>
    </row>
    <row r="8" spans="1:39" ht="15" customHeight="1">
      <c r="A8" s="640"/>
      <c r="B8" s="641"/>
      <c r="C8" s="640"/>
      <c r="D8" s="753"/>
      <c r="E8" s="753"/>
      <c r="F8" s="753"/>
      <c r="G8" s="753"/>
      <c r="H8" s="753"/>
      <c r="I8" s="753"/>
      <c r="J8" s="753"/>
      <c r="K8" s="641"/>
      <c r="L8" s="56"/>
      <c r="M8" s="57"/>
      <c r="N8" s="57"/>
      <c r="O8" s="57"/>
      <c r="P8" s="57"/>
      <c r="Q8" s="58"/>
      <c r="R8" s="640"/>
      <c r="S8" s="753"/>
      <c r="T8" s="641"/>
      <c r="U8" s="640"/>
      <c r="V8" s="641"/>
      <c r="W8" s="640"/>
      <c r="X8" s="641"/>
      <c r="Y8" s="827" t="s">
        <v>68</v>
      </c>
      <c r="Z8" s="689"/>
      <c r="AA8" s="824"/>
      <c r="AB8" s="689"/>
      <c r="AC8" s="1"/>
      <c r="AD8" s="1"/>
      <c r="AE8" s="1"/>
      <c r="AF8" s="1"/>
      <c r="AG8" s="1"/>
      <c r="AH8" s="1"/>
      <c r="AI8" s="1"/>
      <c r="AJ8" s="1"/>
      <c r="AK8" s="1"/>
      <c r="AL8" s="1"/>
      <c r="AM8" s="1"/>
    </row>
    <row r="9" spans="1:39" ht="15" customHeight="1">
      <c r="A9" s="642"/>
      <c r="B9" s="643"/>
      <c r="C9" s="642"/>
      <c r="D9" s="745"/>
      <c r="E9" s="745"/>
      <c r="F9" s="745"/>
      <c r="G9" s="745"/>
      <c r="H9" s="745"/>
      <c r="I9" s="745"/>
      <c r="J9" s="745"/>
      <c r="K9" s="643"/>
      <c r="L9" s="56"/>
      <c r="M9" s="57"/>
      <c r="N9" s="57"/>
      <c r="O9" s="57"/>
      <c r="P9" s="57"/>
      <c r="Q9" s="58"/>
      <c r="R9" s="642"/>
      <c r="S9" s="745"/>
      <c r="T9" s="643"/>
      <c r="U9" s="642"/>
      <c r="V9" s="643"/>
      <c r="W9" s="642"/>
      <c r="X9" s="643"/>
      <c r="Y9" s="826" t="s">
        <v>61</v>
      </c>
      <c r="Z9" s="759"/>
      <c r="AA9" s="825"/>
      <c r="AB9" s="759"/>
      <c r="AC9" s="1"/>
      <c r="AD9" s="1"/>
      <c r="AE9" s="1"/>
      <c r="AF9" s="1"/>
      <c r="AG9" s="1"/>
      <c r="AH9" s="1"/>
      <c r="AI9" s="1"/>
      <c r="AJ9" s="1"/>
      <c r="AK9" s="1"/>
      <c r="AL9" s="1"/>
      <c r="AM9" s="1"/>
    </row>
    <row r="10" spans="1:39" ht="9" customHeight="1">
      <c r="A10" s="229"/>
      <c r="B10" s="15"/>
      <c r="C10" s="235"/>
      <c r="D10" s="235"/>
      <c r="E10" s="235"/>
      <c r="F10" s="235"/>
      <c r="G10" s="235"/>
      <c r="H10" s="235"/>
      <c r="I10" s="235"/>
      <c r="J10" s="235"/>
      <c r="K10" s="235"/>
      <c r="L10" s="235"/>
      <c r="M10" s="236"/>
      <c r="N10" s="236"/>
      <c r="O10" s="236"/>
      <c r="P10" s="236"/>
      <c r="Q10" s="236"/>
      <c r="R10" s="16"/>
      <c r="S10" s="16"/>
      <c r="T10" s="16"/>
      <c r="U10" s="16"/>
      <c r="V10" s="16"/>
      <c r="W10" s="9"/>
      <c r="X10" s="9"/>
      <c r="Y10" s="9"/>
      <c r="Z10" s="9"/>
      <c r="AA10" s="9"/>
      <c r="AB10" s="237"/>
      <c r="AC10" s="1"/>
      <c r="AD10" s="1"/>
      <c r="AE10" s="1"/>
      <c r="AF10" s="1"/>
      <c r="AG10" s="1"/>
      <c r="AH10" s="1"/>
      <c r="AI10" s="1"/>
      <c r="AJ10" s="1"/>
      <c r="AK10" s="1"/>
      <c r="AL10" s="1"/>
      <c r="AM10" s="1"/>
    </row>
    <row r="11" spans="1:39" ht="39" customHeight="1">
      <c r="A11" s="714" t="s">
        <v>164</v>
      </c>
      <c r="B11" s="715"/>
      <c r="C11" s="819"/>
      <c r="D11" s="724"/>
      <c r="E11" s="724"/>
      <c r="F11" s="724"/>
      <c r="G11" s="724"/>
      <c r="H11" s="724"/>
      <c r="I11" s="724"/>
      <c r="J11" s="724"/>
      <c r="K11" s="715"/>
      <c r="L11" s="59"/>
      <c r="M11" s="725" t="s">
        <v>166</v>
      </c>
      <c r="N11" s="724"/>
      <c r="O11" s="724"/>
      <c r="P11" s="724"/>
      <c r="Q11" s="715"/>
      <c r="R11" s="748"/>
      <c r="S11" s="724"/>
      <c r="T11" s="724"/>
      <c r="U11" s="724"/>
      <c r="V11" s="715"/>
      <c r="W11" s="725" t="s">
        <v>168</v>
      </c>
      <c r="X11" s="715"/>
      <c r="Y11" s="748"/>
      <c r="Z11" s="724"/>
      <c r="AA11" s="724"/>
      <c r="AB11" s="715"/>
      <c r="AC11" s="1"/>
      <c r="AD11" s="1"/>
      <c r="AE11" s="1"/>
      <c r="AF11" s="1"/>
      <c r="AG11" s="1"/>
      <c r="AH11" s="1"/>
      <c r="AI11" s="1"/>
      <c r="AJ11" s="1"/>
      <c r="AK11" s="1"/>
      <c r="AL11" s="1"/>
      <c r="AM11" s="1"/>
    </row>
    <row r="12" spans="1:39" ht="9" customHeight="1">
      <c r="A12" s="232"/>
      <c r="B12" s="230"/>
      <c r="C12" s="747"/>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17"/>
      <c r="AB12" s="238"/>
      <c r="AC12" s="1"/>
      <c r="AD12" s="1"/>
      <c r="AE12" s="1"/>
      <c r="AF12" s="1"/>
      <c r="AG12" s="1"/>
      <c r="AH12" s="1"/>
      <c r="AI12" s="1"/>
      <c r="AJ12" s="1"/>
      <c r="AK12" s="1"/>
      <c r="AL12" s="1"/>
      <c r="AM12" s="1"/>
    </row>
    <row r="13" spans="1:39" ht="37.5" customHeight="1">
      <c r="A13" s="714" t="s">
        <v>170</v>
      </c>
      <c r="B13" s="715"/>
      <c r="C13" s="816"/>
      <c r="D13" s="724"/>
      <c r="E13" s="724"/>
      <c r="F13" s="724"/>
      <c r="G13" s="724"/>
      <c r="H13" s="724"/>
      <c r="I13" s="724"/>
      <c r="J13" s="724"/>
      <c r="K13" s="724"/>
      <c r="L13" s="724"/>
      <c r="M13" s="724"/>
      <c r="N13" s="724"/>
      <c r="O13" s="724"/>
      <c r="P13" s="724"/>
      <c r="Q13" s="715"/>
      <c r="R13" s="230"/>
      <c r="S13" s="818" t="s">
        <v>204</v>
      </c>
      <c r="T13" s="727"/>
      <c r="U13" s="60"/>
      <c r="V13" s="815" t="s">
        <v>173</v>
      </c>
      <c r="W13" s="727"/>
      <c r="X13" s="727"/>
      <c r="Y13" s="727"/>
      <c r="Z13" s="230"/>
      <c r="AA13" s="746"/>
      <c r="AB13" s="715"/>
      <c r="AC13" s="239"/>
      <c r="AD13" s="239"/>
      <c r="AE13" s="239"/>
      <c r="AF13" s="239"/>
      <c r="AG13" s="239"/>
      <c r="AH13" s="239"/>
      <c r="AI13" s="239"/>
      <c r="AJ13" s="239"/>
      <c r="AK13" s="239"/>
      <c r="AL13" s="239"/>
      <c r="AM13" s="239"/>
    </row>
    <row r="14" spans="1:39" ht="16.5" customHeight="1">
      <c r="A14" s="240"/>
      <c r="B14" s="241"/>
      <c r="C14" s="241"/>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2"/>
      <c r="AC14" s="1"/>
      <c r="AD14" s="1"/>
      <c r="AE14" s="1"/>
      <c r="AF14" s="1"/>
      <c r="AG14" s="1"/>
      <c r="AH14" s="1"/>
      <c r="AI14" s="1"/>
      <c r="AJ14" s="1"/>
      <c r="AK14" s="1"/>
      <c r="AL14" s="1"/>
      <c r="AM14" s="1"/>
    </row>
    <row r="15" spans="1:39" ht="24" customHeight="1">
      <c r="A15" s="754" t="s">
        <v>161</v>
      </c>
      <c r="B15" s="639"/>
      <c r="C15" s="812" t="s">
        <v>205</v>
      </c>
      <c r="D15" s="246"/>
      <c r="E15" s="246"/>
      <c r="F15" s="246"/>
      <c r="G15" s="246"/>
      <c r="H15" s="246"/>
      <c r="I15" s="246"/>
      <c r="J15" s="236"/>
      <c r="K15" s="251"/>
      <c r="L15" s="236"/>
      <c r="M15" s="233"/>
      <c r="N15" s="233"/>
      <c r="O15" s="233"/>
      <c r="P15" s="233"/>
      <c r="Q15" s="725" t="s">
        <v>174</v>
      </c>
      <c r="R15" s="724"/>
      <c r="S15" s="724"/>
      <c r="T15" s="724"/>
      <c r="U15" s="724"/>
      <c r="V15" s="724"/>
      <c r="W15" s="724"/>
      <c r="X15" s="724"/>
      <c r="Y15" s="724"/>
      <c r="Z15" s="724"/>
      <c r="AA15" s="724"/>
      <c r="AB15" s="715"/>
      <c r="AC15" s="1"/>
      <c r="AD15" s="1"/>
      <c r="AE15" s="1"/>
      <c r="AF15" s="1"/>
      <c r="AG15" s="1"/>
      <c r="AH15" s="1"/>
      <c r="AI15" s="1"/>
      <c r="AJ15" s="1"/>
      <c r="AK15" s="1"/>
      <c r="AL15" s="1"/>
      <c r="AM15" s="1"/>
    </row>
    <row r="16" spans="1:39" ht="35.25" customHeight="1">
      <c r="A16" s="642"/>
      <c r="B16" s="643"/>
      <c r="C16" s="775"/>
      <c r="D16" s="246"/>
      <c r="E16" s="246"/>
      <c r="F16" s="246"/>
      <c r="G16" s="246"/>
      <c r="H16" s="246"/>
      <c r="I16" s="246"/>
      <c r="J16" s="236"/>
      <c r="K16" s="236"/>
      <c r="L16" s="236"/>
      <c r="M16" s="233"/>
      <c r="N16" s="233"/>
      <c r="O16" s="233"/>
      <c r="P16" s="233"/>
      <c r="Q16" s="832" t="s">
        <v>206</v>
      </c>
      <c r="R16" s="685"/>
      <c r="S16" s="685"/>
      <c r="T16" s="685"/>
      <c r="U16" s="685"/>
      <c r="V16" s="728"/>
      <c r="W16" s="833" t="s">
        <v>207</v>
      </c>
      <c r="X16" s="685"/>
      <c r="Y16" s="685"/>
      <c r="Z16" s="685"/>
      <c r="AA16" s="685"/>
      <c r="AB16" s="686"/>
      <c r="AC16" s="1"/>
      <c r="AD16" s="1"/>
      <c r="AE16" s="1"/>
      <c r="AF16" s="1"/>
      <c r="AG16" s="1"/>
      <c r="AH16" s="1"/>
      <c r="AI16" s="1"/>
      <c r="AJ16" s="1"/>
      <c r="AK16" s="1"/>
      <c r="AL16" s="1"/>
      <c r="AM16" s="1"/>
    </row>
    <row r="17" spans="1:39" ht="27" customHeight="1">
      <c r="A17" s="243"/>
      <c r="B17" s="233"/>
      <c r="C17" s="233"/>
      <c r="D17" s="246"/>
      <c r="E17" s="246"/>
      <c r="F17" s="246"/>
      <c r="G17" s="246"/>
      <c r="H17" s="246"/>
      <c r="I17" s="246"/>
      <c r="J17" s="246"/>
      <c r="K17" s="246"/>
      <c r="L17" s="246"/>
      <c r="M17" s="233"/>
      <c r="N17" s="233"/>
      <c r="O17" s="233"/>
      <c r="P17" s="233"/>
      <c r="Q17" s="835" t="s">
        <v>208</v>
      </c>
      <c r="R17" s="688"/>
      <c r="S17" s="742"/>
      <c r="T17" s="834" t="s">
        <v>209</v>
      </c>
      <c r="U17" s="688"/>
      <c r="V17" s="742"/>
      <c r="W17" s="834" t="s">
        <v>208</v>
      </c>
      <c r="X17" s="742"/>
      <c r="Y17" s="834" t="s">
        <v>210</v>
      </c>
      <c r="Z17" s="742"/>
      <c r="AA17" s="834" t="s">
        <v>211</v>
      </c>
      <c r="AB17" s="689"/>
      <c r="AC17" s="18"/>
      <c r="AD17" s="18"/>
      <c r="AE17" s="1"/>
      <c r="AF17" s="1"/>
      <c r="AG17" s="1"/>
      <c r="AH17" s="1"/>
      <c r="AI17" s="1"/>
      <c r="AJ17" s="1"/>
      <c r="AK17" s="1"/>
      <c r="AL17" s="1"/>
      <c r="AM17" s="1"/>
    </row>
    <row r="18" spans="1:39" ht="27" customHeight="1">
      <c r="A18" s="243"/>
      <c r="B18" s="233"/>
      <c r="C18" s="233"/>
      <c r="D18" s="246"/>
      <c r="E18" s="246"/>
      <c r="F18" s="246"/>
      <c r="G18" s="246"/>
      <c r="H18" s="246"/>
      <c r="I18" s="246"/>
      <c r="J18" s="246"/>
      <c r="K18" s="246"/>
      <c r="L18" s="246"/>
      <c r="M18" s="233"/>
      <c r="N18" s="233"/>
      <c r="O18" s="233"/>
      <c r="P18" s="233"/>
      <c r="Q18" s="61"/>
      <c r="R18" s="252"/>
      <c r="S18" s="62"/>
      <c r="T18" s="834"/>
      <c r="U18" s="688"/>
      <c r="V18" s="742"/>
      <c r="W18" s="63"/>
      <c r="X18" s="64"/>
      <c r="Y18" s="63"/>
      <c r="Z18" s="64"/>
      <c r="AA18" s="63"/>
      <c r="AB18" s="65"/>
      <c r="AC18" s="18"/>
      <c r="AD18" s="18"/>
      <c r="AE18" s="1"/>
      <c r="AF18" s="1"/>
      <c r="AG18" s="1"/>
      <c r="AH18" s="1"/>
      <c r="AI18" s="1"/>
      <c r="AJ18" s="1"/>
      <c r="AK18" s="1"/>
      <c r="AL18" s="1"/>
      <c r="AM18" s="1"/>
    </row>
    <row r="19" spans="1:39" ht="18" customHeight="1">
      <c r="A19" s="232"/>
      <c r="B19" s="230"/>
      <c r="C19" s="246"/>
      <c r="D19" s="246"/>
      <c r="E19" s="246"/>
      <c r="F19" s="246"/>
      <c r="G19" s="253"/>
      <c r="H19" s="253"/>
      <c r="I19" s="253"/>
      <c r="J19" s="253"/>
      <c r="K19" s="253"/>
      <c r="L19" s="253"/>
      <c r="M19" s="246"/>
      <c r="N19" s="246"/>
      <c r="O19" s="246"/>
      <c r="P19" s="246"/>
      <c r="Q19" s="838"/>
      <c r="R19" s="750"/>
      <c r="S19" s="837"/>
      <c r="T19" s="836"/>
      <c r="U19" s="750"/>
      <c r="V19" s="837"/>
      <c r="W19" s="839"/>
      <c r="X19" s="742"/>
      <c r="Y19" s="828"/>
      <c r="Z19" s="742"/>
      <c r="AA19" s="828"/>
      <c r="AB19" s="689"/>
      <c r="AC19" s="18"/>
      <c r="AD19" s="18"/>
      <c r="AE19" s="1"/>
      <c r="AF19" s="1"/>
      <c r="AG19" s="1"/>
      <c r="AH19" s="1"/>
      <c r="AI19" s="1"/>
      <c r="AJ19" s="1"/>
      <c r="AK19" s="1"/>
      <c r="AL19" s="1"/>
      <c r="AM19" s="1"/>
    </row>
    <row r="20" spans="1:39" ht="7.5" customHeight="1">
      <c r="A20" s="232"/>
      <c r="B20" s="230"/>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33"/>
      <c r="AB20" s="234"/>
      <c r="AC20" s="1"/>
      <c r="AD20" s="1"/>
      <c r="AE20" s="1"/>
      <c r="AF20" s="1"/>
      <c r="AG20" s="1"/>
      <c r="AH20" s="1"/>
      <c r="AI20" s="1"/>
      <c r="AJ20" s="1"/>
      <c r="AK20" s="1"/>
      <c r="AL20" s="1"/>
      <c r="AM20" s="1"/>
    </row>
    <row r="21" spans="1:39" ht="17.25" customHeight="1">
      <c r="A21" s="740" t="s">
        <v>176</v>
      </c>
      <c r="B21" s="684"/>
      <c r="C21" s="684"/>
      <c r="D21" s="684"/>
      <c r="E21" s="684"/>
      <c r="F21" s="684"/>
      <c r="G21" s="684"/>
      <c r="H21" s="684"/>
      <c r="I21" s="684"/>
      <c r="J21" s="684"/>
      <c r="K21" s="684"/>
      <c r="L21" s="684"/>
      <c r="M21" s="684"/>
      <c r="N21" s="684"/>
      <c r="O21" s="684"/>
      <c r="P21" s="684"/>
      <c r="Q21" s="684"/>
      <c r="R21" s="684"/>
      <c r="S21" s="684"/>
      <c r="T21" s="684"/>
      <c r="U21" s="684"/>
      <c r="V21" s="684"/>
      <c r="W21" s="684"/>
      <c r="X21" s="684"/>
      <c r="Y21" s="684"/>
      <c r="Z21" s="684"/>
      <c r="AA21" s="684"/>
      <c r="AB21" s="741"/>
      <c r="AC21" s="1"/>
      <c r="AD21" s="1"/>
      <c r="AE21" s="1"/>
      <c r="AF21" s="1"/>
      <c r="AG21" s="1"/>
      <c r="AH21" s="1"/>
      <c r="AI21" s="1"/>
      <c r="AJ21" s="1"/>
      <c r="AK21" s="1"/>
      <c r="AL21" s="1"/>
      <c r="AM21" s="1"/>
    </row>
    <row r="22" spans="1:39" ht="15" customHeight="1">
      <c r="A22" s="716" t="s">
        <v>177</v>
      </c>
      <c r="B22" s="709" t="s">
        <v>178</v>
      </c>
      <c r="C22" s="800"/>
      <c r="D22" s="687" t="s">
        <v>212</v>
      </c>
      <c r="E22" s="688"/>
      <c r="F22" s="688"/>
      <c r="G22" s="688"/>
      <c r="H22" s="688"/>
      <c r="I22" s="688"/>
      <c r="J22" s="688"/>
      <c r="K22" s="688"/>
      <c r="L22" s="688"/>
      <c r="M22" s="688"/>
      <c r="N22" s="688"/>
      <c r="O22" s="742"/>
      <c r="P22" s="708" t="s">
        <v>15</v>
      </c>
      <c r="Q22" s="709" t="s">
        <v>180</v>
      </c>
      <c r="R22" s="710"/>
      <c r="S22" s="710"/>
      <c r="T22" s="710"/>
      <c r="U22" s="710"/>
      <c r="V22" s="710"/>
      <c r="W22" s="710"/>
      <c r="X22" s="710"/>
      <c r="Y22" s="710"/>
      <c r="Z22" s="710"/>
      <c r="AA22" s="710"/>
      <c r="AB22" s="711"/>
      <c r="AC22" s="1"/>
      <c r="AD22" s="1"/>
      <c r="AE22" s="1"/>
      <c r="AF22" s="1"/>
      <c r="AG22" s="1"/>
      <c r="AH22" s="1"/>
      <c r="AI22" s="1"/>
      <c r="AJ22" s="1"/>
      <c r="AK22" s="1"/>
      <c r="AL22" s="1"/>
      <c r="AM22" s="1"/>
    </row>
    <row r="23" spans="1:39" ht="27" customHeight="1">
      <c r="A23" s="717"/>
      <c r="B23" s="712"/>
      <c r="C23" s="728"/>
      <c r="D23" s="35" t="s">
        <v>3</v>
      </c>
      <c r="E23" s="35" t="s">
        <v>4</v>
      </c>
      <c r="F23" s="35" t="s">
        <v>5</v>
      </c>
      <c r="G23" s="35" t="s">
        <v>6</v>
      </c>
      <c r="H23" s="35" t="s">
        <v>7</v>
      </c>
      <c r="I23" s="35" t="s">
        <v>8</v>
      </c>
      <c r="J23" s="35" t="s">
        <v>9</v>
      </c>
      <c r="K23" s="35" t="s">
        <v>10</v>
      </c>
      <c r="L23" s="35" t="s">
        <v>11</v>
      </c>
      <c r="M23" s="35" t="s">
        <v>12</v>
      </c>
      <c r="N23" s="35" t="s">
        <v>13</v>
      </c>
      <c r="O23" s="35" t="s">
        <v>14</v>
      </c>
      <c r="P23" s="678"/>
      <c r="Q23" s="712"/>
      <c r="R23" s="685"/>
      <c r="S23" s="685"/>
      <c r="T23" s="685"/>
      <c r="U23" s="685"/>
      <c r="V23" s="685"/>
      <c r="W23" s="685"/>
      <c r="X23" s="685"/>
      <c r="Y23" s="685"/>
      <c r="Z23" s="685"/>
      <c r="AA23" s="685"/>
      <c r="AB23" s="686"/>
      <c r="AC23" s="1"/>
      <c r="AD23" s="1"/>
      <c r="AE23" s="1"/>
      <c r="AF23" s="1"/>
      <c r="AG23" s="1"/>
      <c r="AH23" s="1"/>
      <c r="AI23" s="1"/>
      <c r="AJ23" s="1"/>
      <c r="AK23" s="1"/>
      <c r="AL23" s="1"/>
      <c r="AM23" s="1"/>
    </row>
    <row r="24" spans="1:39" ht="42" customHeight="1">
      <c r="A24" s="36"/>
      <c r="B24" s="799"/>
      <c r="C24" s="800"/>
      <c r="D24" s="247"/>
      <c r="E24" s="247"/>
      <c r="F24" s="247"/>
      <c r="G24" s="247"/>
      <c r="H24" s="247"/>
      <c r="I24" s="247"/>
      <c r="J24" s="247"/>
      <c r="K24" s="247"/>
      <c r="L24" s="247"/>
      <c r="M24" s="247"/>
      <c r="N24" s="247"/>
      <c r="O24" s="247"/>
      <c r="P24" s="248">
        <f>SUM(D24:O24)</f>
        <v>0</v>
      </c>
      <c r="Q24" s="798" t="s">
        <v>213</v>
      </c>
      <c r="R24" s="688"/>
      <c r="S24" s="688"/>
      <c r="T24" s="688"/>
      <c r="U24" s="688"/>
      <c r="V24" s="688"/>
      <c r="W24" s="688"/>
      <c r="X24" s="688"/>
      <c r="Y24" s="688"/>
      <c r="Z24" s="688"/>
      <c r="AA24" s="688"/>
      <c r="AB24" s="689"/>
      <c r="AC24" s="1"/>
      <c r="AD24" s="1"/>
      <c r="AE24" s="1"/>
      <c r="AF24" s="1"/>
      <c r="AG24" s="1"/>
      <c r="AH24" s="1"/>
      <c r="AI24" s="1"/>
      <c r="AJ24" s="1"/>
      <c r="AK24" s="1"/>
      <c r="AL24" s="1"/>
      <c r="AM24" s="1"/>
    </row>
    <row r="25" spans="1:39" ht="21.75" customHeight="1">
      <c r="A25" s="740" t="s">
        <v>183</v>
      </c>
      <c r="B25" s="684"/>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741"/>
      <c r="AC25" s="1"/>
      <c r="AD25" s="1"/>
      <c r="AE25" s="1"/>
      <c r="AF25" s="1"/>
      <c r="AG25" s="1"/>
      <c r="AH25" s="1"/>
      <c r="AI25" s="1"/>
      <c r="AJ25" s="1"/>
      <c r="AK25" s="1"/>
      <c r="AL25" s="1"/>
      <c r="AM25" s="1"/>
    </row>
    <row r="26" spans="1:39" ht="22.5" customHeight="1">
      <c r="A26" s="702" t="s">
        <v>184</v>
      </c>
      <c r="B26" s="708" t="s">
        <v>185</v>
      </c>
      <c r="C26" s="708" t="s">
        <v>178</v>
      </c>
      <c r="D26" s="687" t="s">
        <v>186</v>
      </c>
      <c r="E26" s="688"/>
      <c r="F26" s="688"/>
      <c r="G26" s="688"/>
      <c r="H26" s="688"/>
      <c r="I26" s="688"/>
      <c r="J26" s="688"/>
      <c r="K26" s="688"/>
      <c r="L26" s="688"/>
      <c r="M26" s="688"/>
      <c r="N26" s="688"/>
      <c r="O26" s="688"/>
      <c r="P26" s="742"/>
      <c r="Q26" s="687" t="s">
        <v>187</v>
      </c>
      <c r="R26" s="688"/>
      <c r="S26" s="688"/>
      <c r="T26" s="688"/>
      <c r="U26" s="688"/>
      <c r="V26" s="688"/>
      <c r="W26" s="688"/>
      <c r="X26" s="688"/>
      <c r="Y26" s="688"/>
      <c r="Z26" s="688"/>
      <c r="AA26" s="688"/>
      <c r="AB26" s="689"/>
      <c r="AC26" s="1"/>
      <c r="AD26" s="1"/>
      <c r="AE26" s="38"/>
      <c r="AF26" s="38"/>
      <c r="AG26" s="38"/>
      <c r="AH26" s="38"/>
      <c r="AI26" s="38"/>
      <c r="AJ26" s="38"/>
      <c r="AK26" s="38"/>
      <c r="AL26" s="38"/>
      <c r="AM26" s="38"/>
    </row>
    <row r="27" spans="1:39" ht="22.5" customHeight="1">
      <c r="A27" s="703"/>
      <c r="B27" s="678"/>
      <c r="C27" s="678"/>
      <c r="D27" s="35" t="s">
        <v>3</v>
      </c>
      <c r="E27" s="35" t="s">
        <v>4</v>
      </c>
      <c r="F27" s="35" t="s">
        <v>5</v>
      </c>
      <c r="G27" s="35" t="s">
        <v>6</v>
      </c>
      <c r="H27" s="35" t="s">
        <v>7</v>
      </c>
      <c r="I27" s="35" t="s">
        <v>8</v>
      </c>
      <c r="J27" s="35" t="s">
        <v>9</v>
      </c>
      <c r="K27" s="35" t="s">
        <v>10</v>
      </c>
      <c r="L27" s="35" t="s">
        <v>11</v>
      </c>
      <c r="M27" s="35" t="s">
        <v>12</v>
      </c>
      <c r="N27" s="35" t="s">
        <v>13</v>
      </c>
      <c r="O27" s="35" t="s">
        <v>14</v>
      </c>
      <c r="P27" s="35" t="s">
        <v>15</v>
      </c>
      <c r="Q27" s="719" t="s">
        <v>188</v>
      </c>
      <c r="R27" s="685"/>
      <c r="S27" s="685"/>
      <c r="T27" s="728"/>
      <c r="U27" s="719" t="s">
        <v>189</v>
      </c>
      <c r="V27" s="685"/>
      <c r="W27" s="685"/>
      <c r="X27" s="728"/>
      <c r="Y27" s="719" t="s">
        <v>190</v>
      </c>
      <c r="Z27" s="685"/>
      <c r="AA27" s="685"/>
      <c r="AB27" s="686"/>
      <c r="AC27" s="1"/>
      <c r="AD27" s="1"/>
      <c r="AE27" s="38"/>
      <c r="AF27" s="38"/>
      <c r="AG27" s="38"/>
      <c r="AH27" s="38"/>
      <c r="AI27" s="38"/>
      <c r="AJ27" s="38"/>
      <c r="AK27" s="38"/>
      <c r="AL27" s="38"/>
      <c r="AM27" s="38"/>
    </row>
    <row r="28" spans="1:39" ht="33" customHeight="1">
      <c r="A28" s="813"/>
      <c r="B28" s="814"/>
      <c r="C28" s="214" t="s">
        <v>45</v>
      </c>
      <c r="D28" s="247"/>
      <c r="E28" s="247"/>
      <c r="F28" s="247"/>
      <c r="G28" s="247"/>
      <c r="H28" s="247"/>
      <c r="I28" s="247"/>
      <c r="J28" s="247"/>
      <c r="K28" s="247"/>
      <c r="L28" s="247"/>
      <c r="M28" s="247"/>
      <c r="N28" s="247"/>
      <c r="O28" s="247"/>
      <c r="P28" s="254">
        <f t="shared" ref="P28:P29" si="0">SUM(D28:O28)</f>
        <v>0</v>
      </c>
      <c r="Q28" s="805" t="s">
        <v>214</v>
      </c>
      <c r="R28" s="710"/>
      <c r="S28" s="710"/>
      <c r="T28" s="800"/>
      <c r="U28" s="805" t="s">
        <v>215</v>
      </c>
      <c r="V28" s="710"/>
      <c r="W28" s="710"/>
      <c r="X28" s="800"/>
      <c r="Y28" s="805" t="s">
        <v>216</v>
      </c>
      <c r="Z28" s="710"/>
      <c r="AA28" s="710"/>
      <c r="AB28" s="711"/>
      <c r="AC28" s="1"/>
      <c r="AD28" s="1"/>
      <c r="AE28" s="38"/>
      <c r="AF28" s="38"/>
      <c r="AG28" s="38"/>
      <c r="AH28" s="38"/>
      <c r="AI28" s="38"/>
      <c r="AJ28" s="38"/>
      <c r="AK28" s="38"/>
      <c r="AL28" s="38"/>
      <c r="AM28" s="38"/>
    </row>
    <row r="29" spans="1:39" ht="33.75" customHeight="1">
      <c r="A29" s="806"/>
      <c r="B29" s="808"/>
      <c r="C29" s="39" t="s">
        <v>46</v>
      </c>
      <c r="D29" s="66"/>
      <c r="E29" s="66"/>
      <c r="F29" s="66"/>
      <c r="G29" s="67"/>
      <c r="H29" s="67"/>
      <c r="I29" s="67"/>
      <c r="J29" s="67"/>
      <c r="K29" s="67"/>
      <c r="L29" s="67"/>
      <c r="M29" s="67"/>
      <c r="N29" s="67"/>
      <c r="O29" s="67"/>
      <c r="P29" s="68">
        <f t="shared" si="0"/>
        <v>0</v>
      </c>
      <c r="Q29" s="809"/>
      <c r="R29" s="745"/>
      <c r="S29" s="745"/>
      <c r="T29" s="840"/>
      <c r="U29" s="809"/>
      <c r="V29" s="745"/>
      <c r="W29" s="745"/>
      <c r="X29" s="840"/>
      <c r="Y29" s="809"/>
      <c r="Z29" s="745"/>
      <c r="AA29" s="745"/>
      <c r="AB29" s="643"/>
      <c r="AC29" s="40"/>
      <c r="AD29" s="1"/>
      <c r="AE29" s="38"/>
      <c r="AF29" s="38"/>
      <c r="AG29" s="38"/>
      <c r="AH29" s="38"/>
      <c r="AI29" s="38"/>
      <c r="AJ29" s="38"/>
      <c r="AK29" s="38"/>
      <c r="AL29" s="38"/>
      <c r="AM29" s="38"/>
    </row>
    <row r="30" spans="1:39" ht="25.5" customHeight="1">
      <c r="A30" s="796" t="s">
        <v>27</v>
      </c>
      <c r="B30" s="801" t="s">
        <v>28</v>
      </c>
      <c r="C30" s="683" t="s">
        <v>29</v>
      </c>
      <c r="D30" s="684"/>
      <c r="E30" s="684"/>
      <c r="F30" s="684"/>
      <c r="G30" s="684"/>
      <c r="H30" s="684"/>
      <c r="I30" s="684"/>
      <c r="J30" s="684"/>
      <c r="K30" s="684"/>
      <c r="L30" s="684"/>
      <c r="M30" s="684"/>
      <c r="N30" s="684"/>
      <c r="O30" s="684"/>
      <c r="P30" s="802"/>
      <c r="Q30" s="683" t="s">
        <v>193</v>
      </c>
      <c r="R30" s="684"/>
      <c r="S30" s="684"/>
      <c r="T30" s="684"/>
      <c r="U30" s="684"/>
      <c r="V30" s="684"/>
      <c r="W30" s="684"/>
      <c r="X30" s="684"/>
      <c r="Y30" s="684"/>
      <c r="Z30" s="684"/>
      <c r="AA30" s="684"/>
      <c r="AB30" s="741"/>
      <c r="AC30" s="1"/>
      <c r="AD30" s="1"/>
      <c r="AE30" s="38"/>
      <c r="AF30" s="38"/>
      <c r="AG30" s="38"/>
      <c r="AH30" s="38"/>
      <c r="AI30" s="38"/>
      <c r="AJ30" s="38"/>
      <c r="AK30" s="38"/>
      <c r="AL30" s="38"/>
      <c r="AM30" s="38"/>
    </row>
    <row r="31" spans="1:39" ht="25.5" customHeight="1">
      <c r="A31" s="703"/>
      <c r="B31" s="678"/>
      <c r="C31" s="35" t="s">
        <v>30</v>
      </c>
      <c r="D31" s="35" t="s">
        <v>31</v>
      </c>
      <c r="E31" s="35" t="s">
        <v>32</v>
      </c>
      <c r="F31" s="35" t="s">
        <v>33</v>
      </c>
      <c r="G31" s="35" t="s">
        <v>34</v>
      </c>
      <c r="H31" s="35" t="s">
        <v>35</v>
      </c>
      <c r="I31" s="35" t="s">
        <v>36</v>
      </c>
      <c r="J31" s="35" t="s">
        <v>37</v>
      </c>
      <c r="K31" s="35" t="s">
        <v>38</v>
      </c>
      <c r="L31" s="35" t="s">
        <v>39</v>
      </c>
      <c r="M31" s="35" t="s">
        <v>40</v>
      </c>
      <c r="N31" s="35" t="s">
        <v>41</v>
      </c>
      <c r="O31" s="35" t="s">
        <v>42</v>
      </c>
      <c r="P31" s="35" t="s">
        <v>43</v>
      </c>
      <c r="Q31" s="687" t="s">
        <v>194</v>
      </c>
      <c r="R31" s="688"/>
      <c r="S31" s="688"/>
      <c r="T31" s="688"/>
      <c r="U31" s="688"/>
      <c r="V31" s="688"/>
      <c r="W31" s="688"/>
      <c r="X31" s="688"/>
      <c r="Y31" s="688"/>
      <c r="Z31" s="688"/>
      <c r="AA31" s="688"/>
      <c r="AB31" s="689"/>
      <c r="AC31" s="1"/>
      <c r="AD31" s="1"/>
      <c r="AE31" s="41"/>
      <c r="AF31" s="41"/>
      <c r="AG31" s="41"/>
      <c r="AH31" s="41"/>
      <c r="AI31" s="41"/>
      <c r="AJ31" s="41"/>
      <c r="AK31" s="41"/>
      <c r="AL31" s="41"/>
      <c r="AM31" s="41"/>
    </row>
    <row r="32" spans="1:39" ht="28.5" customHeight="1">
      <c r="A32" s="795"/>
      <c r="B32" s="811"/>
      <c r="C32" s="214" t="s">
        <v>45</v>
      </c>
      <c r="D32" s="255"/>
      <c r="E32" s="255"/>
      <c r="F32" s="255"/>
      <c r="G32" s="255"/>
      <c r="H32" s="255"/>
      <c r="I32" s="255"/>
      <c r="J32" s="255"/>
      <c r="K32" s="255"/>
      <c r="L32" s="255"/>
      <c r="M32" s="255"/>
      <c r="N32" s="255"/>
      <c r="O32" s="255"/>
      <c r="P32" s="215">
        <f t="shared" ref="P32:P39" si="1">SUM(D32:O32)</f>
        <v>0</v>
      </c>
      <c r="Q32" s="803" t="s">
        <v>217</v>
      </c>
      <c r="R32" s="710"/>
      <c r="S32" s="710"/>
      <c r="T32" s="710"/>
      <c r="U32" s="710"/>
      <c r="V32" s="710"/>
      <c r="W32" s="710"/>
      <c r="X32" s="710"/>
      <c r="Y32" s="710"/>
      <c r="Z32" s="710"/>
      <c r="AA32" s="710"/>
      <c r="AB32" s="711"/>
      <c r="AC32" s="43"/>
      <c r="AD32" s="1"/>
      <c r="AE32" s="44"/>
      <c r="AF32" s="44"/>
      <c r="AG32" s="44"/>
      <c r="AH32" s="44"/>
      <c r="AI32" s="44"/>
      <c r="AJ32" s="44"/>
      <c r="AK32" s="44"/>
      <c r="AL32" s="44"/>
      <c r="AM32" s="44"/>
    </row>
    <row r="33" spans="1:39" ht="28.5" customHeight="1">
      <c r="A33" s="703"/>
      <c r="B33" s="678"/>
      <c r="C33" s="45" t="s">
        <v>46</v>
      </c>
      <c r="D33" s="46"/>
      <c r="E33" s="46"/>
      <c r="F33" s="46"/>
      <c r="G33" s="46"/>
      <c r="H33" s="46"/>
      <c r="I33" s="46"/>
      <c r="J33" s="46"/>
      <c r="K33" s="46"/>
      <c r="L33" s="46"/>
      <c r="M33" s="46"/>
      <c r="N33" s="46"/>
      <c r="O33" s="46"/>
      <c r="P33" s="216">
        <f t="shared" si="1"/>
        <v>0</v>
      </c>
      <c r="Q33" s="804"/>
      <c r="R33" s="753"/>
      <c r="S33" s="753"/>
      <c r="T33" s="753"/>
      <c r="U33" s="753"/>
      <c r="V33" s="753"/>
      <c r="W33" s="753"/>
      <c r="X33" s="753"/>
      <c r="Y33" s="753"/>
      <c r="Z33" s="753"/>
      <c r="AA33" s="753"/>
      <c r="AB33" s="641"/>
      <c r="AC33" s="43"/>
      <c r="AD33" s="1"/>
      <c r="AE33" s="1"/>
      <c r="AF33" s="1"/>
      <c r="AG33" s="1"/>
      <c r="AH33" s="1"/>
      <c r="AI33" s="1"/>
      <c r="AJ33" s="1"/>
      <c r="AK33" s="1"/>
      <c r="AL33" s="1"/>
      <c r="AM33" s="1"/>
    </row>
    <row r="34" spans="1:39" ht="28.5" customHeight="1">
      <c r="A34" s="797"/>
      <c r="B34" s="807"/>
      <c r="C34" s="47" t="s">
        <v>45</v>
      </c>
      <c r="D34" s="69"/>
      <c r="E34" s="69"/>
      <c r="F34" s="69"/>
      <c r="G34" s="69"/>
      <c r="H34" s="69"/>
      <c r="I34" s="69"/>
      <c r="J34" s="69"/>
      <c r="K34" s="69"/>
      <c r="L34" s="69"/>
      <c r="M34" s="69"/>
      <c r="N34" s="69"/>
      <c r="O34" s="69"/>
      <c r="P34" s="216">
        <f t="shared" si="1"/>
        <v>0</v>
      </c>
      <c r="Q34" s="805"/>
      <c r="R34" s="710"/>
      <c r="S34" s="710"/>
      <c r="T34" s="710"/>
      <c r="U34" s="710"/>
      <c r="V34" s="710"/>
      <c r="W34" s="710"/>
      <c r="X34" s="710"/>
      <c r="Y34" s="710"/>
      <c r="Z34" s="710"/>
      <c r="AA34" s="710"/>
      <c r="AB34" s="711"/>
      <c r="AC34" s="43"/>
      <c r="AD34" s="1"/>
      <c r="AE34" s="1"/>
      <c r="AF34" s="1"/>
      <c r="AG34" s="1"/>
      <c r="AH34" s="1"/>
      <c r="AI34" s="1"/>
      <c r="AJ34" s="1"/>
      <c r="AK34" s="1"/>
      <c r="AL34" s="1"/>
      <c r="AM34" s="1"/>
    </row>
    <row r="35" spans="1:39" ht="28.5" customHeight="1">
      <c r="A35" s="703"/>
      <c r="B35" s="678"/>
      <c r="C35" s="45" t="s">
        <v>46</v>
      </c>
      <c r="D35" s="46"/>
      <c r="E35" s="46"/>
      <c r="F35" s="46"/>
      <c r="G35" s="46"/>
      <c r="H35" s="46"/>
      <c r="I35" s="46"/>
      <c r="J35" s="46"/>
      <c r="K35" s="46"/>
      <c r="L35" s="48"/>
      <c r="M35" s="48"/>
      <c r="N35" s="48"/>
      <c r="O35" s="48"/>
      <c r="P35" s="216">
        <f t="shared" si="1"/>
        <v>0</v>
      </c>
      <c r="Q35" s="804"/>
      <c r="R35" s="753"/>
      <c r="S35" s="753"/>
      <c r="T35" s="753"/>
      <c r="U35" s="753"/>
      <c r="V35" s="753"/>
      <c r="W35" s="753"/>
      <c r="X35" s="753"/>
      <c r="Y35" s="753"/>
      <c r="Z35" s="753"/>
      <c r="AA35" s="753"/>
      <c r="AB35" s="641"/>
      <c r="AC35" s="43"/>
      <c r="AD35" s="1"/>
      <c r="AE35" s="1"/>
      <c r="AF35" s="1"/>
      <c r="AG35" s="1"/>
      <c r="AH35" s="1"/>
      <c r="AI35" s="1"/>
      <c r="AJ35" s="1"/>
      <c r="AK35" s="1"/>
      <c r="AL35" s="1"/>
      <c r="AM35" s="1"/>
    </row>
    <row r="36" spans="1:39" ht="28.5" customHeight="1">
      <c r="A36" s="810"/>
      <c r="B36" s="807"/>
      <c r="C36" s="47" t="s">
        <v>45</v>
      </c>
      <c r="D36" s="69"/>
      <c r="E36" s="69"/>
      <c r="F36" s="69"/>
      <c r="G36" s="69"/>
      <c r="H36" s="69"/>
      <c r="I36" s="69"/>
      <c r="J36" s="69"/>
      <c r="K36" s="69"/>
      <c r="L36" s="69"/>
      <c r="M36" s="69"/>
      <c r="N36" s="69"/>
      <c r="O36" s="69"/>
      <c r="P36" s="216">
        <f t="shared" si="1"/>
        <v>0</v>
      </c>
      <c r="Q36" s="805"/>
      <c r="R36" s="710"/>
      <c r="S36" s="710"/>
      <c r="T36" s="710"/>
      <c r="U36" s="710"/>
      <c r="V36" s="710"/>
      <c r="W36" s="710"/>
      <c r="X36" s="710"/>
      <c r="Y36" s="710"/>
      <c r="Z36" s="710"/>
      <c r="AA36" s="710"/>
      <c r="AB36" s="711"/>
      <c r="AC36" s="43"/>
      <c r="AD36" s="1"/>
      <c r="AE36" s="1"/>
      <c r="AF36" s="1"/>
      <c r="AG36" s="1"/>
      <c r="AH36" s="1"/>
      <c r="AI36" s="1"/>
      <c r="AJ36" s="1"/>
      <c r="AK36" s="1"/>
      <c r="AL36" s="1"/>
      <c r="AM36" s="1"/>
    </row>
    <row r="37" spans="1:39" ht="28.5" customHeight="1">
      <c r="A37" s="703"/>
      <c r="B37" s="678"/>
      <c r="C37" s="45" t="s">
        <v>46</v>
      </c>
      <c r="D37" s="46"/>
      <c r="E37" s="46"/>
      <c r="F37" s="46"/>
      <c r="G37" s="46"/>
      <c r="H37" s="46"/>
      <c r="I37" s="46"/>
      <c r="J37" s="46"/>
      <c r="K37" s="46"/>
      <c r="L37" s="48"/>
      <c r="M37" s="48"/>
      <c r="N37" s="48"/>
      <c r="O37" s="48"/>
      <c r="P37" s="216">
        <f t="shared" si="1"/>
        <v>0</v>
      </c>
      <c r="Q37" s="804"/>
      <c r="R37" s="753"/>
      <c r="S37" s="753"/>
      <c r="T37" s="753"/>
      <c r="U37" s="753"/>
      <c r="V37" s="753"/>
      <c r="W37" s="753"/>
      <c r="X37" s="753"/>
      <c r="Y37" s="753"/>
      <c r="Z37" s="753"/>
      <c r="AA37" s="753"/>
      <c r="AB37" s="641"/>
      <c r="AC37" s="43"/>
      <c r="AD37" s="1"/>
      <c r="AE37" s="1"/>
      <c r="AF37" s="1"/>
      <c r="AG37" s="1"/>
      <c r="AH37" s="1"/>
      <c r="AI37" s="1"/>
      <c r="AJ37" s="1"/>
      <c r="AK37" s="1"/>
      <c r="AL37" s="1"/>
      <c r="AM37" s="1"/>
    </row>
    <row r="38" spans="1:39" ht="28.5" customHeight="1">
      <c r="A38" s="797"/>
      <c r="B38" s="807"/>
      <c r="C38" s="47" t="s">
        <v>45</v>
      </c>
      <c r="D38" s="69"/>
      <c r="E38" s="69"/>
      <c r="F38" s="69"/>
      <c r="G38" s="69"/>
      <c r="H38" s="69"/>
      <c r="I38" s="69"/>
      <c r="J38" s="69"/>
      <c r="K38" s="69"/>
      <c r="L38" s="69"/>
      <c r="M38" s="69"/>
      <c r="N38" s="69"/>
      <c r="O38" s="69"/>
      <c r="P38" s="216">
        <f t="shared" si="1"/>
        <v>0</v>
      </c>
      <c r="Q38" s="805"/>
      <c r="R38" s="710"/>
      <c r="S38" s="710"/>
      <c r="T38" s="710"/>
      <c r="U38" s="710"/>
      <c r="V38" s="710"/>
      <c r="W38" s="710"/>
      <c r="X38" s="710"/>
      <c r="Y38" s="710"/>
      <c r="Z38" s="710"/>
      <c r="AA38" s="710"/>
      <c r="AB38" s="711"/>
      <c r="AC38" s="43"/>
      <c r="AD38" s="1"/>
      <c r="AE38" s="1"/>
      <c r="AF38" s="1"/>
      <c r="AG38" s="1"/>
      <c r="AH38" s="1"/>
      <c r="AI38" s="1"/>
      <c r="AJ38" s="1"/>
      <c r="AK38" s="1"/>
      <c r="AL38" s="1"/>
      <c r="AM38" s="1"/>
    </row>
    <row r="39" spans="1:39" ht="28.5" customHeight="1">
      <c r="A39" s="806"/>
      <c r="B39" s="808"/>
      <c r="C39" s="39" t="s">
        <v>46</v>
      </c>
      <c r="D39" s="70"/>
      <c r="E39" s="70"/>
      <c r="F39" s="70"/>
      <c r="G39" s="70"/>
      <c r="H39" s="70"/>
      <c r="I39" s="70"/>
      <c r="J39" s="70"/>
      <c r="K39" s="70"/>
      <c r="L39" s="71"/>
      <c r="M39" s="71"/>
      <c r="N39" s="71"/>
      <c r="O39" s="71"/>
      <c r="P39" s="256">
        <f t="shared" si="1"/>
        <v>0</v>
      </c>
      <c r="Q39" s="809"/>
      <c r="R39" s="745"/>
      <c r="S39" s="745"/>
      <c r="T39" s="745"/>
      <c r="U39" s="745"/>
      <c r="V39" s="745"/>
      <c r="W39" s="745"/>
      <c r="X39" s="745"/>
      <c r="Y39" s="745"/>
      <c r="Z39" s="745"/>
      <c r="AA39" s="745"/>
      <c r="AB39" s="643"/>
      <c r="AC39" s="43"/>
      <c r="AD39" s="1"/>
      <c r="AE39" s="1"/>
      <c r="AF39" s="1"/>
      <c r="AG39" s="1"/>
      <c r="AH39" s="1"/>
      <c r="AI39" s="1"/>
      <c r="AJ39" s="1"/>
      <c r="AK39" s="1"/>
      <c r="AL39" s="1"/>
      <c r="AM39" s="1"/>
    </row>
    <row r="40" spans="1:39" ht="14.25" customHeight="1">
      <c r="A40" s="1" t="s">
        <v>198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topLeftCell="A29" zoomScale="70" zoomScaleNormal="60" zoomScaleSheetLayoutView="70" workbookViewId="0">
      <selection activeCell="F14" sqref="F14"/>
    </sheetView>
  </sheetViews>
  <sheetFormatPr baseColWidth="10" defaultColWidth="14.42578125" defaultRowHeight="15" customHeight="1"/>
  <cols>
    <col min="1" max="1" width="38.42578125" customWidth="1"/>
    <col min="2" max="2" width="14.7109375" customWidth="1"/>
    <col min="3" max="3" width="17.28515625" customWidth="1"/>
    <col min="4" max="4" width="12.5703125" customWidth="1"/>
    <col min="5" max="5" width="13.42578125" bestFit="1" customWidth="1"/>
    <col min="6" max="15" width="12.7109375" customWidth="1"/>
    <col min="16" max="16" width="14" customWidth="1"/>
    <col min="17" max="17" width="15.28515625" bestFit="1" customWidth="1"/>
    <col min="18" max="18" width="13.140625" bestFit="1" customWidth="1"/>
    <col min="19" max="21" width="14" customWidth="1"/>
    <col min="22" max="22" width="13.5703125" customWidth="1"/>
    <col min="23" max="23" width="15.42578125" customWidth="1"/>
    <col min="24" max="24" width="14" customWidth="1"/>
    <col min="25" max="25" width="15.42578125" customWidth="1"/>
    <col min="26" max="26" width="13.5703125" bestFit="1" customWidth="1"/>
    <col min="27"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80.099999999999994"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218</v>
      </c>
      <c r="D17" s="724"/>
      <c r="E17" s="724"/>
      <c r="F17" s="724"/>
      <c r="G17" s="724"/>
      <c r="H17" s="724"/>
      <c r="I17" s="724"/>
      <c r="J17" s="724"/>
      <c r="K17" s="724"/>
      <c r="L17" s="724"/>
      <c r="M17" s="724"/>
      <c r="N17" s="724"/>
      <c r="O17" s="724"/>
      <c r="P17" s="724"/>
      <c r="Q17" s="715"/>
      <c r="R17" s="725" t="s">
        <v>172</v>
      </c>
      <c r="S17" s="724"/>
      <c r="T17" s="724"/>
      <c r="U17" s="724"/>
      <c r="V17" s="715"/>
      <c r="W17" s="860">
        <v>13</v>
      </c>
      <c r="X17" s="715"/>
      <c r="Y17" s="723" t="s">
        <v>173</v>
      </c>
      <c r="Z17" s="724"/>
      <c r="AA17" s="724"/>
      <c r="AB17" s="715"/>
      <c r="AC17" s="746">
        <f>+B34</f>
        <v>0.15000000000000002</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1" t="s">
        <v>17</v>
      </c>
      <c r="B22" s="684"/>
      <c r="C22" s="22"/>
      <c r="D22" s="23"/>
      <c r="E22" s="23"/>
      <c r="F22" s="23"/>
      <c r="G22" s="23"/>
      <c r="H22" s="451"/>
      <c r="I22" s="480"/>
      <c r="J22" s="23"/>
      <c r="K22" s="23"/>
      <c r="L22" s="23"/>
      <c r="M22" s="23"/>
      <c r="N22" s="23"/>
      <c r="O22" s="141">
        <f>SUM(C22:N22)</f>
        <v>0</v>
      </c>
      <c r="P22" s="244"/>
      <c r="Q22" s="423">
        <v>205977520</v>
      </c>
      <c r="R22" s="72"/>
      <c r="S22" s="72"/>
      <c r="T22" s="72"/>
      <c r="U22" s="436">
        <v>16380000</v>
      </c>
      <c r="V22" s="451"/>
      <c r="W22" s="143"/>
      <c r="X22" s="72">
        <v>32620000</v>
      </c>
      <c r="Y22" s="72"/>
      <c r="Z22" s="72">
        <v>28421450</v>
      </c>
      <c r="AA22" s="72"/>
      <c r="AB22" s="72"/>
      <c r="AC22" s="141">
        <f t="shared" ref="AC22:AC23" si="0">SUM(Q22:AB22)</f>
        <v>283398970</v>
      </c>
      <c r="AD22" s="24"/>
      <c r="AE22" s="559">
        <v>283398970</v>
      </c>
      <c r="AF22" s="18">
        <f>+AC22-AE22</f>
        <v>0</v>
      </c>
      <c r="AG22" s="1"/>
      <c r="AH22" s="1"/>
      <c r="AI22" s="1"/>
      <c r="AJ22" s="1"/>
      <c r="AK22" s="1"/>
      <c r="AL22" s="1"/>
      <c r="AM22" s="1"/>
      <c r="AN22" s="1"/>
      <c r="AO22" s="1"/>
    </row>
    <row r="23" spans="1:41" ht="31.5" customHeight="1" thickBot="1">
      <c r="A23" s="713" t="s">
        <v>18</v>
      </c>
      <c r="B23" s="688"/>
      <c r="C23" s="25">
        <v>3608711</v>
      </c>
      <c r="D23" s="26"/>
      <c r="E23" s="26">
        <v>-3136000</v>
      </c>
      <c r="F23" s="26">
        <v>0</v>
      </c>
      <c r="G23" s="437">
        <v>-179378</v>
      </c>
      <c r="H23" s="452">
        <v>0</v>
      </c>
      <c r="I23" s="478">
        <v>0</v>
      </c>
      <c r="J23" s="26">
        <v>0</v>
      </c>
      <c r="K23" s="26">
        <v>0</v>
      </c>
      <c r="L23" s="26">
        <v>0</v>
      </c>
      <c r="M23" s="26">
        <v>0</v>
      </c>
      <c r="N23" s="26"/>
      <c r="O23" s="27">
        <f>SUM(C23:N23)</f>
        <v>293333</v>
      </c>
      <c r="P23" s="424" t="str">
        <f>IFERROR(O23/(SUMIF(C23:N23,"&gt;0",C22:N22))," ")</f>
        <v xml:space="preserve"> </v>
      </c>
      <c r="Q23" s="425">
        <v>205977520</v>
      </c>
      <c r="R23" s="28">
        <v>0</v>
      </c>
      <c r="S23" s="32">
        <v>-5618373</v>
      </c>
      <c r="T23" s="32">
        <v>-1771200</v>
      </c>
      <c r="U23" s="437">
        <v>18226535</v>
      </c>
      <c r="V23" s="453">
        <v>0</v>
      </c>
      <c r="W23" s="28">
        <v>0</v>
      </c>
      <c r="X23" s="26">
        <v>42000000</v>
      </c>
      <c r="Y23" s="26">
        <v>2995122</v>
      </c>
      <c r="Z23" s="28">
        <v>0</v>
      </c>
      <c r="AA23" s="28">
        <v>0</v>
      </c>
      <c r="AB23" s="28"/>
      <c r="AC23" s="571">
        <f t="shared" si="0"/>
        <v>261809604</v>
      </c>
      <c r="AD23" s="29">
        <f>AC23/AC22</f>
        <v>0.92381988544277349</v>
      </c>
      <c r="AE23" s="354"/>
      <c r="AF23" s="18"/>
      <c r="AG23" s="1"/>
      <c r="AH23" s="1"/>
      <c r="AI23" s="1"/>
      <c r="AJ23" s="1"/>
      <c r="AK23" s="1"/>
      <c r="AL23" s="1"/>
      <c r="AM23" s="1"/>
      <c r="AN23" s="1"/>
      <c r="AO23" s="1"/>
    </row>
    <row r="24" spans="1:41" ht="31.5" customHeight="1">
      <c r="A24" s="713" t="s">
        <v>19</v>
      </c>
      <c r="B24" s="688"/>
      <c r="C24" s="30"/>
      <c r="D24" s="26">
        <f>3429333+E23</f>
        <v>293333</v>
      </c>
      <c r="E24" s="32">
        <v>0</v>
      </c>
      <c r="F24" s="26"/>
      <c r="G24" s="27"/>
      <c r="H24" s="453"/>
      <c r="I24" s="478">
        <v>0</v>
      </c>
      <c r="J24" s="570" t="s">
        <v>219</v>
      </c>
      <c r="K24" s="570" t="s">
        <v>219</v>
      </c>
      <c r="L24" s="570" t="s">
        <v>219</v>
      </c>
      <c r="M24" s="570" t="s">
        <v>219</v>
      </c>
      <c r="N24" s="570" t="s">
        <v>219</v>
      </c>
      <c r="O24" s="27">
        <f>SUM(C24:N24)</f>
        <v>293333</v>
      </c>
      <c r="P24" s="245"/>
      <c r="Q24" s="426"/>
      <c r="R24" s="26">
        <v>11266053</v>
      </c>
      <c r="S24" s="26">
        <v>17724800</v>
      </c>
      <c r="T24" s="26">
        <v>17724800</v>
      </c>
      <c r="U24" s="437">
        <v>17724800</v>
      </c>
      <c r="V24" s="452">
        <v>17724800</v>
      </c>
      <c r="W24" s="478">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c r="A25" s="749" t="s">
        <v>20</v>
      </c>
      <c r="B25" s="750"/>
      <c r="C25" s="31"/>
      <c r="D25" s="32">
        <v>293333</v>
      </c>
      <c r="E25" s="32">
        <f>3136000+E23</f>
        <v>0</v>
      </c>
      <c r="F25" s="32">
        <v>0</v>
      </c>
      <c r="G25" s="435">
        <v>0</v>
      </c>
      <c r="H25" s="454">
        <v>0</v>
      </c>
      <c r="I25" s="479">
        <v>0</v>
      </c>
      <c r="J25" s="32">
        <v>0</v>
      </c>
      <c r="K25" s="32">
        <v>0</v>
      </c>
      <c r="L25" s="32">
        <v>0</v>
      </c>
      <c r="M25" s="26">
        <v>0</v>
      </c>
      <c r="N25" s="32"/>
      <c r="O25" s="33">
        <f>SUM(C25:N25)</f>
        <v>293333</v>
      </c>
      <c r="P25" s="427">
        <f>O25/O24</f>
        <v>1</v>
      </c>
      <c r="Q25" s="31"/>
      <c r="R25" s="32">
        <v>4014213</v>
      </c>
      <c r="S25" s="32">
        <v>16927467</v>
      </c>
      <c r="T25" s="32">
        <v>18493867</v>
      </c>
      <c r="U25" s="435">
        <v>12844800</v>
      </c>
      <c r="V25" s="454">
        <v>38991335</v>
      </c>
      <c r="W25" s="479">
        <v>18740800</v>
      </c>
      <c r="X25" s="32">
        <v>17588800</v>
      </c>
      <c r="Y25" s="32">
        <v>14738133</v>
      </c>
      <c r="Z25" s="32">
        <v>18551467</v>
      </c>
      <c r="AA25" s="32">
        <v>20079922</v>
      </c>
      <c r="AB25" s="32"/>
      <c r="AC25" s="33">
        <f>SUM(Q25:AB25)</f>
        <v>180970804</v>
      </c>
      <c r="AD25" s="34">
        <f>AC25/AC24</f>
        <v>0.70975199696035951</v>
      </c>
      <c r="AE25" s="18"/>
      <c r="AF25" s="18"/>
      <c r="AG25" s="1"/>
      <c r="AH25" s="1"/>
      <c r="AI25" s="1"/>
      <c r="AJ25" s="1"/>
      <c r="AK25" s="1"/>
      <c r="AL25" s="1"/>
      <c r="AM25" s="1"/>
      <c r="AN25" s="1"/>
      <c r="AO25" s="1"/>
    </row>
    <row r="26" spans="1:41" ht="31.5" customHeigh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91.5" customHeight="1">
      <c r="A30" s="36" t="s">
        <v>220</v>
      </c>
      <c r="B30" s="857" t="s">
        <v>98</v>
      </c>
      <c r="C30" s="800"/>
      <c r="D30" s="247"/>
      <c r="E30" s="247"/>
      <c r="F30" s="73"/>
      <c r="G30" s="247"/>
      <c r="H30" s="247"/>
      <c r="I30" s="247"/>
      <c r="J30" s="247"/>
      <c r="K30" s="247"/>
      <c r="L30" s="247"/>
      <c r="M30" s="247"/>
      <c r="N30" s="247"/>
      <c r="O30" s="247"/>
      <c r="P30" s="248">
        <f>SUM(D30:O30)</f>
        <v>0</v>
      </c>
      <c r="Q30" s="854"/>
      <c r="R30" s="855"/>
      <c r="S30" s="855"/>
      <c r="T30" s="855"/>
      <c r="U30" s="855"/>
      <c r="V30" s="855"/>
      <c r="W30" s="855"/>
      <c r="X30" s="855"/>
      <c r="Y30" s="855"/>
      <c r="Z30" s="855"/>
      <c r="AA30" s="855"/>
      <c r="AB30" s="855"/>
      <c r="AC30" s="855"/>
      <c r="AD30" s="856"/>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22.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19" t="s">
        <v>190</v>
      </c>
      <c r="AB33" s="685"/>
      <c r="AC33" s="685"/>
      <c r="AD33" s="686"/>
      <c r="AE33" s="1"/>
      <c r="AF33" s="1"/>
      <c r="AG33" s="38"/>
      <c r="AH33" s="38"/>
      <c r="AI33" s="38"/>
      <c r="AJ33" s="38"/>
      <c r="AK33" s="38"/>
      <c r="AL33" s="38"/>
      <c r="AM33" s="38"/>
      <c r="AN33" s="38"/>
      <c r="AO33" s="38"/>
    </row>
    <row r="34" spans="1:41" ht="112.5" customHeight="1">
      <c r="A34" s="704" t="s">
        <v>220</v>
      </c>
      <c r="B34" s="706">
        <f>SUM(B38,B40,B42)</f>
        <v>0.15000000000000002</v>
      </c>
      <c r="C34" s="214" t="s">
        <v>45</v>
      </c>
      <c r="D34" s="257">
        <v>13</v>
      </c>
      <c r="E34" s="257">
        <v>13</v>
      </c>
      <c r="F34" s="257">
        <v>13</v>
      </c>
      <c r="G34" s="257">
        <v>13</v>
      </c>
      <c r="H34" s="257">
        <v>13</v>
      </c>
      <c r="I34" s="257">
        <v>13</v>
      </c>
      <c r="J34" s="257">
        <v>13</v>
      </c>
      <c r="K34" s="257">
        <v>13</v>
      </c>
      <c r="L34" s="257">
        <v>13</v>
      </c>
      <c r="M34" s="257">
        <v>13</v>
      </c>
      <c r="N34" s="257">
        <v>13</v>
      </c>
      <c r="O34" s="257">
        <v>13</v>
      </c>
      <c r="P34" s="250">
        <f>+O34</f>
        <v>13</v>
      </c>
      <c r="Q34" s="842" t="s">
        <v>221</v>
      </c>
      <c r="R34" s="843"/>
      <c r="S34" s="843"/>
      <c r="T34" s="843"/>
      <c r="U34" s="843"/>
      <c r="V34" s="844"/>
      <c r="W34" s="848" t="s">
        <v>119</v>
      </c>
      <c r="X34" s="849"/>
      <c r="Y34" s="849"/>
      <c r="Z34" s="850"/>
      <c r="AA34" s="848" t="s">
        <v>222</v>
      </c>
      <c r="AB34" s="849"/>
      <c r="AC34" s="849"/>
      <c r="AD34" s="849"/>
      <c r="AE34" s="1">
        <f>LEN(Q34)</f>
        <v>1081</v>
      </c>
      <c r="AF34" s="1"/>
      <c r="AG34" s="38"/>
      <c r="AH34" s="38"/>
      <c r="AI34" s="38"/>
      <c r="AJ34" s="38"/>
      <c r="AK34" s="38"/>
      <c r="AL34" s="38"/>
      <c r="AM34" s="38"/>
      <c r="AN34" s="38"/>
      <c r="AO34" s="38"/>
    </row>
    <row r="35" spans="1:41" ht="112.5" customHeight="1" thickBot="1">
      <c r="A35" s="806"/>
      <c r="B35" s="808"/>
      <c r="C35" s="39" t="s">
        <v>46</v>
      </c>
      <c r="D35" s="176">
        <v>0</v>
      </c>
      <c r="E35" s="287">
        <v>13</v>
      </c>
      <c r="F35" s="386">
        <v>13</v>
      </c>
      <c r="G35" s="176">
        <v>13</v>
      </c>
      <c r="H35" s="176">
        <v>13</v>
      </c>
      <c r="I35" s="176">
        <v>13</v>
      </c>
      <c r="J35" s="176">
        <v>13</v>
      </c>
      <c r="K35" s="176">
        <v>13</v>
      </c>
      <c r="L35" s="176">
        <v>13</v>
      </c>
      <c r="M35" s="176">
        <v>13</v>
      </c>
      <c r="N35" s="176">
        <v>13</v>
      </c>
      <c r="O35" s="176"/>
      <c r="P35" s="387">
        <v>13</v>
      </c>
      <c r="Q35" s="845"/>
      <c r="R35" s="846"/>
      <c r="S35" s="846"/>
      <c r="T35" s="846"/>
      <c r="U35" s="846"/>
      <c r="V35" s="847"/>
      <c r="W35" s="851"/>
      <c r="X35" s="852"/>
      <c r="Y35" s="852"/>
      <c r="Z35" s="853"/>
      <c r="AA35" s="851"/>
      <c r="AB35" s="852"/>
      <c r="AC35" s="852"/>
      <c r="AD35" s="852"/>
      <c r="AE35" s="40"/>
      <c r="AF35" s="1"/>
      <c r="AG35" s="38" t="s">
        <v>223</v>
      </c>
      <c r="AH35" s="38"/>
      <c r="AI35" s="38"/>
      <c r="AJ35" s="38"/>
      <c r="AK35" s="38"/>
      <c r="AL35" s="38"/>
      <c r="AM35" s="38"/>
      <c r="AN35" s="38"/>
      <c r="AO35" s="38"/>
    </row>
    <row r="36" spans="1:41" ht="33" customHeight="1">
      <c r="A36" s="796" t="s">
        <v>27</v>
      </c>
      <c r="B36" s="801" t="s">
        <v>28</v>
      </c>
      <c r="C36" s="683" t="s">
        <v>29</v>
      </c>
      <c r="D36" s="684"/>
      <c r="E36" s="684"/>
      <c r="F36" s="684"/>
      <c r="G36" s="684"/>
      <c r="H36" s="684"/>
      <c r="I36" s="684"/>
      <c r="J36" s="684"/>
      <c r="K36" s="684"/>
      <c r="L36" s="684"/>
      <c r="M36" s="684"/>
      <c r="N36" s="684"/>
      <c r="O36" s="684"/>
      <c r="P36" s="802"/>
      <c r="Q36" s="683" t="s">
        <v>193</v>
      </c>
      <c r="R36" s="684"/>
      <c r="S36" s="684"/>
      <c r="T36" s="684"/>
      <c r="U36" s="684"/>
      <c r="V36" s="684"/>
      <c r="W36" s="684"/>
      <c r="X36" s="684"/>
      <c r="Y36" s="684"/>
      <c r="Z36" s="684"/>
      <c r="AA36" s="684"/>
      <c r="AB36" s="684"/>
      <c r="AC36" s="684"/>
      <c r="AD36" s="741"/>
      <c r="AE36" s="1"/>
      <c r="AF36" s="579">
        <f>AVERAGE(P39,P41,P43)</f>
        <v>0.87770000000000004</v>
      </c>
      <c r="AG36" s="1">
        <f>(AF36*AG37)/AF37</f>
        <v>1.8431700000000002</v>
      </c>
      <c r="AH36" s="38"/>
      <c r="AI36" s="38"/>
      <c r="AJ36" s="38"/>
      <c r="AK36" s="38"/>
      <c r="AL36" s="38"/>
      <c r="AM36" s="38"/>
      <c r="AN36" s="38"/>
      <c r="AO36" s="38"/>
    </row>
    <row r="37" spans="1:41" ht="45" customHeight="1">
      <c r="A37" s="703"/>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689"/>
      <c r="AE37" s="1"/>
      <c r="AF37" s="578">
        <v>1</v>
      </c>
      <c r="AG37" s="44">
        <v>2.1</v>
      </c>
      <c r="AH37" s="41"/>
      <c r="AI37" s="41"/>
      <c r="AJ37" s="41"/>
      <c r="AK37" s="41"/>
      <c r="AL37" s="41"/>
      <c r="AM37" s="41"/>
      <c r="AN37" s="41"/>
      <c r="AO37" s="41"/>
    </row>
    <row r="38" spans="1:41" ht="63" customHeight="1">
      <c r="A38" s="858" t="s">
        <v>224</v>
      </c>
      <c r="B38" s="679">
        <v>0.05</v>
      </c>
      <c r="C38" s="214" t="s">
        <v>45</v>
      </c>
      <c r="D38" s="42">
        <v>0</v>
      </c>
      <c r="E38" s="42">
        <v>0</v>
      </c>
      <c r="F38" s="42">
        <v>0.25</v>
      </c>
      <c r="G38" s="42">
        <v>0</v>
      </c>
      <c r="H38" s="42">
        <v>0</v>
      </c>
      <c r="I38" s="42">
        <v>0.25</v>
      </c>
      <c r="J38" s="42">
        <v>0</v>
      </c>
      <c r="K38" s="42">
        <v>0</v>
      </c>
      <c r="L38" s="42">
        <v>0.25</v>
      </c>
      <c r="M38" s="42">
        <v>0</v>
      </c>
      <c r="N38" s="42">
        <v>0</v>
      </c>
      <c r="O38" s="42">
        <v>0.25</v>
      </c>
      <c r="P38" s="215">
        <f t="shared" ref="P38:P43" si="1">SUM(D38:O38)</f>
        <v>1</v>
      </c>
      <c r="Q38" s="690" t="s">
        <v>225</v>
      </c>
      <c r="R38" s="691"/>
      <c r="S38" s="691"/>
      <c r="T38" s="691"/>
      <c r="U38" s="691"/>
      <c r="V38" s="691"/>
      <c r="W38" s="691"/>
      <c r="X38" s="691"/>
      <c r="Y38" s="691"/>
      <c r="Z38" s="691"/>
      <c r="AA38" s="691"/>
      <c r="AB38" s="691"/>
      <c r="AC38" s="691"/>
      <c r="AD38" s="692"/>
      <c r="AE38" s="560">
        <f t="shared" ref="AE38:AE42" si="2">+LEN(Q38)</f>
        <v>500</v>
      </c>
      <c r="AF38" s="1"/>
      <c r="AG38" s="44"/>
      <c r="AH38" s="44"/>
      <c r="AI38" s="44"/>
      <c r="AJ38" s="44"/>
      <c r="AK38" s="44"/>
      <c r="AL38" s="44"/>
      <c r="AM38" s="44"/>
      <c r="AN38" s="44"/>
      <c r="AO38" s="44"/>
    </row>
    <row r="39" spans="1:41" ht="50.25" customHeight="1">
      <c r="A39" s="703"/>
      <c r="B39" s="678"/>
      <c r="C39" s="45" t="s">
        <v>46</v>
      </c>
      <c r="D39" s="46">
        <v>0</v>
      </c>
      <c r="E39" s="46">
        <v>0.2</v>
      </c>
      <c r="F39" s="46">
        <v>0.05</v>
      </c>
      <c r="G39" s="46">
        <v>0</v>
      </c>
      <c r="H39" s="46">
        <v>0</v>
      </c>
      <c r="I39" s="449">
        <v>0.1</v>
      </c>
      <c r="J39" s="46">
        <v>0.15</v>
      </c>
      <c r="K39" s="48">
        <v>0.03</v>
      </c>
      <c r="L39" s="48">
        <v>0.05</v>
      </c>
      <c r="M39" s="46">
        <v>0.15</v>
      </c>
      <c r="N39" s="46">
        <v>0.03</v>
      </c>
      <c r="O39" s="46"/>
      <c r="P39" s="216">
        <f>SUM(D39:O39)</f>
        <v>0.76000000000000012</v>
      </c>
      <c r="Q39" s="693"/>
      <c r="R39" s="694"/>
      <c r="S39" s="694"/>
      <c r="T39" s="694"/>
      <c r="U39" s="694"/>
      <c r="V39" s="694"/>
      <c r="W39" s="694"/>
      <c r="X39" s="694"/>
      <c r="Y39" s="694"/>
      <c r="Z39" s="694"/>
      <c r="AA39" s="694"/>
      <c r="AB39" s="694"/>
      <c r="AC39" s="694"/>
      <c r="AD39" s="695"/>
      <c r="AE39" s="560"/>
      <c r="AF39" s="1"/>
      <c r="AG39" s="1"/>
      <c r="AH39" s="1"/>
      <c r="AI39" s="1"/>
      <c r="AJ39" s="1"/>
      <c r="AK39" s="1"/>
      <c r="AL39" s="1"/>
      <c r="AM39" s="1"/>
      <c r="AN39" s="1"/>
      <c r="AO39" s="1"/>
    </row>
    <row r="40" spans="1:41" ht="76.5" customHeight="1">
      <c r="A40" s="858" t="s">
        <v>226</v>
      </c>
      <c r="B40" s="673">
        <v>0.05</v>
      </c>
      <c r="C40" s="47" t="s">
        <v>45</v>
      </c>
      <c r="D40" s="42">
        <v>8.3299999999999999E-2</v>
      </c>
      <c r="E40" s="42">
        <v>8.3299999999999999E-2</v>
      </c>
      <c r="F40" s="42">
        <v>8.3299999999999999E-2</v>
      </c>
      <c r="G40" s="42">
        <v>8.3299999999999999E-2</v>
      </c>
      <c r="H40" s="42">
        <v>8.3299999999999999E-2</v>
      </c>
      <c r="I40" s="450">
        <v>8.3299999999999999E-2</v>
      </c>
      <c r="J40" s="42">
        <v>8.3299999999999999E-2</v>
      </c>
      <c r="K40" s="42">
        <v>8.3299999999999999E-2</v>
      </c>
      <c r="L40" s="42">
        <v>8.3299999999999999E-2</v>
      </c>
      <c r="M40" s="42">
        <v>8.3299999999999999E-2</v>
      </c>
      <c r="N40" s="42">
        <v>8.3299999999999999E-2</v>
      </c>
      <c r="O40" s="42">
        <v>8.3299999999999999E-2</v>
      </c>
      <c r="P40" s="216">
        <f>SUM(D40:O40)</f>
        <v>0.99960000000000016</v>
      </c>
      <c r="Q40" s="690" t="s">
        <v>227</v>
      </c>
      <c r="R40" s="691"/>
      <c r="S40" s="691"/>
      <c r="T40" s="691"/>
      <c r="U40" s="691"/>
      <c r="V40" s="691"/>
      <c r="W40" s="691"/>
      <c r="X40" s="691"/>
      <c r="Y40" s="691"/>
      <c r="Z40" s="691"/>
      <c r="AA40" s="691"/>
      <c r="AB40" s="691"/>
      <c r="AC40" s="691"/>
      <c r="AD40" s="692"/>
      <c r="AE40" s="560">
        <f>+LEN(Q40)</f>
        <v>1740</v>
      </c>
      <c r="AF40" s="1"/>
      <c r="AG40" s="1"/>
      <c r="AH40" s="1"/>
      <c r="AI40" s="1"/>
      <c r="AJ40" s="1"/>
      <c r="AK40" s="1"/>
      <c r="AL40" s="1"/>
      <c r="AM40" s="1"/>
      <c r="AN40" s="1"/>
      <c r="AO40" s="1"/>
    </row>
    <row r="41" spans="1:41" ht="79.5" customHeight="1">
      <c r="A41" s="703"/>
      <c r="B41" s="678"/>
      <c r="C41" s="45" t="s">
        <v>46</v>
      </c>
      <c r="D41" s="46">
        <v>8.3299999999999999E-2</v>
      </c>
      <c r="E41" s="46">
        <v>7.0000000000000007E-2</v>
      </c>
      <c r="F41" s="46">
        <v>0.1</v>
      </c>
      <c r="G41" s="46">
        <v>8.3299999999999999E-2</v>
      </c>
      <c r="H41" s="46">
        <v>8.3299999999999999E-2</v>
      </c>
      <c r="I41" s="46">
        <v>8.3299999999999999E-2</v>
      </c>
      <c r="J41" s="46">
        <v>8.3299999999999999E-2</v>
      </c>
      <c r="K41" s="46">
        <v>8.3299999999999999E-2</v>
      </c>
      <c r="L41" s="46">
        <v>8.3299999999999999E-2</v>
      </c>
      <c r="M41" s="48">
        <v>7.0000000000000007E-2</v>
      </c>
      <c r="N41" s="48">
        <v>0.09</v>
      </c>
      <c r="O41" s="48"/>
      <c r="P41" s="216">
        <f t="shared" si="1"/>
        <v>0.91310000000000013</v>
      </c>
      <c r="Q41" s="693"/>
      <c r="R41" s="694"/>
      <c r="S41" s="694"/>
      <c r="T41" s="694"/>
      <c r="U41" s="694"/>
      <c r="V41" s="694"/>
      <c r="W41" s="694"/>
      <c r="X41" s="694"/>
      <c r="Y41" s="694"/>
      <c r="Z41" s="694"/>
      <c r="AA41" s="694"/>
      <c r="AB41" s="694"/>
      <c r="AC41" s="694"/>
      <c r="AD41" s="695"/>
      <c r="AE41" s="560"/>
      <c r="AF41" s="1"/>
      <c r="AG41" s="1"/>
      <c r="AH41" s="1"/>
      <c r="AI41" s="1"/>
      <c r="AJ41" s="1"/>
      <c r="AK41" s="1"/>
      <c r="AL41" s="1"/>
      <c r="AM41" s="1"/>
      <c r="AN41" s="1"/>
      <c r="AO41" s="1"/>
    </row>
    <row r="42" spans="1:41" ht="39" customHeight="1">
      <c r="A42" s="858" t="s">
        <v>228</v>
      </c>
      <c r="B42" s="673">
        <v>0.05</v>
      </c>
      <c r="C42" s="47" t="s">
        <v>45</v>
      </c>
      <c r="D42" s="42">
        <v>0</v>
      </c>
      <c r="E42" s="42">
        <v>0</v>
      </c>
      <c r="F42" s="42">
        <v>0</v>
      </c>
      <c r="G42" s="42">
        <v>0</v>
      </c>
      <c r="H42" s="42">
        <v>0</v>
      </c>
      <c r="I42" s="450">
        <v>0.5</v>
      </c>
      <c r="J42" s="42">
        <v>0</v>
      </c>
      <c r="K42" s="42">
        <v>0</v>
      </c>
      <c r="L42" s="42">
        <v>0</v>
      </c>
      <c r="M42" s="42">
        <v>0</v>
      </c>
      <c r="N42" s="42">
        <v>0.5</v>
      </c>
      <c r="O42" s="42">
        <v>0</v>
      </c>
      <c r="P42" s="216">
        <f t="shared" si="1"/>
        <v>1</v>
      </c>
      <c r="Q42" s="690" t="s">
        <v>229</v>
      </c>
      <c r="R42" s="691"/>
      <c r="S42" s="691"/>
      <c r="T42" s="691"/>
      <c r="U42" s="691"/>
      <c r="V42" s="691"/>
      <c r="W42" s="691"/>
      <c r="X42" s="691"/>
      <c r="Y42" s="691"/>
      <c r="Z42" s="691"/>
      <c r="AA42" s="691"/>
      <c r="AB42" s="691"/>
      <c r="AC42" s="691"/>
      <c r="AD42" s="692"/>
      <c r="AE42" s="560">
        <f t="shared" si="2"/>
        <v>1650</v>
      </c>
      <c r="AF42" s="1"/>
      <c r="AG42" s="1"/>
      <c r="AH42" s="1"/>
      <c r="AI42" s="1"/>
      <c r="AJ42" s="1"/>
      <c r="AK42" s="1"/>
      <c r="AL42" s="1"/>
      <c r="AM42" s="1"/>
      <c r="AN42" s="1"/>
      <c r="AO42" s="1"/>
    </row>
    <row r="43" spans="1:41" ht="100.5" customHeight="1">
      <c r="A43" s="703"/>
      <c r="B43" s="678"/>
      <c r="C43" s="45" t="s">
        <v>46</v>
      </c>
      <c r="D43" s="46">
        <v>0</v>
      </c>
      <c r="E43" s="46">
        <v>0</v>
      </c>
      <c r="F43" s="384">
        <v>0</v>
      </c>
      <c r="G43" s="46">
        <v>0</v>
      </c>
      <c r="H43" s="46">
        <v>0</v>
      </c>
      <c r="I43" s="449">
        <v>0.2</v>
      </c>
      <c r="J43" s="46">
        <v>0.3</v>
      </c>
      <c r="K43" s="48">
        <v>0.03</v>
      </c>
      <c r="L43" s="48">
        <v>0</v>
      </c>
      <c r="M43" s="48">
        <v>0.15</v>
      </c>
      <c r="N43" s="48">
        <v>0.28000000000000003</v>
      </c>
      <c r="O43" s="48"/>
      <c r="P43" s="216">
        <f t="shared" si="1"/>
        <v>0.96000000000000008</v>
      </c>
      <c r="Q43" s="693"/>
      <c r="R43" s="694"/>
      <c r="S43" s="694"/>
      <c r="T43" s="694"/>
      <c r="U43" s="694"/>
      <c r="V43" s="694"/>
      <c r="W43" s="694"/>
      <c r="X43" s="694"/>
      <c r="Y43" s="694"/>
      <c r="Z43" s="694"/>
      <c r="AA43" s="694"/>
      <c r="AB43" s="694"/>
      <c r="AC43" s="694"/>
      <c r="AD43" s="695"/>
      <c r="AE43" s="560"/>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199</v>
      </c>
      <c r="D46" s="74">
        <f t="shared" ref="D46:O46" si="3">AVERAGE(D38,D40,D42)</f>
        <v>2.7766666666666665E-2</v>
      </c>
      <c r="E46" s="74">
        <f t="shared" si="3"/>
        <v>2.7766666666666665E-2</v>
      </c>
      <c r="F46" s="74">
        <f t="shared" si="3"/>
        <v>0.11109999999999999</v>
      </c>
      <c r="G46" s="74">
        <f t="shared" si="3"/>
        <v>2.7766666666666665E-2</v>
      </c>
      <c r="H46" s="74">
        <f t="shared" si="3"/>
        <v>2.7766666666666665E-2</v>
      </c>
      <c r="I46" s="74">
        <f t="shared" si="3"/>
        <v>0.27776666666666666</v>
      </c>
      <c r="J46" s="74">
        <f t="shared" si="3"/>
        <v>2.7766666666666665E-2</v>
      </c>
      <c r="K46" s="74">
        <f t="shared" si="3"/>
        <v>2.7766666666666665E-2</v>
      </c>
      <c r="L46" s="74">
        <f t="shared" si="3"/>
        <v>0.11109999999999999</v>
      </c>
      <c r="M46" s="74">
        <f t="shared" si="3"/>
        <v>2.7766666666666665E-2</v>
      </c>
      <c r="N46" s="74">
        <f>AVERAGE(N38,N40,N42)</f>
        <v>0.19443333333333335</v>
      </c>
      <c r="O46" s="74">
        <f t="shared" si="3"/>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200</v>
      </c>
      <c r="D47" s="75">
        <f t="shared" ref="D47:O47" si="4">AVERAGE(D39,D41,D43)</f>
        <v>2.7766666666666665E-2</v>
      </c>
      <c r="E47" s="75">
        <f t="shared" si="4"/>
        <v>9.0000000000000011E-2</v>
      </c>
      <c r="F47" s="75">
        <f t="shared" si="4"/>
        <v>5.000000000000001E-2</v>
      </c>
      <c r="G47" s="75">
        <f t="shared" si="4"/>
        <v>2.7766666666666665E-2</v>
      </c>
      <c r="H47" s="75">
        <f t="shared" si="4"/>
        <v>2.7766666666666665E-2</v>
      </c>
      <c r="I47" s="75">
        <f t="shared" si="4"/>
        <v>0.12776666666666667</v>
      </c>
      <c r="J47" s="75">
        <f t="shared" si="4"/>
        <v>0.17776666666666666</v>
      </c>
      <c r="K47" s="75">
        <f>AVERAGE(K39,K41,K43)</f>
        <v>4.7766666666666659E-2</v>
      </c>
      <c r="L47" s="75">
        <f>AVERAGE(L39,L41,L43)</f>
        <v>4.4433333333333332E-2</v>
      </c>
      <c r="M47" s="75">
        <f t="shared" si="4"/>
        <v>0.12333333333333334</v>
      </c>
      <c r="N47" s="75">
        <f t="shared" si="4"/>
        <v>0.13333333333333333</v>
      </c>
      <c r="O47" s="75" t="e">
        <f t="shared" si="4"/>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230</v>
      </c>
      <c r="D49" s="77">
        <v>13</v>
      </c>
      <c r="E49" s="77">
        <v>13</v>
      </c>
      <c r="F49" s="77">
        <v>13</v>
      </c>
      <c r="G49" s="77">
        <v>13</v>
      </c>
      <c r="H49" s="77">
        <v>13</v>
      </c>
      <c r="I49" s="77">
        <v>13</v>
      </c>
      <c r="J49" s="77">
        <v>13</v>
      </c>
      <c r="K49" s="77">
        <v>13</v>
      </c>
      <c r="L49" s="77">
        <v>13</v>
      </c>
      <c r="M49" s="77">
        <v>13</v>
      </c>
      <c r="N49" s="77">
        <v>13</v>
      </c>
      <c r="O49" s="77">
        <v>13</v>
      </c>
      <c r="P49" s="1"/>
      <c r="Q49" s="841"/>
      <c r="R49" s="841"/>
      <c r="S49" s="841"/>
      <c r="T49" s="841"/>
      <c r="U49" s="841"/>
      <c r="V49" s="841"/>
      <c r="W49" s="841"/>
      <c r="X49" s="841"/>
      <c r="Y49" s="841"/>
      <c r="Z49" s="841"/>
      <c r="AA49" s="841"/>
      <c r="AB49" s="841"/>
      <c r="AC49" s="841"/>
      <c r="AD49" s="841"/>
      <c r="AE49" s="1"/>
      <c r="AF49" s="1"/>
      <c r="AG49" s="1"/>
      <c r="AH49" s="1"/>
      <c r="AI49" s="1"/>
      <c r="AJ49" s="1"/>
      <c r="AK49" s="1"/>
      <c r="AL49" s="1"/>
      <c r="AM49" s="1"/>
      <c r="AN49" s="1"/>
      <c r="AO49" s="1"/>
    </row>
    <row r="50" spans="1:41" ht="54.6" customHeight="1">
      <c r="A50" s="1"/>
      <c r="B50" s="1"/>
      <c r="C50" s="78" t="s">
        <v>231</v>
      </c>
      <c r="D50" s="79">
        <v>0</v>
      </c>
      <c r="E50" s="79">
        <v>13</v>
      </c>
      <c r="F50" s="385">
        <v>13</v>
      </c>
      <c r="G50" s="79">
        <v>13</v>
      </c>
      <c r="H50" s="79">
        <v>14</v>
      </c>
      <c r="I50" s="79">
        <v>13</v>
      </c>
      <c r="J50" s="79">
        <v>13</v>
      </c>
      <c r="K50" s="79">
        <v>13</v>
      </c>
      <c r="L50" s="79">
        <v>13</v>
      </c>
      <c r="M50" s="577">
        <v>13</v>
      </c>
      <c r="N50" s="79"/>
      <c r="O50" s="79"/>
      <c r="P50" s="1"/>
      <c r="Q50" s="841"/>
      <c r="R50" s="841"/>
      <c r="S50" s="841"/>
      <c r="T50" s="841"/>
      <c r="U50" s="841"/>
      <c r="V50" s="841"/>
      <c r="W50" s="841"/>
      <c r="X50" s="841"/>
      <c r="Y50" s="841"/>
      <c r="Z50" s="841"/>
      <c r="AA50" s="841"/>
      <c r="AB50" s="841"/>
      <c r="AC50" s="841"/>
      <c r="AD50" s="84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78"/>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36:AD36"/>
    <mergeCell ref="Q37:AD37"/>
    <mergeCell ref="Q40:AD41"/>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25" right="0.25" top="0.75" bottom="0.75" header="0.3" footer="0.3"/>
  <pageSetup paperSize="5" scale="3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pageSetUpPr fitToPage="1"/>
  </sheetPr>
  <dimension ref="A1:AO99"/>
  <sheetViews>
    <sheetView showGridLines="0" view="pageBreakPreview" topLeftCell="C1" zoomScale="70" zoomScaleNormal="70" zoomScaleSheetLayoutView="70" workbookViewId="0">
      <selection activeCell="B2" sqref="B2:AA2"/>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5.28515625" bestFit="1" customWidth="1"/>
    <col min="6" max="14" width="12.7109375" customWidth="1"/>
    <col min="15" max="15" width="15.28515625" bestFit="1" customWidth="1"/>
    <col min="16" max="16" width="14.5703125" customWidth="1"/>
    <col min="17" max="17" width="16.7109375" bestFit="1" customWidth="1"/>
    <col min="18" max="18" width="14.42578125" bestFit="1" customWidth="1"/>
    <col min="19" max="22" width="14.85546875" bestFit="1" customWidth="1"/>
    <col min="23" max="24" width="15.28515625" bestFit="1" customWidth="1"/>
    <col min="25" max="25" width="14.85546875" bestFit="1" customWidth="1"/>
    <col min="26" max="27" width="15.28515625" bestFit="1" customWidth="1"/>
    <col min="28" max="28" width="14" bestFit="1" customWidth="1"/>
    <col min="29" max="29" width="17.85546875" bestFit="1"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15"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232</v>
      </c>
      <c r="D17" s="724"/>
      <c r="E17" s="724"/>
      <c r="F17" s="724"/>
      <c r="G17" s="724"/>
      <c r="H17" s="724"/>
      <c r="I17" s="724"/>
      <c r="J17" s="724"/>
      <c r="K17" s="724"/>
      <c r="L17" s="724"/>
      <c r="M17" s="724"/>
      <c r="N17" s="724"/>
      <c r="O17" s="724"/>
      <c r="P17" s="724"/>
      <c r="Q17" s="715"/>
      <c r="R17" s="725" t="s">
        <v>172</v>
      </c>
      <c r="S17" s="724"/>
      <c r="T17" s="724"/>
      <c r="U17" s="724"/>
      <c r="V17" s="715"/>
      <c r="W17" s="867">
        <v>0.25</v>
      </c>
      <c r="X17" s="715"/>
      <c r="Y17" s="723" t="s">
        <v>173</v>
      </c>
      <c r="Z17" s="724"/>
      <c r="AA17" s="724"/>
      <c r="AB17" s="715"/>
      <c r="AC17" s="746">
        <f>+B34</f>
        <v>0.15000000000000002</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68" t="s">
        <v>17</v>
      </c>
      <c r="B22" s="869"/>
      <c r="C22" s="180"/>
      <c r="D22" s="23"/>
      <c r="E22" s="23"/>
      <c r="F22" s="23"/>
      <c r="G22" s="439"/>
      <c r="H22" s="451"/>
      <c r="I22" s="480"/>
      <c r="J22" s="23"/>
      <c r="K22" s="23"/>
      <c r="L22" s="23"/>
      <c r="M22" s="23"/>
      <c r="N22" s="23"/>
      <c r="O22" s="141">
        <f t="shared" ref="O22" si="0">SUM(C22:N22)</f>
        <v>0</v>
      </c>
      <c r="P22" s="244"/>
      <c r="Q22" s="209">
        <v>2207643126</v>
      </c>
      <c r="R22" s="143">
        <v>22500000</v>
      </c>
      <c r="S22" s="143"/>
      <c r="T22" s="143">
        <v>19980500</v>
      </c>
      <c r="U22" s="143">
        <f>1000000+2380000+2000000+104025833+16000000+22500000</f>
        <v>147905833</v>
      </c>
      <c r="V22" s="455">
        <v>10479506</v>
      </c>
      <c r="W22" s="143">
        <v>15000000</v>
      </c>
      <c r="X22" s="143">
        <f>40000000+37500000</f>
        <v>77500000</v>
      </c>
      <c r="Y22" s="143"/>
      <c r="Z22" s="143">
        <v>20262845</v>
      </c>
      <c r="AA22" s="143"/>
      <c r="AB22" s="143"/>
      <c r="AC22" s="141">
        <f t="shared" ref="AC22:AC23" si="1">SUM(Q22:AB22)</f>
        <v>2521271810</v>
      </c>
      <c r="AD22" s="24"/>
      <c r="AE22" s="559">
        <v>2521271810</v>
      </c>
      <c r="AF22" s="18">
        <f>+AC22-AE22</f>
        <v>0</v>
      </c>
      <c r="AG22" s="1"/>
      <c r="AH22" s="1"/>
      <c r="AI22" s="1"/>
      <c r="AJ22" s="1"/>
      <c r="AK22" s="1"/>
      <c r="AL22" s="1"/>
      <c r="AM22" s="1"/>
      <c r="AN22" s="1"/>
      <c r="AO22" s="1"/>
    </row>
    <row r="23" spans="1:41" ht="31.5" customHeight="1">
      <c r="A23" s="870" t="s">
        <v>18</v>
      </c>
      <c r="B23" s="871"/>
      <c r="C23" s="153">
        <v>82795794</v>
      </c>
      <c r="D23" s="26"/>
      <c r="E23" s="153">
        <v>-2744000</v>
      </c>
      <c r="F23" s="26">
        <v>0</v>
      </c>
      <c r="G23" s="437">
        <v>-205003</v>
      </c>
      <c r="H23" s="452">
        <v>0</v>
      </c>
      <c r="I23" s="478">
        <v>0</v>
      </c>
      <c r="J23" s="26">
        <v>0</v>
      </c>
      <c r="K23" s="26">
        <v>0</v>
      </c>
      <c r="L23" s="26">
        <v>0</v>
      </c>
      <c r="M23" s="26">
        <v>2</v>
      </c>
      <c r="N23" s="26"/>
      <c r="O23" s="27">
        <f>SUM(C23:N23)</f>
        <v>79846793</v>
      </c>
      <c r="P23" s="424" t="str">
        <f>IFERROR(O23/(SUMIF(C23:N23,"&gt;0",C22:N22))," ")</f>
        <v xml:space="preserve"> </v>
      </c>
      <c r="Q23" s="428">
        <v>2170219796</v>
      </c>
      <c r="R23" s="28">
        <v>0</v>
      </c>
      <c r="S23" s="421">
        <v>-3824755</v>
      </c>
      <c r="T23" s="421">
        <v>4605844</v>
      </c>
      <c r="U23" s="421">
        <v>21830326</v>
      </c>
      <c r="V23" s="456">
        <v>26006458</v>
      </c>
      <c r="W23" s="28">
        <v>0</v>
      </c>
      <c r="X23" s="144">
        <v>130400000</v>
      </c>
      <c r="Y23" s="144">
        <f>56562638-432891</f>
        <v>56129747</v>
      </c>
      <c r="Z23" s="144">
        <v>47393996</v>
      </c>
      <c r="AA23" s="144">
        <v>1776839</v>
      </c>
      <c r="AB23" s="28"/>
      <c r="AC23" s="571">
        <f t="shared" si="1"/>
        <v>2454538251</v>
      </c>
      <c r="AD23" s="572">
        <f>AC23/AC22</f>
        <v>0.97353178711818467</v>
      </c>
      <c r="AE23" s="354" t="s">
        <v>175</v>
      </c>
      <c r="AF23" s="18"/>
      <c r="AG23" s="1"/>
      <c r="AH23" s="1"/>
      <c r="AI23" s="1"/>
      <c r="AJ23" s="1"/>
      <c r="AK23" s="1"/>
      <c r="AL23" s="1"/>
      <c r="AM23" s="1"/>
      <c r="AN23" s="1"/>
      <c r="AO23" s="1"/>
    </row>
    <row r="24" spans="1:41" ht="31.5" customHeight="1">
      <c r="A24" s="870" t="s">
        <v>19</v>
      </c>
      <c r="B24" s="871"/>
      <c r="C24" s="181"/>
      <c r="D24" s="26">
        <v>12368266</v>
      </c>
      <c r="E24" s="27">
        <f>(69252528+E23)-205001</f>
        <v>66303527</v>
      </c>
      <c r="F24" s="26">
        <v>1175000</v>
      </c>
      <c r="G24" s="438"/>
      <c r="H24" s="453"/>
      <c r="I24" s="28"/>
      <c r="J24" s="27"/>
      <c r="K24" s="27"/>
      <c r="L24" s="27"/>
      <c r="M24" s="27"/>
      <c r="N24" s="27"/>
      <c r="O24" s="571">
        <f>SUM(C24:N24)</f>
        <v>79846793</v>
      </c>
      <c r="P24" s="245"/>
      <c r="Q24" s="426"/>
      <c r="R24" s="144">
        <v>102901451.99999993</v>
      </c>
      <c r="S24" s="429">
        <v>191360940</v>
      </c>
      <c r="T24" s="144">
        <v>194735940</v>
      </c>
      <c r="U24" s="144">
        <v>193580996</v>
      </c>
      <c r="V24" s="452">
        <v>213334225</v>
      </c>
      <c r="W24" s="478">
        <v>222584225</v>
      </c>
      <c r="X24" s="144">
        <v>230877557</v>
      </c>
      <c r="Y24" s="144">
        <v>217063730</v>
      </c>
      <c r="Z24" s="144">
        <v>223377557</v>
      </c>
      <c r="AA24" s="144">
        <v>239459225</v>
      </c>
      <c r="AB24" s="144">
        <f>228877559+242855559</f>
        <v>471733118</v>
      </c>
      <c r="AC24" s="27">
        <f>SUM(R24:AB24)</f>
        <v>2501008965</v>
      </c>
      <c r="AD24" s="29"/>
      <c r="AE24" s="18"/>
      <c r="AF24" s="18"/>
      <c r="AG24" s="1"/>
      <c r="AH24" s="1"/>
      <c r="AI24" s="1"/>
      <c r="AJ24" s="1"/>
      <c r="AK24" s="1"/>
      <c r="AL24" s="1"/>
      <c r="AM24" s="1"/>
      <c r="AN24" s="1"/>
      <c r="AO24" s="1"/>
    </row>
    <row r="25" spans="1:41" ht="31.5" customHeight="1" thickBot="1">
      <c r="A25" s="872" t="s">
        <v>20</v>
      </c>
      <c r="B25" s="873"/>
      <c r="C25" s="182">
        <v>7349999.9999999991</v>
      </c>
      <c r="D25" s="32">
        <v>2274267</v>
      </c>
      <c r="E25" s="32">
        <f>63949245+E23</f>
        <v>61205245</v>
      </c>
      <c r="F25" s="32">
        <v>1175000</v>
      </c>
      <c r="G25" s="435">
        <v>2455084</v>
      </c>
      <c r="H25" s="454">
        <v>2004084</v>
      </c>
      <c r="I25" s="479">
        <v>2004084</v>
      </c>
      <c r="J25" s="32">
        <v>1379029</v>
      </c>
      <c r="K25" s="32">
        <v>0</v>
      </c>
      <c r="L25" s="32">
        <v>0</v>
      </c>
      <c r="M25" s="32">
        <v>0</v>
      </c>
      <c r="N25" s="32"/>
      <c r="O25" s="33">
        <f>SUM(C25:N25)</f>
        <v>79846793</v>
      </c>
      <c r="P25" s="427">
        <f>O25/O24</f>
        <v>1</v>
      </c>
      <c r="Q25" s="31"/>
      <c r="R25" s="32">
        <v>33390260</v>
      </c>
      <c r="S25" s="32">
        <v>185862787</v>
      </c>
      <c r="T25" s="32">
        <v>190808174</v>
      </c>
      <c r="U25" s="32">
        <v>191961100</v>
      </c>
      <c r="V25" s="454">
        <v>218945781</v>
      </c>
      <c r="W25" s="479">
        <v>195243358</v>
      </c>
      <c r="X25" s="32">
        <v>193354576</v>
      </c>
      <c r="Y25" s="32">
        <v>198278040</v>
      </c>
      <c r="Z25" s="32">
        <v>230660292</v>
      </c>
      <c r="AA25" s="32">
        <v>233481848</v>
      </c>
      <c r="AB25" s="32"/>
      <c r="AC25" s="33">
        <f>SUM(Q25:AB25)</f>
        <v>1871986216</v>
      </c>
      <c r="AD25" s="34">
        <f>AC25/AC24</f>
        <v>0.74849240534409678</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55.5" customHeight="1" thickBot="1">
      <c r="A30" s="36" t="s">
        <v>233</v>
      </c>
      <c r="B30" s="863">
        <f>+D30</f>
        <v>8.9999999999999993E-3</v>
      </c>
      <c r="C30" s="800"/>
      <c r="D30" s="258">
        <v>8.9999999999999993E-3</v>
      </c>
      <c r="E30" s="288"/>
      <c r="F30" s="73"/>
      <c r="G30" s="247"/>
      <c r="H30" s="247"/>
      <c r="I30" s="247"/>
      <c r="J30" s="247"/>
      <c r="K30" s="247"/>
      <c r="L30" s="247"/>
      <c r="M30" s="247"/>
      <c r="N30" s="247"/>
      <c r="O30" s="247"/>
      <c r="P30" s="409">
        <f>SUM(D30:O30)</f>
        <v>8.9999999999999993E-3</v>
      </c>
      <c r="Q30" s="739"/>
      <c r="R30" s="688"/>
      <c r="S30" s="688"/>
      <c r="T30" s="688"/>
      <c r="U30" s="688"/>
      <c r="V30" s="688"/>
      <c r="W30" s="688"/>
      <c r="X30" s="688"/>
      <c r="Y30" s="688"/>
      <c r="Z30" s="688"/>
      <c r="AA30" s="688"/>
      <c r="AB30" s="688"/>
      <c r="AC30" s="688"/>
      <c r="AD30" s="689"/>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22.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29" t="s">
        <v>190</v>
      </c>
      <c r="AB33" s="727"/>
      <c r="AC33" s="727"/>
      <c r="AD33" s="641"/>
      <c r="AE33" s="1"/>
      <c r="AF33" s="1"/>
      <c r="AG33" s="38"/>
      <c r="AH33" s="38"/>
      <c r="AI33" s="38"/>
      <c r="AJ33" s="38"/>
      <c r="AK33" s="38"/>
      <c r="AL33" s="38"/>
      <c r="AM33" s="38"/>
      <c r="AN33" s="38"/>
      <c r="AO33" s="38"/>
    </row>
    <row r="34" spans="1:41" ht="99" customHeight="1">
      <c r="A34" s="704" t="s">
        <v>233</v>
      </c>
      <c r="B34" s="706">
        <f>SUM(B38,B40,B42)</f>
        <v>0.15000000000000002</v>
      </c>
      <c r="C34" s="214" t="s">
        <v>45</v>
      </c>
      <c r="D34" s="259">
        <f>+(D49+D30)*$W$17</f>
        <v>2.3083333333333331E-2</v>
      </c>
      <c r="E34" s="259">
        <f t="shared" ref="E34:O34" si="2">+E49*$W$17</f>
        <v>2.0833333333333332E-2</v>
      </c>
      <c r="F34" s="259">
        <f t="shared" si="2"/>
        <v>2.0833333333333332E-2</v>
      </c>
      <c r="G34" s="259">
        <f t="shared" si="2"/>
        <v>2.0833333333333332E-2</v>
      </c>
      <c r="H34" s="259">
        <f t="shared" si="2"/>
        <v>2.0833333333333332E-2</v>
      </c>
      <c r="I34" s="259">
        <f t="shared" si="2"/>
        <v>2.0833333333333332E-2</v>
      </c>
      <c r="J34" s="259">
        <f t="shared" si="2"/>
        <v>2.0833333333333332E-2</v>
      </c>
      <c r="K34" s="259">
        <f t="shared" si="2"/>
        <v>2.0833333333333332E-2</v>
      </c>
      <c r="L34" s="259">
        <f t="shared" si="2"/>
        <v>2.0833333333333332E-2</v>
      </c>
      <c r="M34" s="259">
        <f t="shared" si="2"/>
        <v>2.0833333333333332E-2</v>
      </c>
      <c r="N34" s="259">
        <f t="shared" si="2"/>
        <v>2.0833333333333332E-2</v>
      </c>
      <c r="O34" s="259">
        <f t="shared" si="2"/>
        <v>2.0833333333333332E-2</v>
      </c>
      <c r="P34" s="260">
        <f t="shared" ref="P34" si="3">SUM(D34:O34)</f>
        <v>0.25225000000000003</v>
      </c>
      <c r="Q34" s="842" t="s">
        <v>234</v>
      </c>
      <c r="R34" s="843"/>
      <c r="S34" s="843"/>
      <c r="T34" s="843"/>
      <c r="U34" s="843"/>
      <c r="V34" s="844"/>
      <c r="W34" s="848" t="s">
        <v>119</v>
      </c>
      <c r="X34" s="849"/>
      <c r="Y34" s="849"/>
      <c r="Z34" s="849"/>
      <c r="AA34" s="862" t="s">
        <v>235</v>
      </c>
      <c r="AB34" s="862"/>
      <c r="AC34" s="862"/>
      <c r="AD34" s="862"/>
      <c r="AE34" s="251"/>
      <c r="AF34" s="1"/>
      <c r="AG34" s="38"/>
      <c r="AH34" s="38"/>
      <c r="AI34" s="38"/>
      <c r="AJ34" s="38"/>
      <c r="AK34" s="38"/>
      <c r="AL34" s="38"/>
      <c r="AM34" s="38"/>
      <c r="AN34" s="38"/>
      <c r="AO34" s="38"/>
    </row>
    <row r="35" spans="1:41" ht="99" customHeight="1">
      <c r="A35" s="806"/>
      <c r="B35" s="808"/>
      <c r="C35" s="39" t="s">
        <v>46</v>
      </c>
      <c r="D35" s="297">
        <f>+(D50+D30)*$W$17</f>
        <v>1.613888888888889E-2</v>
      </c>
      <c r="E35" s="297">
        <f>+(E50+E30)*$W$17</f>
        <v>2.0833333333333332E-2</v>
      </c>
      <c r="F35" s="297">
        <f>+(F50+F30)*$W$17</f>
        <v>2.7222222222222221E-2</v>
      </c>
      <c r="G35" s="297">
        <f>+(G50+G30)*$W$17</f>
        <v>2.0833333333333332E-2</v>
      </c>
      <c r="H35" s="297">
        <v>2.1000000000000001E-2</v>
      </c>
      <c r="I35" s="297">
        <v>0.02</v>
      </c>
      <c r="J35" s="297">
        <v>0.02</v>
      </c>
      <c r="K35" s="297">
        <v>0.02</v>
      </c>
      <c r="L35" s="297">
        <v>0.02</v>
      </c>
      <c r="M35" s="297">
        <v>0.02</v>
      </c>
      <c r="N35" s="297">
        <v>0.02</v>
      </c>
      <c r="O35" s="297"/>
      <c r="P35" s="297">
        <f>SUM(D35:O35)</f>
        <v>0.22602777777777772</v>
      </c>
      <c r="Q35" s="845"/>
      <c r="R35" s="846"/>
      <c r="S35" s="846"/>
      <c r="T35" s="846"/>
      <c r="U35" s="846"/>
      <c r="V35" s="847"/>
      <c r="W35" s="851"/>
      <c r="X35" s="852"/>
      <c r="Y35" s="852"/>
      <c r="Z35" s="852"/>
      <c r="AA35" s="862"/>
      <c r="AB35" s="862"/>
      <c r="AC35" s="862"/>
      <c r="AD35" s="862"/>
      <c r="AE35" s="590"/>
      <c r="AF35" s="1"/>
      <c r="AG35" s="38"/>
      <c r="AH35" s="38"/>
      <c r="AI35" s="38"/>
      <c r="AJ35" s="38"/>
      <c r="AK35" s="38"/>
      <c r="AL35" s="38"/>
      <c r="AM35" s="38"/>
      <c r="AN35" s="38"/>
      <c r="AO35" s="38"/>
    </row>
    <row r="36" spans="1:41" ht="34.5" customHeight="1">
      <c r="A36" s="796" t="s">
        <v>27</v>
      </c>
      <c r="B36" s="801" t="s">
        <v>28</v>
      </c>
      <c r="C36" s="683" t="s">
        <v>29</v>
      </c>
      <c r="D36" s="684"/>
      <c r="E36" s="684"/>
      <c r="F36" s="684"/>
      <c r="G36" s="684"/>
      <c r="H36" s="684"/>
      <c r="I36" s="684"/>
      <c r="J36" s="684"/>
      <c r="K36" s="684"/>
      <c r="L36" s="684"/>
      <c r="M36" s="684"/>
      <c r="N36" s="684"/>
      <c r="O36" s="684"/>
      <c r="P36" s="802"/>
      <c r="Q36" s="683" t="s">
        <v>193</v>
      </c>
      <c r="R36" s="684"/>
      <c r="S36" s="684"/>
      <c r="T36" s="684"/>
      <c r="U36" s="684"/>
      <c r="V36" s="684"/>
      <c r="W36" s="684"/>
      <c r="X36" s="684"/>
      <c r="Y36" s="684"/>
      <c r="Z36" s="684"/>
      <c r="AA36" s="685"/>
      <c r="AB36" s="685"/>
      <c r="AC36" s="685"/>
      <c r="AD36" s="686"/>
      <c r="AE36" s="1"/>
      <c r="AF36" s="1"/>
      <c r="AG36" s="38"/>
      <c r="AH36" s="38"/>
      <c r="AI36" s="38"/>
      <c r="AJ36" s="38"/>
      <c r="AK36" s="38"/>
      <c r="AL36" s="38"/>
      <c r="AM36" s="38"/>
      <c r="AN36" s="38"/>
      <c r="AO36" s="38"/>
    </row>
    <row r="37" spans="1:41" ht="48" customHeight="1">
      <c r="A37" s="703"/>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689"/>
      <c r="AE37" s="1"/>
      <c r="AF37" s="1"/>
      <c r="AG37" s="41"/>
      <c r="AH37" s="41"/>
      <c r="AI37" s="41"/>
      <c r="AJ37" s="41"/>
      <c r="AK37" s="41"/>
      <c r="AL37" s="41"/>
      <c r="AM37" s="41"/>
      <c r="AN37" s="41"/>
      <c r="AO37" s="41"/>
    </row>
    <row r="38" spans="1:41" s="1" customFormat="1" ht="49.5" customHeight="1">
      <c r="A38" s="864" t="s">
        <v>236</v>
      </c>
      <c r="B38" s="679">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3" si="4">SUM(D38:O38)</f>
        <v>1.0000000000000002</v>
      </c>
      <c r="Q38" s="690" t="s">
        <v>237</v>
      </c>
      <c r="R38" s="691"/>
      <c r="S38" s="691"/>
      <c r="T38" s="691"/>
      <c r="U38" s="691"/>
      <c r="V38" s="691"/>
      <c r="W38" s="691"/>
      <c r="X38" s="691"/>
      <c r="Y38" s="691"/>
      <c r="Z38" s="691"/>
      <c r="AA38" s="691"/>
      <c r="AB38" s="691"/>
      <c r="AC38" s="691"/>
      <c r="AD38" s="692"/>
      <c r="AE38" s="230"/>
      <c r="AG38" s="44"/>
      <c r="AH38" s="44"/>
      <c r="AI38" s="44"/>
      <c r="AJ38" s="44"/>
      <c r="AK38" s="44"/>
      <c r="AL38" s="44"/>
      <c r="AM38" s="44"/>
      <c r="AN38" s="44"/>
      <c r="AO38" s="44"/>
    </row>
    <row r="39" spans="1:41" s="1" customFormat="1" ht="49.5" customHeight="1">
      <c r="A39" s="865"/>
      <c r="B39" s="866"/>
      <c r="C39" s="45" t="s">
        <v>46</v>
      </c>
      <c r="D39" s="46">
        <v>8.3333333333333343E-2</v>
      </c>
      <c r="E39" s="46">
        <v>8.3333333333333343E-2</v>
      </c>
      <c r="F39" s="46">
        <v>8.3333333333333343E-2</v>
      </c>
      <c r="G39" s="46">
        <v>8.3333333333333343E-2</v>
      </c>
      <c r="H39" s="46">
        <v>8.3333333333333343E-2</v>
      </c>
      <c r="I39" s="46">
        <v>8.3333333333333343E-2</v>
      </c>
      <c r="J39" s="46">
        <v>8.3333333333333343E-2</v>
      </c>
      <c r="K39" s="46">
        <v>8.3333333333333343E-2</v>
      </c>
      <c r="L39" s="46">
        <v>8.3333333333333343E-2</v>
      </c>
      <c r="M39" s="46">
        <v>8.3333333333333343E-2</v>
      </c>
      <c r="N39" s="46">
        <v>8.3333333333333343E-2</v>
      </c>
      <c r="O39" s="46"/>
      <c r="P39" s="216">
        <f t="shared" si="4"/>
        <v>0.91666666666666696</v>
      </c>
      <c r="Q39" s="693"/>
      <c r="R39" s="694"/>
      <c r="S39" s="694"/>
      <c r="T39" s="694"/>
      <c r="U39" s="694"/>
      <c r="V39" s="694"/>
      <c r="W39" s="694"/>
      <c r="X39" s="694"/>
      <c r="Y39" s="694"/>
      <c r="Z39" s="694"/>
      <c r="AA39" s="694"/>
      <c r="AB39" s="694"/>
      <c r="AC39" s="694"/>
      <c r="AD39" s="695"/>
      <c r="AE39" s="560">
        <f>+LEN(Q38)</f>
        <v>785</v>
      </c>
    </row>
    <row r="40" spans="1:41" ht="62.25" customHeight="1">
      <c r="A40" s="864" t="s">
        <v>238</v>
      </c>
      <c r="B40" s="673">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8.3333333333333301E-2</v>
      </c>
      <c r="M40" s="42">
        <v>8.3333333333333343E-2</v>
      </c>
      <c r="N40" s="42">
        <v>8.3333333333333343E-2</v>
      </c>
      <c r="O40" s="42">
        <v>8.3333333333333343E-2</v>
      </c>
      <c r="P40" s="216">
        <f t="shared" si="4"/>
        <v>1.0000000000000002</v>
      </c>
      <c r="Q40" s="690" t="s">
        <v>239</v>
      </c>
      <c r="R40" s="691"/>
      <c r="S40" s="691"/>
      <c r="T40" s="691"/>
      <c r="U40" s="691"/>
      <c r="V40" s="691"/>
      <c r="W40" s="691"/>
      <c r="X40" s="691"/>
      <c r="Y40" s="691"/>
      <c r="Z40" s="691"/>
      <c r="AA40" s="691"/>
      <c r="AB40" s="691"/>
      <c r="AC40" s="691"/>
      <c r="AD40" s="692"/>
      <c r="AE40" s="580"/>
      <c r="AF40" s="1"/>
      <c r="AG40" s="1"/>
      <c r="AH40" s="1"/>
      <c r="AI40" s="1"/>
      <c r="AJ40" s="1"/>
      <c r="AK40" s="1"/>
      <c r="AL40" s="1"/>
      <c r="AM40" s="1"/>
      <c r="AN40" s="1"/>
      <c r="AO40" s="1"/>
    </row>
    <row r="41" spans="1:41" ht="62.25" customHeight="1">
      <c r="A41" s="703"/>
      <c r="B41" s="678"/>
      <c r="C41" s="576"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6">
        <v>8.3333333333333343E-2</v>
      </c>
      <c r="N41" s="46">
        <v>8.3333333333333343E-2</v>
      </c>
      <c r="O41" s="48"/>
      <c r="P41" s="216">
        <f t="shared" si="4"/>
        <v>0.91666666666666696</v>
      </c>
      <c r="Q41" s="693"/>
      <c r="R41" s="694"/>
      <c r="S41" s="694"/>
      <c r="T41" s="694"/>
      <c r="U41" s="694"/>
      <c r="V41" s="694"/>
      <c r="W41" s="694"/>
      <c r="X41" s="694"/>
      <c r="Y41" s="694"/>
      <c r="Z41" s="694"/>
      <c r="AA41" s="694"/>
      <c r="AB41" s="694"/>
      <c r="AC41" s="694"/>
      <c r="AD41" s="695"/>
      <c r="AE41" s="580">
        <f t="shared" ref="AE41:AE42" si="5">+LEN(Q40)</f>
        <v>1228</v>
      </c>
      <c r="AF41" s="1"/>
      <c r="AG41" s="1"/>
      <c r="AH41" s="1"/>
      <c r="AI41" s="1"/>
      <c r="AJ41" s="1"/>
      <c r="AK41" s="1"/>
      <c r="AL41" s="1"/>
      <c r="AM41" s="1"/>
      <c r="AN41" s="1"/>
      <c r="AO41" s="1"/>
    </row>
    <row r="42" spans="1:41" ht="75.75" customHeight="1">
      <c r="A42" s="864" t="s">
        <v>240</v>
      </c>
      <c r="B42" s="673">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8.3333333333333301E-2</v>
      </c>
      <c r="N42" s="42">
        <v>8.3333333333333343E-2</v>
      </c>
      <c r="O42" s="42">
        <v>8.3333333333333343E-2</v>
      </c>
      <c r="P42" s="216">
        <f t="shared" si="4"/>
        <v>1.0000000000000002</v>
      </c>
      <c r="Q42" s="690" t="s">
        <v>241</v>
      </c>
      <c r="R42" s="691"/>
      <c r="S42" s="691"/>
      <c r="T42" s="691"/>
      <c r="U42" s="691"/>
      <c r="V42" s="691"/>
      <c r="W42" s="691"/>
      <c r="X42" s="691"/>
      <c r="Y42" s="691"/>
      <c r="Z42" s="691"/>
      <c r="AA42" s="691"/>
      <c r="AB42" s="691"/>
      <c r="AC42" s="691"/>
      <c r="AD42" s="692"/>
      <c r="AE42" s="580">
        <f t="shared" si="5"/>
        <v>0</v>
      </c>
      <c r="AF42" s="1"/>
      <c r="AG42" s="1"/>
      <c r="AH42" s="1"/>
      <c r="AI42" s="1"/>
      <c r="AJ42" s="1"/>
      <c r="AK42" s="1"/>
      <c r="AL42" s="1"/>
      <c r="AM42" s="1"/>
      <c r="AN42" s="1"/>
      <c r="AO42" s="1"/>
    </row>
    <row r="43" spans="1:41" ht="75.75" customHeight="1">
      <c r="A43" s="703"/>
      <c r="B43" s="678"/>
      <c r="C43" s="45" t="s">
        <v>46</v>
      </c>
      <c r="D43" s="210">
        <v>0</v>
      </c>
      <c r="E43" s="210">
        <v>8.3333333333333343E-2</v>
      </c>
      <c r="F43" s="210">
        <v>0.16</v>
      </c>
      <c r="G43" s="210">
        <v>8.3333333333333343E-2</v>
      </c>
      <c r="H43" s="210">
        <v>8.3333333333333343E-2</v>
      </c>
      <c r="I43" s="210">
        <v>8.3333333333333343E-2</v>
      </c>
      <c r="J43" s="210">
        <v>8.3333333333333343E-2</v>
      </c>
      <c r="K43" s="210">
        <v>8.3333333333333343E-2</v>
      </c>
      <c r="L43" s="210">
        <v>8.3333333333333343E-2</v>
      </c>
      <c r="M43" s="210">
        <v>8.3333333333333343E-2</v>
      </c>
      <c r="N43" s="210">
        <v>8.3333333333333343E-2</v>
      </c>
      <c r="O43" s="48"/>
      <c r="P43" s="216">
        <f t="shared" si="4"/>
        <v>0.91000000000000025</v>
      </c>
      <c r="Q43" s="693"/>
      <c r="R43" s="694"/>
      <c r="S43" s="694"/>
      <c r="T43" s="694"/>
      <c r="U43" s="694"/>
      <c r="V43" s="694"/>
      <c r="W43" s="694"/>
      <c r="X43" s="694"/>
      <c r="Y43" s="694"/>
      <c r="Z43" s="694"/>
      <c r="AA43" s="694"/>
      <c r="AB43" s="694"/>
      <c r="AC43" s="694"/>
      <c r="AD43" s="695"/>
      <c r="AE43" s="580"/>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715</v>
      </c>
      <c r="R48" s="1">
        <f>+LEN(Q51)</f>
        <v>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199</v>
      </c>
      <c r="D49" s="74">
        <f t="shared" ref="D49:O49" si="6">AVERAGE(D38,D40,D42)</f>
        <v>8.3333333333333329E-2</v>
      </c>
      <c r="E49" s="74">
        <f t="shared" si="6"/>
        <v>8.3333333333333329E-2</v>
      </c>
      <c r="F49" s="74">
        <f t="shared" si="6"/>
        <v>8.3333333333333329E-2</v>
      </c>
      <c r="G49" s="74">
        <f t="shared" si="6"/>
        <v>8.3333333333333329E-2</v>
      </c>
      <c r="H49" s="74">
        <f t="shared" si="6"/>
        <v>8.3333333333333329E-2</v>
      </c>
      <c r="I49" s="74">
        <f t="shared" si="6"/>
        <v>8.3333333333333329E-2</v>
      </c>
      <c r="J49" s="74">
        <f t="shared" si="6"/>
        <v>8.3333333333333329E-2</v>
      </c>
      <c r="K49" s="74">
        <f t="shared" si="6"/>
        <v>8.3333333333333329E-2</v>
      </c>
      <c r="L49" s="74">
        <f t="shared" si="6"/>
        <v>8.3333333333333329E-2</v>
      </c>
      <c r="M49" s="74">
        <f t="shared" si="6"/>
        <v>8.3333333333333329E-2</v>
      </c>
      <c r="N49" s="74">
        <f t="shared" si="6"/>
        <v>8.3333333333333329E-2</v>
      </c>
      <c r="O49" s="74">
        <f t="shared" si="6"/>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200</v>
      </c>
      <c r="D50" s="75">
        <f t="shared" ref="D50:O50" si="7">AVERAGE(D39,D41,D43)</f>
        <v>5.5555555555555559E-2</v>
      </c>
      <c r="E50" s="75">
        <f t="shared" si="7"/>
        <v>8.3333333333333329E-2</v>
      </c>
      <c r="F50" s="420">
        <f t="shared" si="7"/>
        <v>0.10888888888888888</v>
      </c>
      <c r="G50" s="75">
        <f t="shared" si="7"/>
        <v>8.3333333333333329E-2</v>
      </c>
      <c r="H50" s="75">
        <f t="shared" si="7"/>
        <v>8.3333333333333329E-2</v>
      </c>
      <c r="I50" s="75">
        <f t="shared" si="7"/>
        <v>8.3333333333333329E-2</v>
      </c>
      <c r="J50" s="75">
        <f t="shared" si="7"/>
        <v>8.3333333333333329E-2</v>
      </c>
      <c r="K50" s="75">
        <f t="shared" si="7"/>
        <v>8.3333333333333329E-2</v>
      </c>
      <c r="L50" s="75">
        <f t="shared" si="7"/>
        <v>8.3333333333333329E-2</v>
      </c>
      <c r="M50" s="75">
        <f t="shared" si="7"/>
        <v>8.3333333333333329E-2</v>
      </c>
      <c r="N50" s="75">
        <f t="shared" si="7"/>
        <v>8.3333333333333329E-2</v>
      </c>
      <c r="O50" s="75" t="e">
        <f t="shared" si="7"/>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1" t="s">
        <v>242</v>
      </c>
      <c r="D51" s="82"/>
      <c r="E51" s="388"/>
      <c r="F51" s="412"/>
      <c r="G51" s="82"/>
      <c r="H51" s="82"/>
      <c r="I51" s="82"/>
      <c r="J51" s="82"/>
      <c r="K51" s="82"/>
      <c r="L51" s="82"/>
      <c r="M51" s="82"/>
      <c r="N51" s="82"/>
      <c r="O51" s="82"/>
      <c r="P51" s="1"/>
      <c r="Q51" s="861"/>
      <c r="R51" s="861"/>
      <c r="S51" s="861"/>
      <c r="T51" s="861"/>
      <c r="U51" s="861"/>
      <c r="V51" s="861"/>
      <c r="W51" s="861"/>
      <c r="X51" s="861"/>
      <c r="Y51" s="861"/>
      <c r="Z51" s="861"/>
      <c r="AA51" s="861"/>
      <c r="AB51" s="861"/>
      <c r="AC51" s="861"/>
      <c r="AD51" s="861"/>
      <c r="AE51" s="1"/>
      <c r="AF51" s="1"/>
      <c r="AG51" s="1"/>
      <c r="AH51" s="1"/>
      <c r="AI51" s="1"/>
      <c r="AJ51" s="1"/>
      <c r="AK51" s="1"/>
      <c r="AL51" s="1"/>
      <c r="AM51" s="1"/>
      <c r="AN51" s="1"/>
      <c r="AO51" s="1"/>
    </row>
    <row r="52" spans="1:41" ht="66.599999999999994" customHeight="1">
      <c r="A52" s="1"/>
      <c r="B52" s="1"/>
      <c r="C52" s="431" t="s">
        <v>243</v>
      </c>
      <c r="D52" s="83"/>
      <c r="E52" s="389">
        <v>8</v>
      </c>
      <c r="F52" s="413"/>
      <c r="G52" s="83"/>
      <c r="H52" s="83"/>
      <c r="I52" s="83"/>
      <c r="J52" s="83"/>
      <c r="K52" s="83"/>
      <c r="L52" s="83"/>
      <c r="M52" s="83"/>
      <c r="N52" s="83"/>
      <c r="O52" s="83"/>
      <c r="P52" s="1"/>
      <c r="Q52" s="390"/>
      <c r="R52" s="390"/>
      <c r="S52" s="390"/>
      <c r="T52" s="390"/>
      <c r="U52" s="390"/>
      <c r="V52" s="390"/>
      <c r="W52" s="390"/>
      <c r="X52" s="390"/>
      <c r="Y52" s="390"/>
      <c r="Z52" s="390"/>
      <c r="AA52" s="390"/>
      <c r="AB52" s="390"/>
      <c r="AC52" s="390"/>
      <c r="AD52" s="390"/>
      <c r="AE52" s="1"/>
      <c r="AF52" s="1"/>
      <c r="AG52" s="1"/>
      <c r="AH52" s="1"/>
      <c r="AI52" s="1"/>
      <c r="AJ52" s="1"/>
      <c r="AK52" s="1"/>
      <c r="AL52" s="1"/>
      <c r="AM52" s="1"/>
      <c r="AN52" s="1"/>
      <c r="AO52" s="1"/>
    </row>
    <row r="53" spans="1:41" ht="57.6" customHeight="1">
      <c r="A53" s="1"/>
      <c r="B53" s="1"/>
      <c r="C53" s="303" t="s">
        <v>244</v>
      </c>
      <c r="D53" s="82"/>
      <c r="E53" s="388">
        <v>1</v>
      </c>
      <c r="F53" s="412"/>
      <c r="G53" s="82"/>
      <c r="H53" s="82"/>
      <c r="I53" s="82"/>
      <c r="J53" s="82"/>
      <c r="K53" s="82"/>
      <c r="L53" s="82"/>
      <c r="M53" s="82"/>
      <c r="N53" s="82"/>
      <c r="O53" s="82"/>
      <c r="P53" s="1"/>
      <c r="Q53" s="1"/>
      <c r="R53" s="1"/>
      <c r="S53" s="417"/>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5"/>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5"/>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5"/>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5"/>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25" right="0.25" top="0.75" bottom="0.75" header="0.3" footer="0.3"/>
  <pageSetup paperSize="5" scale="34" orientation="landscape" r:id="rId1"/>
  <rowBreaks count="1" manualBreakCount="1">
    <brk id="45"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view="pageBreakPreview" topLeftCell="C13" zoomScale="70" zoomScaleNormal="60" zoomScaleSheetLayoutView="70" workbookViewId="0">
      <selection activeCell="C36" sqref="C36:P36"/>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customWidth="1"/>
    <col min="16" max="16" width="14.42578125" customWidth="1"/>
    <col min="17" max="17" width="18.28515625" customWidth="1"/>
    <col min="18" max="19" width="15.5703125" customWidth="1"/>
    <col min="20" max="20" width="15.28515625" bestFit="1" customWidth="1"/>
    <col min="21" max="21" width="18.28515625" customWidth="1"/>
    <col min="22" max="22" width="34.140625" customWidth="1"/>
    <col min="23" max="23" width="16.28515625" bestFit="1" customWidth="1"/>
    <col min="24" max="24" width="17.7109375" bestFit="1" customWidth="1"/>
    <col min="25" max="25" width="16.28515625" customWidth="1"/>
    <col min="26" max="26" width="15.28515625" bestFit="1" customWidth="1"/>
    <col min="27" max="27" width="15.28515625" customWidth="1"/>
    <col min="28" max="28" width="16.7109375" customWidth="1"/>
    <col min="29" max="29" width="19" customWidth="1"/>
    <col min="30" max="30" width="14.28515625" customWidth="1"/>
    <col min="31" max="31" width="17" customWidth="1"/>
    <col min="32" max="32" width="43.855468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3.6"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245</v>
      </c>
      <c r="D17" s="724"/>
      <c r="E17" s="724"/>
      <c r="F17" s="724"/>
      <c r="G17" s="724"/>
      <c r="H17" s="724"/>
      <c r="I17" s="724"/>
      <c r="J17" s="724"/>
      <c r="K17" s="724"/>
      <c r="L17" s="724"/>
      <c r="M17" s="724"/>
      <c r="N17" s="724"/>
      <c r="O17" s="724"/>
      <c r="P17" s="724"/>
      <c r="Q17" s="715"/>
      <c r="R17" s="725" t="s">
        <v>172</v>
      </c>
      <c r="S17" s="724"/>
      <c r="T17" s="724"/>
      <c r="U17" s="724"/>
      <c r="V17" s="715"/>
      <c r="W17" s="874">
        <v>0.24</v>
      </c>
      <c r="X17" s="715"/>
      <c r="Y17" s="723" t="s">
        <v>173</v>
      </c>
      <c r="Z17" s="724"/>
      <c r="AA17" s="724"/>
      <c r="AB17" s="715"/>
      <c r="AC17" s="746">
        <f>+B34</f>
        <v>0.15000000000000002</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868" t="s">
        <v>17</v>
      </c>
      <c r="B22" s="869"/>
      <c r="C22" s="180"/>
      <c r="D22" s="23"/>
      <c r="E22" s="23"/>
      <c r="F22" s="23"/>
      <c r="G22" s="23"/>
      <c r="H22" s="451"/>
      <c r="I22" s="480"/>
      <c r="J22" s="23"/>
      <c r="K22" s="23"/>
      <c r="L22" s="23"/>
      <c r="M22" s="23"/>
      <c r="N22" s="23"/>
      <c r="O22" s="141">
        <f t="shared" ref="O22:O25" si="0">SUM(C22:N22)</f>
        <v>0</v>
      </c>
      <c r="P22" s="244"/>
      <c r="Q22" s="140">
        <v>2217335062</v>
      </c>
      <c r="R22" s="72">
        <v>22500000</v>
      </c>
      <c r="S22" s="72"/>
      <c r="T22" s="72">
        <v>19980500</v>
      </c>
      <c r="U22" s="72">
        <f>2310000+2000000+3270000000+14000000+22500000+679819862</f>
        <v>3990629862</v>
      </c>
      <c r="V22" s="455">
        <v>10479506</v>
      </c>
      <c r="W22" s="584">
        <v>-688003041</v>
      </c>
      <c r="X22" s="575">
        <f>35000000+37500000-3270000000</f>
        <v>-3197500000</v>
      </c>
      <c r="Y22" s="72"/>
      <c r="Z22" s="72">
        <v>234645553</v>
      </c>
      <c r="AA22" s="72"/>
      <c r="AB22" s="72"/>
      <c r="AC22" s="141">
        <f t="shared" ref="AC22:AC23" si="1">SUM(Q22:AB22)</f>
        <v>2610067442</v>
      </c>
      <c r="AD22" s="24"/>
      <c r="AE22" s="559">
        <v>2610067442</v>
      </c>
      <c r="AF22" s="18">
        <f>+AC22-AE22</f>
        <v>0</v>
      </c>
      <c r="AG22" s="1"/>
      <c r="AH22" s="1"/>
      <c r="AI22" s="1"/>
      <c r="AJ22" s="1"/>
      <c r="AK22" s="1"/>
      <c r="AL22" s="1"/>
      <c r="AM22" s="1"/>
      <c r="AN22" s="1"/>
      <c r="AO22" s="1"/>
    </row>
    <row r="23" spans="1:41" ht="31.5" customHeight="1">
      <c r="A23" s="870" t="s">
        <v>18</v>
      </c>
      <c r="B23" s="871"/>
      <c r="C23" s="153">
        <v>4725735192</v>
      </c>
      <c r="D23" s="26"/>
      <c r="E23" s="153">
        <v>-2744000</v>
      </c>
      <c r="F23" s="26">
        <v>0</v>
      </c>
      <c r="G23" s="26">
        <v>-6846045</v>
      </c>
      <c r="H23" s="452">
        <v>0</v>
      </c>
      <c r="I23" s="478">
        <v>0</v>
      </c>
      <c r="J23" s="26">
        <v>0</v>
      </c>
      <c r="K23" s="26">
        <v>0</v>
      </c>
      <c r="L23" s="26">
        <v>0</v>
      </c>
      <c r="M23" s="26">
        <v>0</v>
      </c>
      <c r="N23" s="26"/>
      <c r="O23" s="27">
        <f t="shared" si="0"/>
        <v>4716145147</v>
      </c>
      <c r="P23" s="424" t="str">
        <f>IFERROR(O23/(SUMIF(C23:N23,"&gt;0",C22:N22))," ")</f>
        <v xml:space="preserve"> </v>
      </c>
      <c r="Q23" s="25">
        <v>2217335062</v>
      </c>
      <c r="R23" s="26">
        <v>0</v>
      </c>
      <c r="S23" s="26">
        <v>-5797508</v>
      </c>
      <c r="T23" s="26">
        <v>8329342</v>
      </c>
      <c r="U23" s="26">
        <v>18226535</v>
      </c>
      <c r="V23" s="452">
        <v>26006459</v>
      </c>
      <c r="W23" s="478">
        <v>0</v>
      </c>
      <c r="X23" s="26">
        <v>206800000</v>
      </c>
      <c r="Y23" s="26">
        <f>42174837-378779</f>
        <v>41796058</v>
      </c>
      <c r="Z23" s="26">
        <v>37179828</v>
      </c>
      <c r="AA23" s="26">
        <v>17256</v>
      </c>
      <c r="AB23" s="26"/>
      <c r="AC23" s="571">
        <f t="shared" si="1"/>
        <v>2549893032</v>
      </c>
      <c r="AD23" s="29">
        <f>AC23/AC22</f>
        <v>0.97694526622887168</v>
      </c>
      <c r="AE23" s="354" t="s">
        <v>175</v>
      </c>
      <c r="AF23" s="18"/>
      <c r="AG23" s="1"/>
      <c r="AH23" s="1"/>
      <c r="AI23" s="1"/>
      <c r="AJ23" s="1"/>
      <c r="AK23" s="1"/>
      <c r="AL23" s="1"/>
      <c r="AM23" s="1"/>
      <c r="AN23" s="1"/>
      <c r="AO23" s="1"/>
    </row>
    <row r="24" spans="1:41" ht="31.5" customHeight="1">
      <c r="A24" s="870" t="s">
        <v>19</v>
      </c>
      <c r="B24" s="871"/>
      <c r="C24" s="181"/>
      <c r="D24" s="26">
        <v>1036406616</v>
      </c>
      <c r="E24" s="26">
        <f>1680282732+E23</f>
        <v>1677538732</v>
      </c>
      <c r="F24" s="26">
        <v>1080048922</v>
      </c>
      <c r="G24" s="26">
        <f>928996922-6846045</f>
        <v>922150877</v>
      </c>
      <c r="H24" s="452">
        <v>0</v>
      </c>
      <c r="I24" s="28"/>
      <c r="J24" s="26"/>
      <c r="K24" s="26"/>
      <c r="L24" s="26"/>
      <c r="M24" s="26"/>
      <c r="N24" s="26"/>
      <c r="O24" s="571">
        <f t="shared" si="0"/>
        <v>4716145147</v>
      </c>
      <c r="P24" s="245"/>
      <c r="Q24" s="430"/>
      <c r="R24" s="26">
        <v>96865667</v>
      </c>
      <c r="S24" s="26">
        <v>196200867</v>
      </c>
      <c r="T24" s="26">
        <v>199575867</v>
      </c>
      <c r="U24" s="26">
        <v>198420923</v>
      </c>
      <c r="V24" s="452">
        <v>202767589</v>
      </c>
      <c r="W24" s="478">
        <v>1355778641</v>
      </c>
      <c r="X24" s="26">
        <f>685895446-654000000</f>
        <v>31895446</v>
      </c>
      <c r="Y24" s="558">
        <f>672438285-654000000</f>
        <v>18438285</v>
      </c>
      <c r="Z24" s="26">
        <f>663395446-654000000</f>
        <v>9395446</v>
      </c>
      <c r="AA24" s="26">
        <f>693833779-654000000</f>
        <v>39833779</v>
      </c>
      <c r="AB24" s="26">
        <f>682895446+685356974-688003041-654000000</f>
        <v>26249379</v>
      </c>
      <c r="AC24" s="27">
        <f>SUM(R24:AB24)</f>
        <v>2375421889</v>
      </c>
      <c r="AD24" s="29"/>
      <c r="AE24" s="18"/>
      <c r="AF24" s="18"/>
      <c r="AG24" s="1"/>
      <c r="AH24" s="1"/>
      <c r="AI24" s="1"/>
      <c r="AJ24" s="1"/>
      <c r="AK24" s="1"/>
      <c r="AL24" s="1"/>
      <c r="AM24" s="1"/>
      <c r="AN24" s="1"/>
      <c r="AO24" s="1"/>
    </row>
    <row r="25" spans="1:41" ht="31.5" customHeight="1" thickBot="1">
      <c r="A25" s="872" t="s">
        <v>20</v>
      </c>
      <c r="B25" s="873"/>
      <c r="C25" s="182">
        <v>67254654</v>
      </c>
      <c r="D25" s="32">
        <v>7763045</v>
      </c>
      <c r="E25" s="32">
        <f>228982550+E23</f>
        <v>226238550</v>
      </c>
      <c r="F25" s="32">
        <v>60813749</v>
      </c>
      <c r="G25" s="32">
        <v>7134988</v>
      </c>
      <c r="H25" s="454">
        <v>0</v>
      </c>
      <c r="I25" s="479">
        <v>0</v>
      </c>
      <c r="J25" s="32">
        <v>0</v>
      </c>
      <c r="K25" s="32">
        <v>0</v>
      </c>
      <c r="L25" s="32">
        <v>0</v>
      </c>
      <c r="M25" s="32">
        <v>0</v>
      </c>
      <c r="N25" s="32"/>
      <c r="O25" s="33">
        <f t="shared" si="0"/>
        <v>369204986</v>
      </c>
      <c r="P25" s="427">
        <f>O25/O24</f>
        <v>7.8285331450168791E-2</v>
      </c>
      <c r="Q25" s="31"/>
      <c r="R25" s="32">
        <v>25054974</v>
      </c>
      <c r="S25" s="32">
        <v>192793583</v>
      </c>
      <c r="T25" s="32">
        <v>203095379</v>
      </c>
      <c r="U25" s="32">
        <v>199295518</v>
      </c>
      <c r="V25" s="454">
        <v>223398418</v>
      </c>
      <c r="W25" s="479">
        <v>198034383</v>
      </c>
      <c r="X25" s="32">
        <v>197384118</v>
      </c>
      <c r="Y25" s="32">
        <v>202573355</v>
      </c>
      <c r="Z25" s="32">
        <v>250143504</v>
      </c>
      <c r="AA25" s="32">
        <v>248368568</v>
      </c>
      <c r="AB25" s="32"/>
      <c r="AC25" s="33">
        <f>SUM(Q25:AB25)</f>
        <v>1940141800</v>
      </c>
      <c r="AD25" s="34">
        <f>AC25/AC24</f>
        <v>0.81675672392526311</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58.5" customHeight="1">
      <c r="A30" s="36" t="s">
        <v>246</v>
      </c>
      <c r="B30" s="857" t="s">
        <v>98</v>
      </c>
      <c r="C30" s="800"/>
      <c r="D30" s="247"/>
      <c r="E30" s="247"/>
      <c r="F30" s="73"/>
      <c r="G30" s="247"/>
      <c r="H30" s="247"/>
      <c r="I30" s="247"/>
      <c r="J30" s="247"/>
      <c r="K30" s="247"/>
      <c r="L30" s="247"/>
      <c r="M30" s="247"/>
      <c r="N30" s="247"/>
      <c r="O30" s="247"/>
      <c r="P30" s="248">
        <f>SUM(D30:O30)</f>
        <v>0</v>
      </c>
      <c r="Q30" s="798"/>
      <c r="R30" s="688"/>
      <c r="S30" s="688"/>
      <c r="T30" s="688"/>
      <c r="U30" s="688"/>
      <c r="V30" s="688"/>
      <c r="W30" s="688"/>
      <c r="X30" s="688"/>
      <c r="Y30" s="688"/>
      <c r="Z30" s="688"/>
      <c r="AA30" s="688"/>
      <c r="AB30" s="688"/>
      <c r="AC30" s="688"/>
      <c r="AD30" s="689"/>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22.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19" t="s">
        <v>190</v>
      </c>
      <c r="AB33" s="685"/>
      <c r="AC33" s="685"/>
      <c r="AD33" s="686"/>
      <c r="AE33" s="1"/>
      <c r="AF33" s="1"/>
      <c r="AG33" s="38"/>
      <c r="AH33" s="38"/>
      <c r="AI33" s="38"/>
      <c r="AJ33" s="38"/>
      <c r="AK33" s="38"/>
      <c r="AL33" s="38"/>
      <c r="AM33" s="38"/>
      <c r="AN33" s="38"/>
      <c r="AO33" s="38"/>
    </row>
    <row r="34" spans="1:41" ht="146.25" customHeight="1">
      <c r="A34" s="704" t="s">
        <v>246</v>
      </c>
      <c r="B34" s="706">
        <f>SUM(B38,B40,B42)</f>
        <v>0.15000000000000002</v>
      </c>
      <c r="C34" s="214" t="s">
        <v>45</v>
      </c>
      <c r="D34" s="259">
        <f t="shared" ref="D34:O35" si="2">+D47*$W$17</f>
        <v>1.9552E-2</v>
      </c>
      <c r="E34" s="259">
        <f t="shared" si="2"/>
        <v>1.9552E-2</v>
      </c>
      <c r="F34" s="259">
        <f t="shared" si="2"/>
        <v>1.9552E-2</v>
      </c>
      <c r="G34" s="259">
        <f t="shared" si="2"/>
        <v>1.7774222222222219E-2</v>
      </c>
      <c r="H34" s="259">
        <f t="shared" si="2"/>
        <v>2.4886222222222223E-2</v>
      </c>
      <c r="I34" s="259">
        <f t="shared" si="2"/>
        <v>2.4886222222222223E-2</v>
      </c>
      <c r="J34" s="259">
        <f>+J47*$W$17</f>
        <v>2.4886222222222223E-2</v>
      </c>
      <c r="K34" s="259">
        <f t="shared" si="2"/>
        <v>1.7774222222222219E-2</v>
      </c>
      <c r="L34" s="259">
        <f t="shared" si="2"/>
        <v>1.7774222222222219E-2</v>
      </c>
      <c r="M34" s="259">
        <f t="shared" si="2"/>
        <v>1.7774222222222219E-2</v>
      </c>
      <c r="N34" s="259">
        <f t="shared" si="2"/>
        <v>1.7774222222222219E-2</v>
      </c>
      <c r="O34" s="259">
        <f t="shared" si="2"/>
        <v>1.7774222222222219E-2</v>
      </c>
      <c r="P34" s="262">
        <f>SUM(D34:O34)</f>
        <v>0.23995999999999998</v>
      </c>
      <c r="Q34" s="842" t="s">
        <v>247</v>
      </c>
      <c r="R34" s="843"/>
      <c r="S34" s="843"/>
      <c r="T34" s="843"/>
      <c r="U34" s="843"/>
      <c r="V34" s="844"/>
      <c r="W34" s="848" t="s">
        <v>248</v>
      </c>
      <c r="X34" s="849"/>
      <c r="Y34" s="849"/>
      <c r="Z34" s="850"/>
      <c r="AA34" s="848" t="s">
        <v>249</v>
      </c>
      <c r="AB34" s="849"/>
      <c r="AC34" s="849"/>
      <c r="AD34" s="849"/>
      <c r="AE34" s="1">
        <f>LEN(Q34)</f>
        <v>1504</v>
      </c>
      <c r="AF34" s="1">
        <f>LEN(W34)</f>
        <v>999</v>
      </c>
      <c r="AG34" s="38"/>
      <c r="AH34" s="38"/>
      <c r="AI34" s="38"/>
      <c r="AJ34" s="38"/>
      <c r="AK34" s="38"/>
      <c r="AL34" s="38"/>
      <c r="AM34" s="38"/>
      <c r="AN34" s="38"/>
      <c r="AO34" s="38"/>
    </row>
    <row r="35" spans="1:41" ht="146.25" customHeight="1" thickBot="1">
      <c r="A35" s="806"/>
      <c r="B35" s="808"/>
      <c r="C35" s="39" t="s">
        <v>46</v>
      </c>
      <c r="D35" s="297">
        <f t="shared" si="2"/>
        <v>1.9552E-2</v>
      </c>
      <c r="E35" s="297">
        <f t="shared" si="2"/>
        <v>1.9552E-2</v>
      </c>
      <c r="F35" s="297">
        <f t="shared" si="2"/>
        <v>1.9552E-2</v>
      </c>
      <c r="G35" s="297">
        <f t="shared" si="2"/>
        <v>1.9110222222222223E-2</v>
      </c>
      <c r="H35" s="297">
        <f t="shared" si="2"/>
        <v>2.4622222222222226E-2</v>
      </c>
      <c r="I35" s="297">
        <f t="shared" si="2"/>
        <v>2.4622222222222226E-2</v>
      </c>
      <c r="J35" s="297">
        <v>0.02</v>
      </c>
      <c r="K35" s="297">
        <v>0.02</v>
      </c>
      <c r="L35" s="297">
        <v>0.02</v>
      </c>
      <c r="M35" s="297">
        <v>0.02</v>
      </c>
      <c r="N35" s="297">
        <v>0.02</v>
      </c>
      <c r="O35" s="297"/>
      <c r="P35" s="177">
        <f>D35+E35+F35+G35+H35+I35+J35+K35+L35+M35+N35</f>
        <v>0.22701066666666661</v>
      </c>
      <c r="Q35" s="845"/>
      <c r="R35" s="846"/>
      <c r="S35" s="846"/>
      <c r="T35" s="846"/>
      <c r="U35" s="846"/>
      <c r="V35" s="847"/>
      <c r="W35" s="851"/>
      <c r="X35" s="852"/>
      <c r="Y35" s="852"/>
      <c r="Z35" s="853"/>
      <c r="AA35" s="851"/>
      <c r="AB35" s="852"/>
      <c r="AC35" s="852"/>
      <c r="AD35" s="852"/>
      <c r="AE35" s="1">
        <f>LEN(W34)</f>
        <v>999</v>
      </c>
      <c r="AF35" s="487" t="s">
        <v>250</v>
      </c>
      <c r="AG35" s="38"/>
      <c r="AH35" s="38"/>
      <c r="AI35" s="38"/>
      <c r="AJ35" s="38"/>
      <c r="AK35" s="38"/>
      <c r="AL35" s="38"/>
      <c r="AM35" s="38"/>
      <c r="AN35" s="38"/>
      <c r="AO35" s="38"/>
    </row>
    <row r="36" spans="1:41" ht="33.75" customHeight="1">
      <c r="A36" s="796" t="s">
        <v>27</v>
      </c>
      <c r="B36" s="801" t="s">
        <v>28</v>
      </c>
      <c r="C36" s="683" t="s">
        <v>29</v>
      </c>
      <c r="D36" s="684"/>
      <c r="E36" s="684"/>
      <c r="F36" s="684"/>
      <c r="G36" s="684"/>
      <c r="H36" s="684"/>
      <c r="I36" s="684"/>
      <c r="J36" s="684"/>
      <c r="K36" s="684"/>
      <c r="L36" s="684"/>
      <c r="M36" s="684"/>
      <c r="N36" s="684"/>
      <c r="O36" s="684"/>
      <c r="P36" s="802"/>
      <c r="Q36" s="683" t="s">
        <v>193</v>
      </c>
      <c r="R36" s="684"/>
      <c r="S36" s="684"/>
      <c r="T36" s="684"/>
      <c r="U36" s="684"/>
      <c r="V36" s="684"/>
      <c r="W36" s="684"/>
      <c r="X36" s="684"/>
      <c r="Y36" s="684"/>
      <c r="Z36" s="684"/>
      <c r="AA36" s="684"/>
      <c r="AB36" s="684"/>
      <c r="AC36" s="684"/>
      <c r="AD36" s="741"/>
      <c r="AE36" s="1">
        <f t="shared" ref="AE36:AE42" si="3">LEN(Q36)</f>
        <v>48</v>
      </c>
      <c r="AF36" s="1"/>
      <c r="AG36" s="38"/>
      <c r="AH36" s="38"/>
      <c r="AI36" s="38"/>
      <c r="AJ36" s="38"/>
      <c r="AK36" s="38"/>
      <c r="AL36" s="38"/>
      <c r="AM36" s="38"/>
      <c r="AN36" s="38"/>
      <c r="AO36" s="38"/>
    </row>
    <row r="37" spans="1:41" ht="63.6" customHeight="1">
      <c r="A37" s="703"/>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689"/>
      <c r="AE37" s="1">
        <f t="shared" si="3"/>
        <v>77</v>
      </c>
      <c r="AF37" s="1"/>
      <c r="AG37" s="41"/>
      <c r="AH37" s="41"/>
      <c r="AI37" s="41"/>
      <c r="AJ37" s="41"/>
      <c r="AK37" s="41"/>
      <c r="AL37" s="41"/>
      <c r="AM37" s="41"/>
      <c r="AN37" s="41"/>
      <c r="AO37" s="41"/>
    </row>
    <row r="38" spans="1:41" ht="48" customHeight="1">
      <c r="A38" s="858" t="s">
        <v>251</v>
      </c>
      <c r="B38" s="679">
        <v>0.05</v>
      </c>
      <c r="C38" s="214" t="s">
        <v>45</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5">
        <f t="shared" ref="P38:P43" si="4">SUM(D38:O38)</f>
        <v>0.99999999999999978</v>
      </c>
      <c r="Q38" s="690" t="s">
        <v>252</v>
      </c>
      <c r="R38" s="691"/>
      <c r="S38" s="691"/>
      <c r="T38" s="691"/>
      <c r="U38" s="691"/>
      <c r="V38" s="691"/>
      <c r="W38" s="691"/>
      <c r="X38" s="691"/>
      <c r="Y38" s="691"/>
      <c r="Z38" s="691"/>
      <c r="AA38" s="691"/>
      <c r="AB38" s="691"/>
      <c r="AC38" s="691"/>
      <c r="AD38" s="692"/>
      <c r="AE38" s="1">
        <f t="shared" si="3"/>
        <v>906</v>
      </c>
      <c r="AF38" s="1"/>
      <c r="AG38" s="44"/>
      <c r="AH38" s="44"/>
      <c r="AI38" s="44"/>
      <c r="AJ38" s="44"/>
      <c r="AK38" s="44"/>
      <c r="AL38" s="44"/>
      <c r="AM38" s="44"/>
      <c r="AN38" s="44"/>
      <c r="AO38" s="44"/>
    </row>
    <row r="39" spans="1:41" ht="69" customHeight="1">
      <c r="A39" s="703"/>
      <c r="B39" s="678"/>
      <c r="C39" s="45" t="s">
        <v>46</v>
      </c>
      <c r="D39" s="46">
        <v>0.1</v>
      </c>
      <c r="E39" s="46">
        <v>0.1</v>
      </c>
      <c r="F39" s="46">
        <v>0.1</v>
      </c>
      <c r="G39" s="46">
        <v>7.7777777777777779E-2</v>
      </c>
      <c r="H39" s="46">
        <v>7.7777777777777779E-2</v>
      </c>
      <c r="I39" s="46">
        <v>7.7777777777777779E-2</v>
      </c>
      <c r="J39" s="46">
        <v>7.7777777777777779E-2</v>
      </c>
      <c r="K39" s="46">
        <v>7.7777777777777779E-2</v>
      </c>
      <c r="L39" s="46">
        <v>7.7777777777777779E-2</v>
      </c>
      <c r="M39" s="46">
        <v>7.7777777777777779E-2</v>
      </c>
      <c r="N39" s="46">
        <v>7.7777777777777779E-2</v>
      </c>
      <c r="O39" s="46"/>
      <c r="P39" s="216">
        <f t="shared" si="4"/>
        <v>0.92222222222222205</v>
      </c>
      <c r="Q39" s="693"/>
      <c r="R39" s="694"/>
      <c r="S39" s="694"/>
      <c r="T39" s="694"/>
      <c r="U39" s="694"/>
      <c r="V39" s="694"/>
      <c r="W39" s="694"/>
      <c r="X39" s="694"/>
      <c r="Y39" s="694"/>
      <c r="Z39" s="694"/>
      <c r="AA39" s="694"/>
      <c r="AB39" s="694"/>
      <c r="AC39" s="694"/>
      <c r="AD39" s="695"/>
      <c r="AE39" s="1">
        <f>77+27</f>
        <v>104</v>
      </c>
      <c r="AF39" s="1"/>
      <c r="AG39" s="1"/>
      <c r="AH39" s="1"/>
      <c r="AI39" s="1"/>
      <c r="AJ39" s="1"/>
      <c r="AK39" s="1"/>
      <c r="AL39" s="1"/>
      <c r="AM39" s="1"/>
      <c r="AN39" s="1"/>
      <c r="AO39" s="1"/>
    </row>
    <row r="40" spans="1:41" ht="63" customHeight="1">
      <c r="A40" s="858" t="s">
        <v>253</v>
      </c>
      <c r="B40" s="679">
        <v>0.05</v>
      </c>
      <c r="C40" s="47" t="s">
        <v>45</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6">
        <f t="shared" si="4"/>
        <v>0.99960000000000016</v>
      </c>
      <c r="Q40" s="690" t="s">
        <v>254</v>
      </c>
      <c r="R40" s="691"/>
      <c r="S40" s="691"/>
      <c r="T40" s="691"/>
      <c r="U40" s="691"/>
      <c r="V40" s="691"/>
      <c r="W40" s="691"/>
      <c r="X40" s="691"/>
      <c r="Y40" s="691"/>
      <c r="Z40" s="691"/>
      <c r="AA40" s="691"/>
      <c r="AB40" s="691"/>
      <c r="AC40" s="691"/>
      <c r="AD40" s="692"/>
      <c r="AE40" s="1">
        <f t="shared" si="3"/>
        <v>1899</v>
      </c>
      <c r="AF40" s="1"/>
      <c r="AG40" s="1"/>
      <c r="AH40" s="1"/>
      <c r="AI40" s="1"/>
      <c r="AJ40" s="1"/>
      <c r="AK40" s="1"/>
      <c r="AL40" s="1"/>
      <c r="AM40" s="1"/>
      <c r="AN40" s="1"/>
      <c r="AO40" s="1"/>
    </row>
    <row r="41" spans="1:41" ht="320.25" customHeight="1">
      <c r="A41" s="703"/>
      <c r="B41" s="678"/>
      <c r="C41" s="45" t="s">
        <v>46</v>
      </c>
      <c r="D41" s="46">
        <v>8.3299999999999999E-2</v>
      </c>
      <c r="E41" s="46">
        <v>8.3299999999999999E-2</v>
      </c>
      <c r="F41" s="46">
        <v>8.3299999999999999E-2</v>
      </c>
      <c r="G41" s="46">
        <v>0.1</v>
      </c>
      <c r="H41" s="46">
        <v>0.08</v>
      </c>
      <c r="I41" s="46">
        <v>0.08</v>
      </c>
      <c r="J41" s="46">
        <v>0.08</v>
      </c>
      <c r="K41" s="46">
        <v>0.08</v>
      </c>
      <c r="L41" s="46">
        <v>0.08</v>
      </c>
      <c r="M41" s="46">
        <v>0.08</v>
      </c>
      <c r="N41" s="46">
        <v>0.08</v>
      </c>
      <c r="O41" s="48"/>
      <c r="P41" s="216">
        <f t="shared" si="4"/>
        <v>0.90989999999999982</v>
      </c>
      <c r="Q41" s="693"/>
      <c r="R41" s="694"/>
      <c r="S41" s="694"/>
      <c r="T41" s="694"/>
      <c r="U41" s="694"/>
      <c r="V41" s="694"/>
      <c r="W41" s="694"/>
      <c r="X41" s="694"/>
      <c r="Y41" s="694"/>
      <c r="Z41" s="694"/>
      <c r="AA41" s="694"/>
      <c r="AB41" s="694"/>
      <c r="AC41" s="694"/>
      <c r="AD41" s="695"/>
      <c r="AE41" s="1"/>
      <c r="AF41" s="1"/>
      <c r="AG41" s="1"/>
      <c r="AH41" s="1"/>
      <c r="AI41" s="1"/>
      <c r="AJ41" s="1"/>
      <c r="AK41" s="1"/>
      <c r="AL41" s="1"/>
      <c r="AM41" s="1"/>
      <c r="AN41" s="1"/>
      <c r="AO41" s="1"/>
    </row>
    <row r="42" spans="1:41" ht="60.75" customHeight="1">
      <c r="A42" s="858" t="s">
        <v>255</v>
      </c>
      <c r="B42" s="679">
        <v>0.05</v>
      </c>
      <c r="C42" s="47" t="s">
        <v>45</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6">
        <f t="shared" si="4"/>
        <v>0.99990000000000023</v>
      </c>
      <c r="Q42" s="690" t="s">
        <v>256</v>
      </c>
      <c r="R42" s="691"/>
      <c r="S42" s="691"/>
      <c r="T42" s="691"/>
      <c r="U42" s="691"/>
      <c r="V42" s="691"/>
      <c r="W42" s="691"/>
      <c r="X42" s="691"/>
      <c r="Y42" s="691"/>
      <c r="Z42" s="691"/>
      <c r="AA42" s="691"/>
      <c r="AB42" s="691"/>
      <c r="AC42" s="691"/>
      <c r="AD42" s="692"/>
      <c r="AE42" s="1">
        <f t="shared" si="3"/>
        <v>909</v>
      </c>
      <c r="AF42" s="1"/>
      <c r="AG42" s="1"/>
      <c r="AH42" s="1"/>
      <c r="AI42" s="1"/>
      <c r="AJ42" s="1"/>
      <c r="AK42" s="1"/>
      <c r="AL42" s="1"/>
      <c r="AM42" s="1"/>
      <c r="AN42" s="1"/>
      <c r="AO42" s="1"/>
    </row>
    <row r="43" spans="1:41" ht="60.75" customHeight="1">
      <c r="A43" s="703"/>
      <c r="B43" s="678"/>
      <c r="C43" s="45" t="s">
        <v>46</v>
      </c>
      <c r="D43" s="48">
        <v>6.1100000000000002E-2</v>
      </c>
      <c r="E43" s="48">
        <v>6.1100000000000002E-2</v>
      </c>
      <c r="F43" s="48">
        <v>6.1100000000000002E-2</v>
      </c>
      <c r="G43" s="48">
        <v>6.1100000000000002E-2</v>
      </c>
      <c r="H43" s="48">
        <v>0.15</v>
      </c>
      <c r="I43" s="48">
        <v>0.15</v>
      </c>
      <c r="J43" s="48">
        <v>0.15</v>
      </c>
      <c r="K43" s="48">
        <v>6.1100000000000002E-2</v>
      </c>
      <c r="L43" s="48">
        <v>6.1100000000000002E-2</v>
      </c>
      <c r="M43" s="48">
        <v>6.1100000000000002E-2</v>
      </c>
      <c r="N43" s="48">
        <v>6.1100000000000002E-2</v>
      </c>
      <c r="O43" s="48"/>
      <c r="P43" s="216">
        <f t="shared" si="4"/>
        <v>0.93880000000000019</v>
      </c>
      <c r="Q43" s="693"/>
      <c r="R43" s="694"/>
      <c r="S43" s="694"/>
      <c r="T43" s="694"/>
      <c r="U43" s="694"/>
      <c r="V43" s="694"/>
      <c r="W43" s="694"/>
      <c r="X43" s="694"/>
      <c r="Y43" s="694"/>
      <c r="Z43" s="694"/>
      <c r="AA43" s="694"/>
      <c r="AB43" s="694"/>
      <c r="AC43" s="694"/>
      <c r="AD43" s="695"/>
      <c r="AE43" s="1"/>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199</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200</v>
      </c>
      <c r="D48" s="75">
        <f t="shared" ref="D48:O48" si="6">AVERAGE(D39,D41,D43)</f>
        <v>8.1466666666666673E-2</v>
      </c>
      <c r="E48" s="75">
        <f t="shared" si="6"/>
        <v>8.1466666666666673E-2</v>
      </c>
      <c r="F48" s="75">
        <f t="shared" si="6"/>
        <v>8.1466666666666673E-2</v>
      </c>
      <c r="G48" s="75">
        <f t="shared" si="6"/>
        <v>7.9625925925925933E-2</v>
      </c>
      <c r="H48" s="75">
        <f t="shared" si="6"/>
        <v>0.10259259259259261</v>
      </c>
      <c r="I48" s="75">
        <f t="shared" si="6"/>
        <v>0.10259259259259261</v>
      </c>
      <c r="J48" s="75">
        <f>AVERAGE(J39,J41,J43)</f>
        <v>0.10259259259259261</v>
      </c>
      <c r="K48" s="75">
        <f>AVERAGE(K39,K41,K43)</f>
        <v>7.2959259259259265E-2</v>
      </c>
      <c r="L48" s="75">
        <f t="shared" si="6"/>
        <v>7.2959259259259265E-2</v>
      </c>
      <c r="M48" s="75">
        <f t="shared" si="6"/>
        <v>7.2959259259259265E-2</v>
      </c>
      <c r="N48" s="75">
        <f t="shared" si="6"/>
        <v>7.2959259259259265E-2</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257</v>
      </c>
      <c r="D49" s="299"/>
      <c r="E49" s="299">
        <v>324</v>
      </c>
      <c r="F49" s="299">
        <v>441</v>
      </c>
      <c r="G49" s="300">
        <v>624</v>
      </c>
      <c r="H49" s="300">
        <v>637</v>
      </c>
      <c r="I49" s="299">
        <v>613</v>
      </c>
      <c r="J49" s="299">
        <v>518</v>
      </c>
      <c r="K49" s="299"/>
      <c r="L49" s="299"/>
      <c r="M49" s="299"/>
      <c r="N49" s="299"/>
      <c r="O49" s="299"/>
      <c r="P49" s="1"/>
      <c r="Q49" s="841"/>
      <c r="R49" s="841"/>
      <c r="S49" s="841"/>
      <c r="T49" s="841"/>
      <c r="U49" s="841"/>
      <c r="V49" s="841"/>
      <c r="W49" s="841"/>
      <c r="X49" s="841"/>
      <c r="Y49" s="841"/>
      <c r="Z49" s="841"/>
      <c r="AA49" s="841"/>
      <c r="AB49" s="841"/>
      <c r="AC49" s="841"/>
      <c r="AD49" s="841"/>
      <c r="AE49" s="1"/>
      <c r="AF49" s="1"/>
      <c r="AG49" s="1"/>
      <c r="AH49" s="1"/>
      <c r="AI49" s="1"/>
      <c r="AJ49" s="1"/>
      <c r="AK49" s="1"/>
      <c r="AL49" s="1"/>
      <c r="AM49" s="1"/>
      <c r="AN49" s="1"/>
      <c r="AO49" s="1"/>
    </row>
    <row r="50" spans="1:41" ht="54.6" customHeight="1">
      <c r="A50" s="1"/>
      <c r="B50" s="1"/>
      <c r="C50" s="298" t="s">
        <v>258</v>
      </c>
      <c r="D50" s="301"/>
      <c r="E50" s="353">
        <v>1</v>
      </c>
      <c r="F50" s="353">
        <v>1</v>
      </c>
      <c r="G50" s="410"/>
      <c r="H50" s="410"/>
      <c r="I50" s="301"/>
      <c r="J50" s="301"/>
      <c r="K50" s="301"/>
      <c r="L50" s="301"/>
      <c r="M50" s="301"/>
      <c r="N50" s="301"/>
      <c r="O50" s="301"/>
      <c r="P50" s="1"/>
      <c r="Q50" s="841"/>
      <c r="R50" s="841"/>
      <c r="S50" s="841"/>
      <c r="T50" s="841"/>
      <c r="U50" s="841"/>
      <c r="V50" s="841"/>
      <c r="W50" s="841"/>
      <c r="X50" s="841"/>
      <c r="Y50" s="841"/>
      <c r="Z50" s="841"/>
      <c r="AA50" s="841"/>
      <c r="AB50" s="841"/>
      <c r="AC50" s="841"/>
      <c r="AD50" s="841"/>
      <c r="AE50" s="1"/>
      <c r="AF50" s="1"/>
      <c r="AG50" s="1"/>
      <c r="AH50" s="1"/>
      <c r="AI50" s="1"/>
      <c r="AJ50" s="1"/>
      <c r="AK50" s="1"/>
      <c r="AL50" s="1"/>
      <c r="AM50" s="1"/>
      <c r="AN50" s="1"/>
      <c r="AO50" s="1"/>
    </row>
    <row r="51" spans="1:41" ht="51.6" customHeight="1">
      <c r="A51" s="1"/>
      <c r="B51" s="1"/>
      <c r="C51" s="84" t="s">
        <v>259</v>
      </c>
      <c r="D51" s="302"/>
      <c r="E51" s="299">
        <v>11</v>
      </c>
      <c r="F51" s="299">
        <v>27</v>
      </c>
      <c r="G51" s="411"/>
      <c r="H51" s="411"/>
      <c r="I51" s="302"/>
      <c r="J51" s="302"/>
      <c r="K51" s="302"/>
      <c r="L51" s="302"/>
      <c r="M51" s="302"/>
      <c r="N51" s="302"/>
      <c r="O51" s="302"/>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8" t="s">
        <v>260</v>
      </c>
      <c r="D52" s="301"/>
      <c r="E52" s="353">
        <v>7862</v>
      </c>
      <c r="F52" s="353">
        <v>6082</v>
      </c>
      <c r="G52" s="410"/>
      <c r="H52" s="410"/>
      <c r="I52" s="301"/>
      <c r="J52" s="301"/>
      <c r="K52" s="301"/>
      <c r="L52" s="301"/>
      <c r="M52" s="301"/>
      <c r="N52" s="301"/>
      <c r="O52" s="30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1" t="s">
        <v>261</v>
      </c>
      <c r="D53" s="302"/>
      <c r="E53" s="299">
        <v>1850</v>
      </c>
      <c r="F53" s="299">
        <v>1371</v>
      </c>
      <c r="G53" s="411"/>
      <c r="H53" s="411"/>
      <c r="I53" s="302"/>
      <c r="J53" s="302"/>
      <c r="K53" s="302"/>
      <c r="L53" s="302"/>
      <c r="M53" s="302"/>
      <c r="N53" s="302"/>
      <c r="O53" s="302"/>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8" t="s">
        <v>262</v>
      </c>
      <c r="D54" s="301"/>
      <c r="E54" s="353">
        <v>1802</v>
      </c>
      <c r="F54" s="353">
        <v>2811</v>
      </c>
      <c r="G54" s="410"/>
      <c r="H54" s="410"/>
      <c r="I54" s="301"/>
      <c r="J54" s="301"/>
      <c r="K54" s="301"/>
      <c r="L54" s="301"/>
      <c r="M54" s="301"/>
      <c r="N54" s="301"/>
      <c r="O54" s="30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263</v>
      </c>
      <c r="D55" s="302"/>
      <c r="E55" s="299">
        <v>1022</v>
      </c>
      <c r="F55" s="299">
        <v>1371</v>
      </c>
      <c r="G55" s="411"/>
      <c r="H55" s="411"/>
      <c r="I55" s="302"/>
      <c r="J55" s="302"/>
      <c r="K55" s="302"/>
      <c r="L55" s="302"/>
      <c r="M55" s="302"/>
      <c r="N55" s="302"/>
      <c r="O55" s="302"/>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8" t="s">
        <v>264</v>
      </c>
      <c r="D56" s="301"/>
      <c r="E56" s="353">
        <v>4</v>
      </c>
      <c r="F56" s="353">
        <v>5</v>
      </c>
      <c r="G56" s="410"/>
      <c r="H56" s="410"/>
      <c r="I56" s="301"/>
      <c r="J56" s="301"/>
      <c r="K56" s="301"/>
      <c r="L56" s="301"/>
      <c r="M56" s="301"/>
      <c r="N56" s="301"/>
      <c r="O56" s="30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265</v>
      </c>
      <c r="D57" s="302"/>
      <c r="E57" s="299">
        <v>1312</v>
      </c>
      <c r="F57" s="299" t="s">
        <v>266</v>
      </c>
      <c r="G57" s="411"/>
      <c r="H57" s="411"/>
      <c r="I57" s="302"/>
      <c r="J57" s="302"/>
      <c r="K57" s="302"/>
      <c r="L57" s="302"/>
      <c r="M57" s="302"/>
      <c r="N57" s="302"/>
      <c r="O57" s="302"/>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paperSize="5" scale="27"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100"/>
  <sheetViews>
    <sheetView showGridLines="0" view="pageBreakPreview" topLeftCell="C11" zoomScale="70" zoomScaleNormal="80" zoomScaleSheetLayoutView="70" workbookViewId="0">
      <selection activeCell="C36" sqref="C36:P36"/>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3" width="15" customWidth="1"/>
    <col min="24" max="24" width="14" bestFit="1" customWidth="1"/>
    <col min="25" max="25" width="15" customWidth="1"/>
    <col min="26" max="26" width="14" bestFit="1" customWidth="1"/>
    <col min="27" max="28" width="15" customWidth="1"/>
    <col min="29" max="29" width="16.42578125" bestFit="1" customWidth="1"/>
    <col min="30" max="30" width="14.7109375" customWidth="1"/>
    <col min="31" max="31" width="13.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59.65"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58.15" customHeight="1" thickBot="1">
      <c r="A17" s="714" t="s">
        <v>170</v>
      </c>
      <c r="B17" s="715"/>
      <c r="C17" s="743" t="s">
        <v>267</v>
      </c>
      <c r="D17" s="724"/>
      <c r="E17" s="724"/>
      <c r="F17" s="724"/>
      <c r="G17" s="724"/>
      <c r="H17" s="724"/>
      <c r="I17" s="724"/>
      <c r="J17" s="724"/>
      <c r="K17" s="724"/>
      <c r="L17" s="724"/>
      <c r="M17" s="724"/>
      <c r="N17" s="724"/>
      <c r="O17" s="724"/>
      <c r="P17" s="724"/>
      <c r="Q17" s="715"/>
      <c r="R17" s="725" t="s">
        <v>172</v>
      </c>
      <c r="S17" s="724"/>
      <c r="T17" s="724"/>
      <c r="U17" s="724"/>
      <c r="V17" s="715"/>
      <c r="W17" s="722">
        <v>1</v>
      </c>
      <c r="X17" s="715"/>
      <c r="Y17" s="723" t="s">
        <v>173</v>
      </c>
      <c r="Z17" s="724"/>
      <c r="AA17" s="724"/>
      <c r="AB17" s="715"/>
      <c r="AC17" s="746">
        <f>+B34</f>
        <v>0.1</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1" t="s">
        <v>17</v>
      </c>
      <c r="B22" s="684"/>
      <c r="C22" s="22"/>
      <c r="D22" s="23"/>
      <c r="E22" s="23"/>
      <c r="F22" s="23"/>
      <c r="G22" s="23"/>
      <c r="H22" s="451"/>
      <c r="I22" s="480"/>
      <c r="J22" s="23"/>
      <c r="K22" s="23"/>
      <c r="L22" s="23"/>
      <c r="M22" s="23"/>
      <c r="N22" s="23"/>
      <c r="O22" s="141">
        <f t="shared" ref="O22:O25" si="0">SUM(C22:N22)</f>
        <v>0</v>
      </c>
      <c r="P22" s="244"/>
      <c r="Q22" s="423">
        <v>345554764</v>
      </c>
      <c r="R22" s="72"/>
      <c r="S22" s="72"/>
      <c r="T22" s="72"/>
      <c r="U22" s="422">
        <v>14000000</v>
      </c>
      <c r="V22" s="451"/>
      <c r="W22" s="143"/>
      <c r="X22" s="72">
        <v>35000000</v>
      </c>
      <c r="Y22" s="72"/>
      <c r="Z22" s="72">
        <v>39534416</v>
      </c>
      <c r="AA22" s="72"/>
      <c r="AB22" s="72"/>
      <c r="AC22" s="141">
        <f t="shared" ref="AC22:AC23" si="1">SUM(Q22:AB22)</f>
        <v>434089180</v>
      </c>
      <c r="AD22" s="24"/>
      <c r="AE22" s="559">
        <v>434089180</v>
      </c>
      <c r="AF22" s="18">
        <f>+AC22-AD22</f>
        <v>434089180</v>
      </c>
      <c r="AG22" s="1"/>
      <c r="AH22" s="1"/>
      <c r="AI22" s="1"/>
      <c r="AJ22" s="1"/>
      <c r="AK22" s="1"/>
      <c r="AL22" s="1"/>
      <c r="AM22" s="1"/>
      <c r="AN22" s="1"/>
      <c r="AO22" s="1"/>
    </row>
    <row r="23" spans="1:41" ht="31.5" customHeight="1">
      <c r="A23" s="713" t="s">
        <v>18</v>
      </c>
      <c r="B23" s="688"/>
      <c r="C23" s="25">
        <v>3180045</v>
      </c>
      <c r="D23" s="26"/>
      <c r="E23" s="26">
        <v>-2744000</v>
      </c>
      <c r="F23" s="26">
        <v>0</v>
      </c>
      <c r="G23" s="26">
        <v>-179378</v>
      </c>
      <c r="H23" s="452">
        <v>0</v>
      </c>
      <c r="I23" s="478">
        <v>0</v>
      </c>
      <c r="J23" s="26">
        <v>0</v>
      </c>
      <c r="K23" s="26">
        <v>0</v>
      </c>
      <c r="L23" s="26">
        <v>0</v>
      </c>
      <c r="M23" s="26">
        <v>0</v>
      </c>
      <c r="N23" s="26"/>
      <c r="O23" s="27">
        <f t="shared" si="0"/>
        <v>256667</v>
      </c>
      <c r="P23" s="424" t="str">
        <f>IFERROR(O23/(SUMIF(C23:N23,"&gt;0",C22:N22))," ")</f>
        <v xml:space="preserve"> </v>
      </c>
      <c r="Q23" s="425">
        <v>345554764</v>
      </c>
      <c r="R23" s="28">
        <v>0</v>
      </c>
      <c r="S23" s="421">
        <v>-4916077</v>
      </c>
      <c r="T23" s="421">
        <v>-1873117</v>
      </c>
      <c r="U23" s="422">
        <v>18226536</v>
      </c>
      <c r="V23" s="453">
        <v>0</v>
      </c>
      <c r="W23" s="28">
        <v>0</v>
      </c>
      <c r="X23" s="26">
        <v>42000000</v>
      </c>
      <c r="Y23" s="26">
        <v>2995122</v>
      </c>
      <c r="Z23" s="28">
        <v>0</v>
      </c>
      <c r="AA23" s="26">
        <v>7000000</v>
      </c>
      <c r="AB23" s="28"/>
      <c r="AC23" s="571">
        <f t="shared" si="1"/>
        <v>408987228</v>
      </c>
      <c r="AD23" s="29">
        <f>AC23/AC22</f>
        <v>0.94217328337923556</v>
      </c>
      <c r="AE23" s="354" t="s">
        <v>175</v>
      </c>
      <c r="AF23" s="18"/>
      <c r="AG23" s="1"/>
      <c r="AH23" s="1"/>
      <c r="AI23" s="1"/>
      <c r="AJ23" s="1"/>
      <c r="AK23" s="1"/>
      <c r="AL23" s="1"/>
      <c r="AM23" s="1"/>
      <c r="AN23" s="1"/>
      <c r="AO23" s="1"/>
    </row>
    <row r="24" spans="1:41" ht="31.5" customHeight="1">
      <c r="A24" s="713" t="s">
        <v>19</v>
      </c>
      <c r="B24" s="688"/>
      <c r="C24" s="30"/>
      <c r="D24" s="26">
        <f>3000667+E23</f>
        <v>256667</v>
      </c>
      <c r="E24" s="26"/>
      <c r="F24" s="26"/>
      <c r="G24" s="27"/>
      <c r="H24" s="453"/>
      <c r="I24" s="28"/>
      <c r="J24" s="27"/>
      <c r="K24" s="27"/>
      <c r="L24" s="27"/>
      <c r="M24" s="27"/>
      <c r="N24" s="27"/>
      <c r="O24" s="571">
        <f t="shared" si="0"/>
        <v>256667</v>
      </c>
      <c r="P24" s="245"/>
      <c r="Q24" s="426"/>
      <c r="R24" s="26">
        <v>11837729.999999998</v>
      </c>
      <c r="S24" s="422">
        <v>30358700</v>
      </c>
      <c r="T24" s="26">
        <v>30358700</v>
      </c>
      <c r="U24" s="422">
        <v>30358700</v>
      </c>
      <c r="V24" s="452">
        <v>30358700</v>
      </c>
      <c r="W24" s="478">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749" t="s">
        <v>20</v>
      </c>
      <c r="B25" s="750"/>
      <c r="C25" s="31"/>
      <c r="D25" s="32">
        <v>256667</v>
      </c>
      <c r="E25" s="32">
        <f>2744000+E23</f>
        <v>0</v>
      </c>
      <c r="F25" s="32">
        <v>0</v>
      </c>
      <c r="G25" s="32">
        <v>0</v>
      </c>
      <c r="H25" s="454">
        <v>0</v>
      </c>
      <c r="I25" s="479">
        <v>0</v>
      </c>
      <c r="J25" s="32">
        <v>0</v>
      </c>
      <c r="K25" s="32">
        <v>0</v>
      </c>
      <c r="L25" s="32">
        <v>0</v>
      </c>
      <c r="M25" s="32">
        <v>0</v>
      </c>
      <c r="N25" s="32"/>
      <c r="O25" s="33">
        <f t="shared" si="0"/>
        <v>256667</v>
      </c>
      <c r="P25" s="427">
        <f>O25/O24</f>
        <v>1</v>
      </c>
      <c r="Q25" s="31"/>
      <c r="R25" s="32">
        <v>4248887</v>
      </c>
      <c r="S25" s="32">
        <v>22478200</v>
      </c>
      <c r="T25" s="32">
        <v>40617833</v>
      </c>
      <c r="U25" s="422">
        <v>20938700</v>
      </c>
      <c r="V25" s="454">
        <v>51245236</v>
      </c>
      <c r="W25" s="479">
        <v>36397700</v>
      </c>
      <c r="X25" s="32">
        <v>30239700</v>
      </c>
      <c r="Y25" s="32">
        <v>27745367</v>
      </c>
      <c r="Z25" s="32">
        <v>31082033</v>
      </c>
      <c r="AA25" s="32">
        <v>32793822</v>
      </c>
      <c r="AB25" s="32"/>
      <c r="AC25" s="33">
        <f>SUM(Q25:AB25)</f>
        <v>297787478</v>
      </c>
      <c r="AD25" s="34">
        <f>AC25/AC24</f>
        <v>0.75474308048147154</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106.5" customHeight="1">
      <c r="A30" s="36" t="s">
        <v>268</v>
      </c>
      <c r="B30" s="857" t="s">
        <v>98</v>
      </c>
      <c r="C30" s="800"/>
      <c r="D30" s="247"/>
      <c r="E30" s="247"/>
      <c r="F30" s="73"/>
      <c r="G30" s="247"/>
      <c r="H30" s="247"/>
      <c r="I30" s="247"/>
      <c r="J30" s="247"/>
      <c r="K30" s="247"/>
      <c r="L30" s="247"/>
      <c r="M30" s="247"/>
      <c r="N30" s="247"/>
      <c r="O30" s="247"/>
      <c r="P30" s="248">
        <f>SUM(D30:O30)</f>
        <v>0</v>
      </c>
      <c r="Q30" s="798"/>
      <c r="R30" s="688"/>
      <c r="S30" s="688"/>
      <c r="T30" s="688"/>
      <c r="U30" s="688"/>
      <c r="V30" s="688"/>
      <c r="W30" s="688"/>
      <c r="X30" s="688"/>
      <c r="Y30" s="688"/>
      <c r="Z30" s="688"/>
      <c r="AA30" s="688"/>
      <c r="AB30" s="688"/>
      <c r="AC30" s="688"/>
      <c r="AD30" s="689"/>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35.6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29" t="s">
        <v>188</v>
      </c>
      <c r="R33" s="727"/>
      <c r="S33" s="727"/>
      <c r="T33" s="727"/>
      <c r="U33" s="727"/>
      <c r="V33" s="875"/>
      <c r="W33" s="729" t="s">
        <v>189</v>
      </c>
      <c r="X33" s="727"/>
      <c r="Y33" s="727"/>
      <c r="Z33" s="875"/>
      <c r="AA33" s="729" t="s">
        <v>190</v>
      </c>
      <c r="AB33" s="727"/>
      <c r="AC33" s="727"/>
      <c r="AD33" s="641"/>
      <c r="AE33" s="1"/>
      <c r="AF33" s="1"/>
      <c r="AG33" s="38"/>
      <c r="AH33" s="38"/>
      <c r="AI33" s="38"/>
      <c r="AJ33" s="38"/>
      <c r="AK33" s="38"/>
      <c r="AL33" s="38"/>
      <c r="AM33" s="38"/>
      <c r="AN33" s="38"/>
      <c r="AO33" s="38"/>
    </row>
    <row r="34" spans="1:41" ht="80.25" customHeight="1">
      <c r="A34" s="889" t="s">
        <v>268</v>
      </c>
      <c r="B34" s="706">
        <f>SUM(B38,B40,B42)</f>
        <v>0.1</v>
      </c>
      <c r="C34" s="214" t="s">
        <v>45</v>
      </c>
      <c r="D34" s="259">
        <f t="shared" ref="D34:O34" si="2">+D46</f>
        <v>0.75249999999999995</v>
      </c>
      <c r="E34" s="259">
        <f t="shared" si="2"/>
        <v>0.80499999999999994</v>
      </c>
      <c r="F34" s="259">
        <f t="shared" si="2"/>
        <v>0.85749999999999993</v>
      </c>
      <c r="G34" s="259">
        <f t="shared" si="2"/>
        <v>0.8866666666666666</v>
      </c>
      <c r="H34" s="259">
        <f t="shared" si="2"/>
        <v>0.91583333333333328</v>
      </c>
      <c r="I34" s="259">
        <f t="shared" si="2"/>
        <v>0.94499999999999995</v>
      </c>
      <c r="J34" s="259">
        <f t="shared" si="2"/>
        <v>0.96666666666666656</v>
      </c>
      <c r="K34" s="259">
        <f t="shared" si="2"/>
        <v>0.97333333333333327</v>
      </c>
      <c r="L34" s="259">
        <f t="shared" si="2"/>
        <v>0.98</v>
      </c>
      <c r="M34" s="259">
        <f t="shared" si="2"/>
        <v>0.98666666666666669</v>
      </c>
      <c r="N34" s="259">
        <f t="shared" si="2"/>
        <v>0.9933333333333334</v>
      </c>
      <c r="O34" s="259">
        <f t="shared" si="2"/>
        <v>1</v>
      </c>
      <c r="P34" s="441">
        <f t="shared" ref="P34" si="3">+O34</f>
        <v>1</v>
      </c>
      <c r="Q34" s="842" t="s">
        <v>269</v>
      </c>
      <c r="R34" s="843"/>
      <c r="S34" s="843"/>
      <c r="T34" s="843"/>
      <c r="U34" s="843"/>
      <c r="V34" s="844"/>
      <c r="W34" s="848" t="s">
        <v>119</v>
      </c>
      <c r="X34" s="849"/>
      <c r="Y34" s="849"/>
      <c r="Z34" s="850"/>
      <c r="AA34" s="848" t="s">
        <v>270</v>
      </c>
      <c r="AB34" s="849"/>
      <c r="AC34" s="849"/>
      <c r="AD34" s="849"/>
      <c r="AE34">
        <f>LEN(Q34)</f>
        <v>369</v>
      </c>
      <c r="AF34" s="1"/>
      <c r="AG34" s="38"/>
      <c r="AH34" s="38"/>
      <c r="AI34" s="38"/>
      <c r="AJ34" s="38"/>
      <c r="AK34" s="38"/>
      <c r="AL34" s="38"/>
      <c r="AM34" s="38"/>
      <c r="AN34" s="38"/>
      <c r="AO34" s="38"/>
    </row>
    <row r="35" spans="1:41" ht="80.25" customHeight="1" thickBot="1">
      <c r="A35" s="890"/>
      <c r="B35" s="707"/>
      <c r="C35" s="211" t="s">
        <v>46</v>
      </c>
      <c r="D35" s="212">
        <f t="shared" ref="D35:O35" si="4">+D47</f>
        <v>0.75372499999999998</v>
      </c>
      <c r="E35" s="212">
        <f t="shared" si="4"/>
        <v>0.79977500000000001</v>
      </c>
      <c r="F35" s="212">
        <f t="shared" si="4"/>
        <v>0.84582500000000005</v>
      </c>
      <c r="G35" s="415">
        <f t="shared" si="4"/>
        <v>0.88266500000000003</v>
      </c>
      <c r="H35" s="415">
        <f t="shared" si="4"/>
        <v>0.91251222222222228</v>
      </c>
      <c r="I35" s="415">
        <f t="shared" si="4"/>
        <v>0.93468444444444454</v>
      </c>
      <c r="J35" s="415">
        <f t="shared" si="4"/>
        <v>0.97459444444444454</v>
      </c>
      <c r="K35" s="415">
        <f t="shared" si="4"/>
        <v>0.98141666666666671</v>
      </c>
      <c r="L35" s="415">
        <f t="shared" si="4"/>
        <v>0.98755666666666675</v>
      </c>
      <c r="M35" s="415">
        <f t="shared" si="4"/>
        <v>0.99369666666666678</v>
      </c>
      <c r="N35" s="415">
        <f t="shared" si="4"/>
        <v>0.99983666666666682</v>
      </c>
      <c r="O35" s="213">
        <f t="shared" si="4"/>
        <v>0.99983666666666682</v>
      </c>
      <c r="P35" s="442">
        <f>+N35</f>
        <v>0.99983666666666682</v>
      </c>
      <c r="Q35" s="845"/>
      <c r="R35" s="846"/>
      <c r="S35" s="846"/>
      <c r="T35" s="846"/>
      <c r="U35" s="846"/>
      <c r="V35" s="847"/>
      <c r="W35" s="851"/>
      <c r="X35" s="852"/>
      <c r="Y35" s="852"/>
      <c r="Z35" s="853"/>
      <c r="AA35" s="851"/>
      <c r="AB35" s="852"/>
      <c r="AC35" s="852"/>
      <c r="AD35" s="852"/>
      <c r="AE35" s="443"/>
      <c r="AF35" s="1"/>
      <c r="AG35" s="38"/>
      <c r="AH35" s="38"/>
      <c r="AI35" s="38"/>
      <c r="AJ35" s="38"/>
      <c r="AK35" s="38"/>
      <c r="AL35" s="38"/>
      <c r="AM35" s="38"/>
      <c r="AN35" s="38"/>
      <c r="AO35" s="38"/>
    </row>
    <row r="36" spans="1:41" ht="39" customHeight="1">
      <c r="A36" s="675" t="s">
        <v>27</v>
      </c>
      <c r="B36" s="677" t="s">
        <v>28</v>
      </c>
      <c r="C36" s="884" t="s">
        <v>29</v>
      </c>
      <c r="D36" s="885"/>
      <c r="E36" s="885"/>
      <c r="F36" s="885"/>
      <c r="G36" s="885"/>
      <c r="H36" s="885"/>
      <c r="I36" s="885"/>
      <c r="J36" s="885"/>
      <c r="K36" s="885"/>
      <c r="L36" s="885"/>
      <c r="M36" s="885"/>
      <c r="N36" s="885"/>
      <c r="O36" s="885"/>
      <c r="P36" s="886"/>
      <c r="Q36" s="719" t="s">
        <v>193</v>
      </c>
      <c r="R36" s="685"/>
      <c r="S36" s="685"/>
      <c r="T36" s="685"/>
      <c r="U36" s="685"/>
      <c r="V36" s="685"/>
      <c r="W36" s="685"/>
      <c r="X36" s="685"/>
      <c r="Y36" s="685"/>
      <c r="Z36" s="685"/>
      <c r="AA36" s="685"/>
      <c r="AB36" s="685"/>
      <c r="AC36" s="685"/>
      <c r="AD36" s="887"/>
      <c r="AE36" s="1"/>
      <c r="AF36" s="1"/>
      <c r="AG36" s="38"/>
      <c r="AH36" s="38"/>
      <c r="AI36" s="38"/>
      <c r="AJ36" s="38"/>
      <c r="AK36" s="38"/>
      <c r="AL36" s="38"/>
      <c r="AM36" s="38"/>
      <c r="AN36" s="38"/>
      <c r="AO36" s="38"/>
    </row>
    <row r="37" spans="1:41" ht="44.1" customHeight="1">
      <c r="A37" s="676"/>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871"/>
      <c r="AE37" s="1"/>
      <c r="AF37" s="1"/>
      <c r="AG37" s="41"/>
      <c r="AH37" s="41"/>
      <c r="AI37" s="41"/>
      <c r="AJ37" s="41"/>
      <c r="AK37" s="41"/>
      <c r="AL37" s="41"/>
      <c r="AM37" s="41"/>
      <c r="AN37" s="41"/>
      <c r="AO37" s="41"/>
    </row>
    <row r="38" spans="1:41" ht="59.1" customHeight="1">
      <c r="A38" s="882" t="s">
        <v>271</v>
      </c>
      <c r="B38" s="679">
        <v>0.05</v>
      </c>
      <c r="C38" s="214" t="s">
        <v>45</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5">
        <f>SUM(D38:O38)</f>
        <v>0.99999999999999967</v>
      </c>
      <c r="Q38" s="876" t="s">
        <v>272</v>
      </c>
      <c r="R38" s="877"/>
      <c r="S38" s="877"/>
      <c r="T38" s="877"/>
      <c r="U38" s="877"/>
      <c r="V38" s="877"/>
      <c r="W38" s="877"/>
      <c r="X38" s="877"/>
      <c r="Y38" s="877"/>
      <c r="Z38" s="877"/>
      <c r="AA38" s="877"/>
      <c r="AB38" s="877"/>
      <c r="AC38" s="877"/>
      <c r="AD38" s="878"/>
      <c r="AE38" s="43"/>
      <c r="AF38" s="1"/>
      <c r="AG38" s="44"/>
      <c r="AH38" s="44"/>
      <c r="AI38" s="44"/>
      <c r="AJ38" s="44"/>
      <c r="AK38" s="44"/>
      <c r="AL38" s="44"/>
      <c r="AM38" s="44"/>
      <c r="AN38" s="44"/>
      <c r="AO38" s="44"/>
    </row>
    <row r="39" spans="1:41" ht="81.75" customHeight="1">
      <c r="A39" s="888"/>
      <c r="B39" s="678"/>
      <c r="C39" s="45" t="s">
        <v>46</v>
      </c>
      <c r="D39" s="46">
        <v>0.2</v>
      </c>
      <c r="E39" s="46">
        <v>0.15</v>
      </c>
      <c r="F39" s="210">
        <v>0.15</v>
      </c>
      <c r="G39" s="46">
        <v>0.09</v>
      </c>
      <c r="H39" s="46">
        <v>4.4444444444444446E-2</v>
      </c>
      <c r="I39" s="46">
        <v>4.4444444444444446E-2</v>
      </c>
      <c r="J39" s="46">
        <v>0.11</v>
      </c>
      <c r="K39" s="46">
        <v>4.4444444444444446E-2</v>
      </c>
      <c r="L39" s="46">
        <v>0.04</v>
      </c>
      <c r="M39" s="46">
        <v>0.04</v>
      </c>
      <c r="N39" s="46">
        <v>0.04</v>
      </c>
      <c r="O39" s="46"/>
      <c r="P39" s="216">
        <f t="shared" ref="P39:P40" si="5">SUM(D39:O39)</f>
        <v>0.95333333333333325</v>
      </c>
      <c r="Q39" s="879"/>
      <c r="R39" s="880"/>
      <c r="S39" s="880"/>
      <c r="T39" s="880"/>
      <c r="U39" s="880"/>
      <c r="V39" s="880"/>
      <c r="W39" s="880"/>
      <c r="X39" s="880"/>
      <c r="Y39" s="880"/>
      <c r="Z39" s="880"/>
      <c r="AA39" s="880"/>
      <c r="AB39" s="880"/>
      <c r="AC39" s="880"/>
      <c r="AD39" s="881"/>
      <c r="AE39" s="43"/>
      <c r="AF39" s="1"/>
      <c r="AG39" s="1"/>
      <c r="AH39" s="1"/>
      <c r="AI39" s="1"/>
      <c r="AJ39" s="1"/>
      <c r="AK39" s="1"/>
      <c r="AL39" s="1"/>
      <c r="AM39" s="1"/>
      <c r="AN39" s="1"/>
      <c r="AO39" s="1"/>
    </row>
    <row r="40" spans="1:41" ht="94.5" customHeight="1">
      <c r="A40" s="882" t="s">
        <v>273</v>
      </c>
      <c r="B40" s="673">
        <v>0.05</v>
      </c>
      <c r="C40" s="47" t="s">
        <v>45</v>
      </c>
      <c r="D40" s="42">
        <v>0.15</v>
      </c>
      <c r="E40" s="42">
        <v>0.15</v>
      </c>
      <c r="F40" s="42">
        <v>0.15</v>
      </c>
      <c r="G40" s="42">
        <v>0.15</v>
      </c>
      <c r="H40" s="440">
        <v>0.15</v>
      </c>
      <c r="I40" s="42">
        <v>0.15</v>
      </c>
      <c r="J40" s="42">
        <v>0.1</v>
      </c>
      <c r="K40" s="42">
        <v>0</v>
      </c>
      <c r="L40" s="42">
        <v>0</v>
      </c>
      <c r="M40" s="42">
        <v>0</v>
      </c>
      <c r="N40" s="42">
        <v>0</v>
      </c>
      <c r="O40" s="42">
        <v>0</v>
      </c>
      <c r="P40" s="216">
        <f t="shared" si="5"/>
        <v>1</v>
      </c>
      <c r="Q40" s="690" t="s">
        <v>274</v>
      </c>
      <c r="R40" s="691"/>
      <c r="S40" s="691"/>
      <c r="T40" s="691"/>
      <c r="U40" s="691"/>
      <c r="V40" s="691"/>
      <c r="W40" s="691"/>
      <c r="X40" s="691"/>
      <c r="Y40" s="691"/>
      <c r="Z40" s="691"/>
      <c r="AA40" s="691"/>
      <c r="AB40" s="691"/>
      <c r="AC40" s="691"/>
      <c r="AD40" s="692"/>
      <c r="AE40" s="43"/>
      <c r="AF40" s="1"/>
      <c r="AG40" s="1"/>
      <c r="AH40" s="1"/>
      <c r="AI40" s="1"/>
      <c r="AJ40" s="1"/>
      <c r="AK40" s="1"/>
      <c r="AL40" s="1"/>
      <c r="AM40" s="1"/>
      <c r="AN40" s="1"/>
      <c r="AO40" s="1"/>
    </row>
    <row r="41" spans="1:41" ht="60.6" customHeight="1" thickBot="1">
      <c r="A41" s="883"/>
      <c r="B41" s="674"/>
      <c r="C41" s="217" t="s">
        <v>46</v>
      </c>
      <c r="D41" s="218">
        <v>0.15</v>
      </c>
      <c r="E41" s="218">
        <v>0.15</v>
      </c>
      <c r="F41" s="382">
        <v>0.15</v>
      </c>
      <c r="G41" s="218">
        <v>0.15</v>
      </c>
      <c r="H41" s="218">
        <v>0.15</v>
      </c>
      <c r="I41" s="218">
        <v>0.1</v>
      </c>
      <c r="J41" s="218">
        <v>0.15</v>
      </c>
      <c r="K41" s="219">
        <v>0</v>
      </c>
      <c r="L41" s="219">
        <v>0</v>
      </c>
      <c r="M41" s="219">
        <v>0</v>
      </c>
      <c r="N41" s="219">
        <v>0</v>
      </c>
      <c r="O41" s="219"/>
      <c r="P41" s="220">
        <f>SUM(D41:O41)</f>
        <v>1</v>
      </c>
      <c r="Q41" s="693"/>
      <c r="R41" s="694"/>
      <c r="S41" s="694"/>
      <c r="T41" s="694"/>
      <c r="U41" s="694"/>
      <c r="V41" s="694"/>
      <c r="W41" s="694"/>
      <c r="X41" s="694"/>
      <c r="Y41" s="694"/>
      <c r="Z41" s="694"/>
      <c r="AA41" s="694"/>
      <c r="AB41" s="694"/>
      <c r="AC41" s="694"/>
      <c r="AD41" s="695"/>
      <c r="AE41" s="43"/>
      <c r="AF41" s="1"/>
      <c r="AG41" s="1"/>
      <c r="AH41" s="1"/>
      <c r="AI41" s="1"/>
      <c r="AJ41" s="1"/>
      <c r="AK41" s="1"/>
      <c r="AL41" s="1"/>
      <c r="AM41" s="1"/>
      <c r="AN41" s="1"/>
      <c r="AO41" s="1"/>
    </row>
    <row r="42" spans="1:41" ht="14.25" customHeight="1">
      <c r="A42" s="1" t="s">
        <v>198</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199</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200</v>
      </c>
      <c r="D47" s="55">
        <f>((((D39+D41)/2)*0.307)+C45)</f>
        <v>0.75372499999999998</v>
      </c>
      <c r="E47" s="55">
        <f>((((E39+E41)/2)*0.307)+$D$47)</f>
        <v>0.79977500000000001</v>
      </c>
      <c r="F47" s="55">
        <f t="shared" ref="F47:O47" si="7">((((F39+F41)/2)*0.307)+E47)</f>
        <v>0.84582500000000005</v>
      </c>
      <c r="G47" s="55">
        <f t="shared" si="7"/>
        <v>0.88266500000000003</v>
      </c>
      <c r="H47" s="55">
        <f t="shared" si="7"/>
        <v>0.91251222222222228</v>
      </c>
      <c r="I47" s="55">
        <f t="shared" si="7"/>
        <v>0.93468444444444454</v>
      </c>
      <c r="J47" s="55">
        <f t="shared" si="7"/>
        <v>0.97459444444444454</v>
      </c>
      <c r="K47" s="55">
        <f t="shared" si="7"/>
        <v>0.98141666666666671</v>
      </c>
      <c r="L47" s="55">
        <f t="shared" si="7"/>
        <v>0.98755666666666675</v>
      </c>
      <c r="M47" s="55">
        <f t="shared" si="7"/>
        <v>0.99369666666666678</v>
      </c>
      <c r="N47" s="55">
        <f t="shared" si="7"/>
        <v>0.99983666666666682</v>
      </c>
      <c r="O47" s="55">
        <f t="shared" si="7"/>
        <v>0.99983666666666682</v>
      </c>
      <c r="P47" s="1"/>
      <c r="Q47" s="841"/>
      <c r="R47" s="841"/>
      <c r="S47" s="841"/>
      <c r="T47" s="841"/>
      <c r="U47" s="841"/>
      <c r="V47" s="841"/>
      <c r="W47" s="841"/>
      <c r="X47" s="841"/>
      <c r="Y47" s="841"/>
      <c r="Z47" s="841"/>
      <c r="AA47" s="841"/>
      <c r="AB47" s="841"/>
      <c r="AC47" s="841"/>
      <c r="AD47" s="84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841"/>
      <c r="R48" s="841"/>
      <c r="S48" s="841"/>
      <c r="T48" s="841"/>
      <c r="U48" s="841"/>
      <c r="V48" s="841"/>
      <c r="W48" s="841"/>
      <c r="X48" s="841"/>
      <c r="Y48" s="841"/>
      <c r="Z48" s="841"/>
      <c r="AA48" s="841"/>
      <c r="AB48" s="841"/>
      <c r="AC48" s="841"/>
      <c r="AD48" s="841"/>
      <c r="AE48" s="1"/>
      <c r="AF48" s="1"/>
      <c r="AG48" s="1"/>
      <c r="AH48" s="1"/>
      <c r="AI48" s="1"/>
      <c r="AJ48" s="1"/>
      <c r="AK48" s="1"/>
      <c r="AL48" s="1"/>
      <c r="AM48" s="1"/>
      <c r="AN48" s="1"/>
      <c r="AO48" s="1"/>
    </row>
    <row r="49" spans="1:41" ht="23.25" customHeight="1">
      <c r="A49" s="1"/>
      <c r="B49" s="1"/>
      <c r="C49" s="76" t="s">
        <v>275</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3" t="s">
        <v>276</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4" t="s">
        <v>277</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278</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25" right="0.25" top="0.75" bottom="0.75" header="0.3" footer="0.3"/>
  <pageSetup paperSize="5" scale="35"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5" customWidth="1"/>
    <col min="2" max="2" width="17.7109375" style="171" customWidth="1"/>
    <col min="3" max="3" width="18.7109375" style="172" customWidth="1"/>
    <col min="4" max="4" width="6.28515625" style="172" customWidth="1"/>
    <col min="5" max="5" width="15.7109375" style="162" customWidth="1"/>
    <col min="6" max="6" width="8.28515625" style="172" customWidth="1"/>
    <col min="7" max="7" width="16.28515625" style="156" bestFit="1" customWidth="1"/>
    <col min="8" max="8" width="16.5703125" style="156" customWidth="1"/>
    <col min="9" max="9" width="8.5703125" style="156" customWidth="1"/>
    <col min="10" max="10" width="14.28515625" style="156" customWidth="1"/>
    <col min="11" max="11" width="8.5703125" style="156" bestFit="1" customWidth="1"/>
    <col min="12" max="12" width="10.42578125" style="156" bestFit="1" customWidth="1"/>
    <col min="13" max="13" width="18" style="334" customWidth="1"/>
    <col min="14" max="14" width="13.42578125" style="156" customWidth="1"/>
    <col min="15" max="15" width="10.7109375" style="156"/>
    <col min="16" max="16" width="12.42578125" style="156" customWidth="1"/>
    <col min="17" max="16384" width="10.7109375" style="156"/>
  </cols>
  <sheetData>
    <row r="2" spans="1:16">
      <c r="A2" s="155" t="s">
        <v>279</v>
      </c>
    </row>
    <row r="4" spans="1:16" ht="16.5" customHeight="1">
      <c r="B4" s="891" t="s">
        <v>280</v>
      </c>
      <c r="C4" s="891"/>
      <c r="D4" s="891"/>
      <c r="E4" s="891"/>
      <c r="F4" s="891"/>
      <c r="G4" s="892" t="s">
        <v>281</v>
      </c>
      <c r="H4" s="892"/>
      <c r="I4" s="892"/>
      <c r="J4" s="892"/>
      <c r="K4" s="892"/>
    </row>
    <row r="5" spans="1:16" s="162" customFormat="1" ht="45">
      <c r="A5" s="157" t="s">
        <v>282</v>
      </c>
      <c r="B5" s="158" t="s">
        <v>283</v>
      </c>
      <c r="C5" s="175" t="s">
        <v>284</v>
      </c>
      <c r="D5" s="159" t="s">
        <v>285</v>
      </c>
      <c r="E5" s="159" t="s">
        <v>286</v>
      </c>
      <c r="F5" s="159" t="s">
        <v>285</v>
      </c>
      <c r="G5" s="160" t="s">
        <v>281</v>
      </c>
      <c r="H5" s="160" t="s">
        <v>287</v>
      </c>
      <c r="I5" s="161" t="s">
        <v>285</v>
      </c>
      <c r="J5" s="161" t="s">
        <v>286</v>
      </c>
      <c r="K5" s="161" t="s">
        <v>285</v>
      </c>
      <c r="M5" s="335"/>
    </row>
    <row r="6" spans="1:16" ht="34.15" customHeight="1">
      <c r="A6" s="163" t="str">
        <f>+'Metas 1'!A30</f>
        <v xml:space="preserve">1. Diseñar 1 documento de lineamientos técnicos para la formulación de las bases del sistema distrital de cuidado. </v>
      </c>
      <c r="B6" s="164">
        <f>+'Metas 1'!AC22</f>
        <v>388140078</v>
      </c>
      <c r="C6" s="164">
        <f>+'Metas 1'!AC23</f>
        <v>348203128</v>
      </c>
      <c r="D6" s="165">
        <f>+C6/B6</f>
        <v>0.89710686356898195</v>
      </c>
      <c r="E6" s="164">
        <f>+'Metas 1'!AC25</f>
        <v>254427277</v>
      </c>
      <c r="F6" s="290">
        <f>+E6/C6</f>
        <v>0.73068636247288388</v>
      </c>
      <c r="G6" s="166">
        <f>+'Metas 1'!O24</f>
        <v>703406667</v>
      </c>
      <c r="H6" s="166">
        <f>+'Metas 1'!O23</f>
        <v>703406667</v>
      </c>
      <c r="I6" s="167">
        <f>+H6/G6</f>
        <v>1</v>
      </c>
      <c r="J6" s="166">
        <f>+'Metas 1'!O25</f>
        <v>703406667</v>
      </c>
      <c r="K6" s="289">
        <f>+J6/H6</f>
        <v>1</v>
      </c>
      <c r="M6" s="336">
        <v>6932787</v>
      </c>
      <c r="P6" s="156">
        <v>30006820</v>
      </c>
    </row>
    <row r="7" spans="1:16" ht="30" customHeight="1">
      <c r="A7" s="163" t="str">
        <f>+'Metas 2'!A30</f>
        <v>2. Coordinar y articular 13 secretarías del nivel distrital para la implementación del sistema distrital de cuidado</v>
      </c>
      <c r="B7" s="164">
        <f>+'Metas 2'!AC22</f>
        <v>283398970</v>
      </c>
      <c r="C7" s="164">
        <f>+'Metas 2'!AC23</f>
        <v>261809604</v>
      </c>
      <c r="D7" s="165">
        <f t="shared" ref="D7:D13" si="0">+C7/B7</f>
        <v>0.92381988544277349</v>
      </c>
      <c r="E7" s="164">
        <f>+'Metas 2'!AC25</f>
        <v>180970804</v>
      </c>
      <c r="F7" s="290">
        <f t="shared" ref="F7:F12" si="1">+E7/C7</f>
        <v>0.69123057838626878</v>
      </c>
      <c r="G7" s="166">
        <f>+'Metas 2'!O24</f>
        <v>293333</v>
      </c>
      <c r="H7" s="166">
        <f t="shared" ref="H7:H12" si="2">+G7</f>
        <v>293333</v>
      </c>
      <c r="I7" s="167">
        <f t="shared" ref="I7:I12" si="3">+H7/G7</f>
        <v>1</v>
      </c>
      <c r="J7" s="166">
        <f>+'Metas 2'!O25</f>
        <v>293333</v>
      </c>
      <c r="K7" s="289">
        <f t="shared" ref="K7:K12" si="4">+J7/H7</f>
        <v>1</v>
      </c>
      <c r="M7" s="336">
        <v>4014213</v>
      </c>
      <c r="N7" s="334">
        <f>SUM(M6:M7)</f>
        <v>10947000</v>
      </c>
      <c r="P7" s="156">
        <v>20941680</v>
      </c>
    </row>
    <row r="8" spans="1:16" ht="29.1" customHeight="1">
      <c r="A8" s="163" t="str">
        <f>+'Metas 3'!A30</f>
        <v>3. Gestionar 1 estrategia para la adecuación de infraestructura de manzanas de cuidado</v>
      </c>
      <c r="B8" s="164">
        <f>+'Metas 3'!AC22</f>
        <v>2521271810</v>
      </c>
      <c r="C8" s="164">
        <f>+'Metas 3'!AC23</f>
        <v>2454538251</v>
      </c>
      <c r="D8" s="165">
        <f t="shared" si="0"/>
        <v>0.97353178711818467</v>
      </c>
      <c r="E8" s="164">
        <f>+'Metas 3'!AC25</f>
        <v>1871986216</v>
      </c>
      <c r="F8" s="290">
        <f t="shared" si="1"/>
        <v>0.76266328921023607</v>
      </c>
      <c r="G8" s="166">
        <f>+'Metas 3'!O24</f>
        <v>79846793</v>
      </c>
      <c r="H8" s="166">
        <f t="shared" si="2"/>
        <v>79846793</v>
      </c>
      <c r="I8" s="167">
        <f t="shared" si="3"/>
        <v>1</v>
      </c>
      <c r="J8" s="166">
        <f>+'Metas 3'!O25</f>
        <v>79846793</v>
      </c>
      <c r="K8" s="289">
        <f t="shared" si="4"/>
        <v>1</v>
      </c>
      <c r="M8" s="337">
        <v>33390260</v>
      </c>
      <c r="P8" s="156">
        <v>219253047</v>
      </c>
    </row>
    <row r="9" spans="1:16" ht="29.1" customHeight="1">
      <c r="A9" s="163" t="str">
        <f>+'Metas 4 (Contrato relevos)'!A30</f>
        <v>4. Diseñar e implementar 1 estrategia de cuidado a cuidadoras.</v>
      </c>
      <c r="B9" s="164">
        <f>+'Metas 4 (Contrato relevos)'!AC22</f>
        <v>2610067442</v>
      </c>
      <c r="C9" s="164">
        <f>+'Metas 4 (Contrato relevos)'!AC23</f>
        <v>2549893032</v>
      </c>
      <c r="D9" s="165">
        <f t="shared" si="0"/>
        <v>0.97694526622887168</v>
      </c>
      <c r="E9" s="164">
        <f>+'Metas 4 (Contrato relevos)'!AC25</f>
        <v>1940141800</v>
      </c>
      <c r="F9" s="290">
        <f t="shared" si="1"/>
        <v>0.76087183879955012</v>
      </c>
      <c r="G9" s="166">
        <f>+'Metas 4 (Contrato relevos)'!O24</f>
        <v>4716145147</v>
      </c>
      <c r="H9" s="166">
        <f t="shared" si="2"/>
        <v>4716145147</v>
      </c>
      <c r="I9" s="167">
        <f t="shared" si="3"/>
        <v>1</v>
      </c>
      <c r="J9" s="166">
        <f>+'Metas 4 (Contrato relevos)'!O25</f>
        <v>369204986</v>
      </c>
      <c r="K9" s="289">
        <f t="shared" si="4"/>
        <v>7.8285331450168791E-2</v>
      </c>
      <c r="M9" s="337">
        <v>25054974</v>
      </c>
      <c r="P9" s="156">
        <v>217848557</v>
      </c>
    </row>
    <row r="10" spans="1:16" ht="53.1" customHeight="1">
      <c r="A10" s="163" t="str">
        <f>+'Metas 5'!A30</f>
        <v>5. Diseñar 1 documento para la implementación de la estrategia pedagógica para la valoración, la resignificación, el reconocimiento y la redistribución del trabajo de cuidado no remunerado que realizan las mujeres en Bogotá</v>
      </c>
      <c r="B10" s="164">
        <f>+'Metas 5'!AC22</f>
        <v>434089180</v>
      </c>
      <c r="C10" s="164">
        <f>+'Metas 5'!AC23</f>
        <v>408987228</v>
      </c>
      <c r="D10" s="165">
        <f t="shared" si="0"/>
        <v>0.94217328337923556</v>
      </c>
      <c r="E10" s="164">
        <f>+'Metas 5'!AC25</f>
        <v>297787478</v>
      </c>
      <c r="F10" s="290">
        <f t="shared" si="1"/>
        <v>0.72810948023051714</v>
      </c>
      <c r="G10" s="166">
        <f>+'Metas 5'!O24</f>
        <v>256667</v>
      </c>
      <c r="H10" s="166">
        <f t="shared" si="2"/>
        <v>256667</v>
      </c>
      <c r="I10" s="167">
        <f t="shared" si="3"/>
        <v>1</v>
      </c>
      <c r="J10" s="166">
        <f>+'Metas 5'!O25</f>
        <v>256667</v>
      </c>
      <c r="K10" s="289">
        <f t="shared" si="4"/>
        <v>1</v>
      </c>
      <c r="M10" s="338">
        <v>4248887</v>
      </c>
      <c r="P10" s="156">
        <v>26727087</v>
      </c>
    </row>
    <row r="11" spans="1:16" ht="41.65" customHeight="1">
      <c r="A11" s="163" t="str">
        <f>+'Metas 6 (ONU Mujeres)'!A30</f>
        <v>6. Implementar 1 estrategia para el reconocimiento y la redistribución del trabajo de cuidado no remunerado entre hombres y mujeres.</v>
      </c>
      <c r="B11" s="164">
        <f>+'Metas 6 (ONU Mujeres)'!AC22</f>
        <v>619821396</v>
      </c>
      <c r="C11" s="164">
        <f>+'Metas 6 (ONU Mujeres)'!AC23</f>
        <v>549449274</v>
      </c>
      <c r="D11" s="165">
        <f t="shared" si="0"/>
        <v>0.88646387095678769</v>
      </c>
      <c r="E11" s="164">
        <f>+'Metas 6 (ONU Mujeres)'!AC25</f>
        <v>366353762</v>
      </c>
      <c r="F11" s="290">
        <f t="shared" si="1"/>
        <v>0.66676539461584583</v>
      </c>
      <c r="G11" s="166">
        <f>+'Metas 6 (ONU Mujeres)'!O24</f>
        <v>208530374</v>
      </c>
      <c r="H11" s="166">
        <f t="shared" si="2"/>
        <v>208530374</v>
      </c>
      <c r="I11" s="167">
        <f t="shared" si="3"/>
        <v>1</v>
      </c>
      <c r="J11" s="166">
        <f>+'Metas 6 (ONU Mujeres)'!O25</f>
        <v>208530374</v>
      </c>
      <c r="K11" s="289">
        <f t="shared" si="4"/>
        <v>1</v>
      </c>
      <c r="M11" s="338">
        <v>8988603</v>
      </c>
      <c r="N11" s="334">
        <f>SUM(M10:M11)</f>
        <v>13237490</v>
      </c>
      <c r="P11" s="156">
        <v>40795137</v>
      </c>
    </row>
    <row r="12" spans="1:16" ht="35.1" customHeight="1">
      <c r="A12" s="163" t="str">
        <f>+'Metas 7 (Unidades Moviles)'!A30</f>
        <v>7. Gestionar la implementación de 1 estrategia de unidades móviles de cuidado.</v>
      </c>
      <c r="B12" s="164">
        <f>+'Metas 7 (Unidades Moviles)'!AC22</f>
        <v>2746135001</v>
      </c>
      <c r="C12" s="164">
        <f>+'Metas 7 (Unidades Moviles)'!AC23</f>
        <v>2679152344</v>
      </c>
      <c r="D12" s="165">
        <f t="shared" si="0"/>
        <v>0.97560838888998236</v>
      </c>
      <c r="E12" s="164">
        <f>+'Metas 7 (Unidades Moviles)'!AC25</f>
        <v>1388672174</v>
      </c>
      <c r="F12" s="290">
        <f t="shared" si="1"/>
        <v>0.51832519980058289</v>
      </c>
      <c r="G12" s="166">
        <f>+'Metas 7 (Unidades Moviles)'!O24</f>
        <v>3781668</v>
      </c>
      <c r="H12" s="166">
        <f t="shared" si="2"/>
        <v>3781668</v>
      </c>
      <c r="I12" s="167">
        <f t="shared" si="3"/>
        <v>1</v>
      </c>
      <c r="J12" s="166">
        <f>+'Metas 7 (Unidades Moviles)'!O25</f>
        <v>3781668</v>
      </c>
      <c r="K12" s="289">
        <f t="shared" si="4"/>
        <v>1</v>
      </c>
      <c r="M12" s="337">
        <v>13608498</v>
      </c>
      <c r="N12" s="334">
        <f>+M12+M8+M9</f>
        <v>72053732</v>
      </c>
      <c r="P12" s="156">
        <v>108463207</v>
      </c>
    </row>
    <row r="13" spans="1:16" s="162" customFormat="1" ht="28.5" customHeight="1">
      <c r="A13" s="168" t="s">
        <v>288</v>
      </c>
      <c r="B13" s="169">
        <f>SUM(B6:B12)</f>
        <v>9602923877</v>
      </c>
      <c r="C13" s="173">
        <f>SUM(C6:C12)</f>
        <v>9252032861</v>
      </c>
      <c r="D13" s="170">
        <f t="shared" si="0"/>
        <v>0.96345998151246204</v>
      </c>
      <c r="E13" s="174">
        <f>SUM(E6:E12)</f>
        <v>6300339511</v>
      </c>
      <c r="F13" s="291">
        <f>+E13/C13</f>
        <v>0.68096812945377194</v>
      </c>
      <c r="G13" s="174">
        <f>SUM(G6:G12)</f>
        <v>5712260649</v>
      </c>
      <c r="H13" s="174">
        <f>SUM(H6:H12)</f>
        <v>5712260649</v>
      </c>
      <c r="I13" s="292">
        <f>+H13/G13</f>
        <v>1</v>
      </c>
      <c r="J13" s="174">
        <f>SUM(J6:J12)</f>
        <v>1365320488</v>
      </c>
      <c r="K13" s="293">
        <f>+J13/H13</f>
        <v>0.23901578935110671</v>
      </c>
      <c r="M13" s="335">
        <v>96238222</v>
      </c>
    </row>
    <row r="14" spans="1:16" ht="15">
      <c r="A14" s="155" t="s">
        <v>289</v>
      </c>
      <c r="B14" s="380">
        <v>44593</v>
      </c>
      <c r="C14" s="173">
        <v>6689497774</v>
      </c>
      <c r="J14" s="173">
        <v>273082816</v>
      </c>
    </row>
    <row r="15" spans="1:16">
      <c r="C15" s="381">
        <f>+C14-C13</f>
        <v>-2562535087</v>
      </c>
    </row>
    <row r="16" spans="1:16">
      <c r="B16" s="171">
        <f>B9-3270000000</f>
        <v>-659932558</v>
      </c>
    </row>
    <row r="18" spans="1:2">
      <c r="A18" s="155" t="s">
        <v>290</v>
      </c>
      <c r="B18" s="171">
        <v>340713963</v>
      </c>
    </row>
    <row r="19" spans="1:2">
      <c r="B19" s="171">
        <v>254977520</v>
      </c>
    </row>
    <row r="20" spans="1:2">
      <c r="B20" s="171">
        <v>2501008965</v>
      </c>
    </row>
    <row r="21" spans="1:2">
      <c r="B21" s="171">
        <v>3063424930</v>
      </c>
    </row>
    <row r="22" spans="1:2">
      <c r="B22" s="171">
        <v>394554764</v>
      </c>
    </row>
    <row r="23" spans="1:2">
      <c r="B23" s="171">
        <v>547234329</v>
      </c>
    </row>
    <row r="24" spans="1:2">
      <c r="B24" s="171">
        <v>3482036529</v>
      </c>
    </row>
    <row r="25" spans="1:2">
      <c r="B25" s="171">
        <f>SUM(B18:B24)</f>
        <v>10583951000</v>
      </c>
    </row>
  </sheetData>
  <mergeCells count="2">
    <mergeCell ref="B4:F4"/>
    <mergeCell ref="G4:K4"/>
  </mergeCells>
  <phoneticPr fontId="31" type="noConversion"/>
  <pageMargins left="0.7" right="0.7" top="0.75" bottom="0.75" header="0.3" footer="0.3"/>
  <pageSetup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6" zoomScale="92" zoomScaleNormal="92" workbookViewId="0">
      <selection activeCell="C60" sqref="C60:E60"/>
    </sheetView>
  </sheetViews>
  <sheetFormatPr baseColWidth="10" defaultColWidth="11.42578125" defaultRowHeight="15"/>
  <cols>
    <col min="1" max="1" width="10.7109375" style="146" customWidth="1"/>
    <col min="2" max="2" width="6" style="146" customWidth="1"/>
    <col min="3" max="3" width="24" style="146" customWidth="1"/>
    <col min="4" max="4" width="12" style="146" customWidth="1"/>
    <col min="5" max="16384" width="11.42578125" style="146"/>
  </cols>
  <sheetData>
    <row r="1" spans="1:4">
      <c r="A1" s="145" t="s">
        <v>291</v>
      </c>
    </row>
    <row r="3" spans="1:4">
      <c r="A3" s="146">
        <v>2021</v>
      </c>
      <c r="B3" s="147">
        <v>0.38</v>
      </c>
      <c r="C3" s="146">
        <f>0.22/12</f>
        <v>1.8333333333333333E-2</v>
      </c>
      <c r="D3" s="146" t="s">
        <v>292</v>
      </c>
    </row>
    <row r="4" spans="1:4">
      <c r="A4" s="146">
        <v>2022</v>
      </c>
      <c r="B4" s="147">
        <v>0.25</v>
      </c>
      <c r="C4" s="148">
        <f>+C3</f>
        <v>1.8333333333333333E-2</v>
      </c>
      <c r="D4" s="520" t="s">
        <v>293</v>
      </c>
    </row>
    <row r="5" spans="1:4">
      <c r="A5" s="146">
        <v>2023</v>
      </c>
      <c r="B5" s="147">
        <v>0.25</v>
      </c>
      <c r="C5" s="148">
        <f>+C4+C3</f>
        <v>3.6666666666666667E-2</v>
      </c>
      <c r="D5" s="520" t="s">
        <v>294</v>
      </c>
    </row>
    <row r="6" spans="1:4">
      <c r="A6" s="146">
        <v>2024</v>
      </c>
      <c r="B6" s="147">
        <v>0.12</v>
      </c>
      <c r="C6" s="148">
        <f>+C5+C4</f>
        <v>5.5E-2</v>
      </c>
      <c r="D6" s="520" t="s">
        <v>295</v>
      </c>
    </row>
    <row r="7" spans="1:4" hidden="1">
      <c r="B7" s="147"/>
      <c r="C7" s="148"/>
      <c r="D7" s="520" t="s">
        <v>296</v>
      </c>
    </row>
    <row r="8" spans="1:4" hidden="1">
      <c r="B8" s="147"/>
      <c r="C8" s="148"/>
      <c r="D8" s="520" t="s">
        <v>297</v>
      </c>
    </row>
    <row r="9" spans="1:4" hidden="1">
      <c r="B9" s="147"/>
      <c r="C9" s="148"/>
      <c r="D9" s="520" t="s">
        <v>298</v>
      </c>
    </row>
    <row r="10" spans="1:4" hidden="1">
      <c r="B10" s="147"/>
      <c r="C10" s="148"/>
      <c r="D10" s="520" t="s">
        <v>299</v>
      </c>
    </row>
    <row r="11" spans="1:4" hidden="1">
      <c r="B11" s="147"/>
      <c r="C11" s="148"/>
      <c r="D11" s="520" t="s">
        <v>300</v>
      </c>
    </row>
    <row r="12" spans="1:4" hidden="1">
      <c r="B12" s="147"/>
      <c r="C12" s="148"/>
      <c r="D12" s="520" t="s">
        <v>301</v>
      </c>
    </row>
    <row r="13" spans="1:4" hidden="1">
      <c r="B13" s="147"/>
      <c r="C13" s="148"/>
      <c r="D13" s="520" t="s">
        <v>302</v>
      </c>
    </row>
    <row r="14" spans="1:4" hidden="1">
      <c r="B14" s="147"/>
      <c r="C14" s="148"/>
      <c r="D14" s="520" t="s">
        <v>303</v>
      </c>
    </row>
    <row r="15" spans="1:4" hidden="1">
      <c r="B15" s="147"/>
      <c r="C15" s="148"/>
      <c r="D15" s="520" t="s">
        <v>304</v>
      </c>
    </row>
    <row r="16" spans="1:4">
      <c r="B16" s="147"/>
      <c r="C16" s="148">
        <f>+C4+C5+C6</f>
        <v>0.11</v>
      </c>
      <c r="D16" s="520" t="s">
        <v>296</v>
      </c>
    </row>
    <row r="17" spans="1:12">
      <c r="A17" s="520" t="s">
        <v>305</v>
      </c>
      <c r="C17" s="521" t="s">
        <v>306</v>
      </c>
      <c r="D17" s="521"/>
      <c r="E17" s="521"/>
      <c r="F17" s="521"/>
      <c r="G17" s="521"/>
      <c r="H17" s="521"/>
      <c r="I17" s="521"/>
      <c r="J17" s="521"/>
      <c r="K17" s="521"/>
      <c r="L17" s="521"/>
    </row>
    <row r="18" spans="1:12">
      <c r="A18" s="520" t="s">
        <v>307</v>
      </c>
      <c r="C18" s="521" t="s">
        <v>308</v>
      </c>
      <c r="D18" s="521"/>
      <c r="E18" s="521"/>
      <c r="F18" s="521"/>
      <c r="G18" s="521"/>
      <c r="H18" s="521"/>
      <c r="I18" s="521"/>
      <c r="J18" s="521"/>
      <c r="K18" s="521"/>
      <c r="L18" s="521"/>
    </row>
    <row r="19" spans="1:12">
      <c r="A19" s="520" t="s">
        <v>309</v>
      </c>
      <c r="C19" s="521" t="s">
        <v>310</v>
      </c>
    </row>
    <row r="20" spans="1:12">
      <c r="A20" s="520" t="s">
        <v>311</v>
      </c>
      <c r="C20" s="521" t="s">
        <v>312</v>
      </c>
    </row>
    <row r="21" spans="1:12" hidden="1">
      <c r="A21" s="520" t="s">
        <v>313</v>
      </c>
      <c r="C21" s="521" t="s">
        <v>308</v>
      </c>
    </row>
    <row r="22" spans="1:12" hidden="1">
      <c r="A22" s="520" t="s">
        <v>314</v>
      </c>
      <c r="C22" s="521" t="s">
        <v>308</v>
      </c>
    </row>
    <row r="23" spans="1:12" hidden="1">
      <c r="A23" s="520" t="s">
        <v>315</v>
      </c>
      <c r="C23" s="521" t="s">
        <v>308</v>
      </c>
    </row>
    <row r="24" spans="1:12" hidden="1">
      <c r="A24" s="520" t="s">
        <v>316</v>
      </c>
      <c r="C24" s="521" t="s">
        <v>308</v>
      </c>
    </row>
    <row r="25" spans="1:12" hidden="1">
      <c r="A25" s="520" t="s">
        <v>317</v>
      </c>
      <c r="C25" s="521" t="s">
        <v>308</v>
      </c>
    </row>
    <row r="26" spans="1:12" hidden="1">
      <c r="A26" s="520" t="s">
        <v>318</v>
      </c>
      <c r="C26" s="521" t="s">
        <v>308</v>
      </c>
    </row>
    <row r="27" spans="1:12" hidden="1">
      <c r="A27" s="520" t="s">
        <v>319</v>
      </c>
      <c r="C27" s="521" t="s">
        <v>308</v>
      </c>
    </row>
    <row r="28" spans="1:12" hidden="1">
      <c r="A28" s="520" t="s">
        <v>320</v>
      </c>
      <c r="C28" s="521" t="s">
        <v>308</v>
      </c>
    </row>
    <row r="29" spans="1:12">
      <c r="C29" s="146">
        <f>+LEN(C19)</f>
        <v>295</v>
      </c>
    </row>
    <row r="30" spans="1:12">
      <c r="A30" s="145" t="s">
        <v>321</v>
      </c>
    </row>
    <row r="32" spans="1:12">
      <c r="B32" s="146">
        <v>0.25</v>
      </c>
      <c r="C32" s="183">
        <f>+B32/7</f>
        <v>3.5714285714285712E-2</v>
      </c>
      <c r="D32" s="520" t="s">
        <v>293</v>
      </c>
    </row>
    <row r="33" spans="1:12">
      <c r="A33" s="520" t="s">
        <v>322</v>
      </c>
      <c r="B33" s="146">
        <v>7</v>
      </c>
      <c r="C33" s="183">
        <f>+C32+C32</f>
        <v>7.1428571428571425E-2</v>
      </c>
      <c r="D33" s="520" t="s">
        <v>294</v>
      </c>
    </row>
    <row r="34" spans="1:12">
      <c r="C34" s="183">
        <f>+C33+C33</f>
        <v>0.14285714285714285</v>
      </c>
      <c r="D34" s="520" t="s">
        <v>295</v>
      </c>
    </row>
    <row r="35" spans="1:12">
      <c r="C35" s="183"/>
      <c r="D35" s="520" t="s">
        <v>296</v>
      </c>
    </row>
    <row r="36" spans="1:12">
      <c r="C36" s="183"/>
      <c r="D36" s="520" t="s">
        <v>297</v>
      </c>
    </row>
    <row r="37" spans="1:12">
      <c r="C37" s="183"/>
      <c r="D37" s="520" t="s">
        <v>298</v>
      </c>
    </row>
    <row r="38" spans="1:12">
      <c r="C38" s="183"/>
      <c r="D38" s="520" t="s">
        <v>299</v>
      </c>
    </row>
    <row r="39" spans="1:12" hidden="1">
      <c r="C39" s="183"/>
      <c r="D39" s="520" t="s">
        <v>300</v>
      </c>
    </row>
    <row r="40" spans="1:12" hidden="1">
      <c r="C40" s="183"/>
      <c r="D40" s="520" t="s">
        <v>301</v>
      </c>
    </row>
    <row r="41" spans="1:12" hidden="1">
      <c r="C41" s="183"/>
      <c r="D41" s="520" t="s">
        <v>302</v>
      </c>
    </row>
    <row r="42" spans="1:12" hidden="1">
      <c r="C42" s="183"/>
      <c r="D42" s="520" t="s">
        <v>303</v>
      </c>
    </row>
    <row r="43" spans="1:12" hidden="1">
      <c r="C43" s="183"/>
      <c r="D43" s="520" t="s">
        <v>304</v>
      </c>
    </row>
    <row r="44" spans="1:12">
      <c r="D44" s="520"/>
    </row>
    <row r="45" spans="1:12">
      <c r="A45" s="520" t="s">
        <v>305</v>
      </c>
      <c r="C45" s="521" t="s">
        <v>323</v>
      </c>
      <c r="D45" s="521"/>
      <c r="E45" s="521"/>
      <c r="F45" s="521"/>
      <c r="G45" s="521"/>
      <c r="H45" s="521"/>
      <c r="I45" s="521"/>
      <c r="J45" s="521"/>
      <c r="K45" s="521"/>
      <c r="L45" s="521"/>
    </row>
    <row r="46" spans="1:12">
      <c r="A46" s="520" t="s">
        <v>307</v>
      </c>
      <c r="C46" s="521" t="s">
        <v>324</v>
      </c>
      <c r="D46" s="521"/>
      <c r="E46" s="521"/>
      <c r="F46" s="521"/>
      <c r="G46" s="521"/>
      <c r="H46" s="521"/>
      <c r="I46" s="521"/>
      <c r="J46" s="521"/>
      <c r="K46" s="521"/>
      <c r="L46" s="521"/>
    </row>
    <row r="47" spans="1:12">
      <c r="A47" s="520" t="s">
        <v>309</v>
      </c>
      <c r="C47" s="520" t="s">
        <v>325</v>
      </c>
    </row>
    <row r="48" spans="1:12" hidden="1">
      <c r="A48" s="520" t="s">
        <v>311</v>
      </c>
    </row>
    <row r="49" spans="1:12" hidden="1">
      <c r="A49" s="520" t="s">
        <v>313</v>
      </c>
    </row>
    <row r="50" spans="1:12" ht="18" hidden="1" customHeight="1">
      <c r="A50" s="520" t="s">
        <v>314</v>
      </c>
    </row>
    <row r="51" spans="1:12" hidden="1">
      <c r="A51" s="520" t="s">
        <v>315</v>
      </c>
    </row>
    <row r="52" spans="1:12" hidden="1">
      <c r="A52" s="520" t="s">
        <v>316</v>
      </c>
    </row>
    <row r="53" spans="1:12" hidden="1">
      <c r="A53" s="520" t="s">
        <v>317</v>
      </c>
    </row>
    <row r="54" spans="1:12" hidden="1">
      <c r="A54" s="520" t="s">
        <v>318</v>
      </c>
    </row>
    <row r="55" spans="1:12" hidden="1">
      <c r="A55" s="520" t="s">
        <v>319</v>
      </c>
    </row>
    <row r="56" spans="1:12" hidden="1">
      <c r="A56" s="520" t="s">
        <v>320</v>
      </c>
    </row>
    <row r="58" spans="1:12" ht="15" customHeight="1">
      <c r="C58" s="146">
        <f>+LEN(C47)</f>
        <v>262</v>
      </c>
    </row>
    <row r="59" spans="1:12">
      <c r="A59" s="339" t="s">
        <v>326</v>
      </c>
      <c r="B59" s="149">
        <v>13</v>
      </c>
      <c r="C59" s="149" t="s">
        <v>327</v>
      </c>
    </row>
    <row r="60" spans="1:12" ht="70.150000000000006" customHeight="1">
      <c r="B60" s="150">
        <f>+B59/100</f>
        <v>0.13</v>
      </c>
      <c r="C60" s="893" t="s">
        <v>328</v>
      </c>
      <c r="D60" s="893"/>
      <c r="E60" s="893"/>
      <c r="F60" s="149"/>
      <c r="G60" s="146">
        <f>+LEN(D64)</f>
        <v>291</v>
      </c>
    </row>
    <row r="61" spans="1:12" ht="14.65" customHeight="1">
      <c r="C61" s="222" t="s">
        <v>329</v>
      </c>
      <c r="E61" s="221"/>
      <c r="F61" s="221"/>
    </row>
    <row r="62" spans="1:12" ht="14.65" customHeight="1">
      <c r="B62" s="152">
        <v>2021</v>
      </c>
      <c r="C62" s="152">
        <v>2022</v>
      </c>
      <c r="D62" s="221"/>
      <c r="E62" s="221"/>
      <c r="F62" s="221"/>
    </row>
    <row r="63" spans="1:12">
      <c r="A63" s="520" t="s">
        <v>330</v>
      </c>
      <c r="B63" s="152">
        <v>0.05</v>
      </c>
      <c r="C63" s="146">
        <v>0</v>
      </c>
      <c r="D63" s="522" t="s">
        <v>331</v>
      </c>
      <c r="E63" s="522"/>
      <c r="F63" s="522"/>
      <c r="G63" s="522"/>
      <c r="H63" s="522"/>
      <c r="I63" s="522"/>
      <c r="J63" s="522"/>
      <c r="K63" s="522"/>
      <c r="L63" s="522"/>
    </row>
    <row r="64" spans="1:12">
      <c r="A64" s="520" t="s">
        <v>332</v>
      </c>
      <c r="B64" s="149">
        <v>0</v>
      </c>
      <c r="C64" s="146">
        <v>13</v>
      </c>
      <c r="D64" s="522" t="s">
        <v>333</v>
      </c>
      <c r="E64" s="522"/>
      <c r="F64" s="522"/>
      <c r="G64" s="522"/>
      <c r="H64" s="522"/>
      <c r="I64" s="522"/>
      <c r="J64" s="522"/>
      <c r="K64" s="522"/>
      <c r="L64" s="522"/>
    </row>
    <row r="65" spans="1:6" ht="18.75">
      <c r="A65" s="520" t="s">
        <v>334</v>
      </c>
      <c r="B65" s="149">
        <v>0</v>
      </c>
      <c r="C65" s="146">
        <v>13</v>
      </c>
      <c r="D65" s="523" t="s">
        <v>335</v>
      </c>
      <c r="E65" s="151"/>
      <c r="F65" s="151"/>
    </row>
    <row r="66" spans="1:6" ht="18.75" hidden="1">
      <c r="A66" s="152" t="s">
        <v>336</v>
      </c>
      <c r="B66" s="152">
        <f>+(32*0.25)/100</f>
        <v>0.08</v>
      </c>
      <c r="C66" s="151"/>
      <c r="D66" s="151"/>
      <c r="E66" s="151"/>
      <c r="F66" s="151"/>
    </row>
    <row r="67" spans="1:6" ht="18.75" hidden="1">
      <c r="A67" s="152" t="s">
        <v>337</v>
      </c>
      <c r="B67" s="152">
        <f>+(41*0.25)/100</f>
        <v>0.10249999999999999</v>
      </c>
      <c r="C67" s="151"/>
      <c r="D67" s="151"/>
      <c r="E67" s="151"/>
      <c r="F67" s="151"/>
    </row>
    <row r="68" spans="1:6" ht="18.75" hidden="1">
      <c r="A68" s="146" t="s">
        <v>338</v>
      </c>
      <c r="B68" s="152">
        <f>+(50*0.25)/100</f>
        <v>0.125</v>
      </c>
      <c r="C68" s="151"/>
      <c r="D68" s="151"/>
      <c r="E68" s="151"/>
      <c r="F68" s="151"/>
    </row>
    <row r="69" spans="1:6" ht="18.75" hidden="1">
      <c r="A69" s="146" t="s">
        <v>339</v>
      </c>
      <c r="B69" s="152">
        <f>+(59*0.25)/100</f>
        <v>0.14749999999999999</v>
      </c>
      <c r="C69" s="151"/>
      <c r="D69" s="151"/>
      <c r="E69" s="151"/>
      <c r="F69" s="151"/>
    </row>
    <row r="70" spans="1:6" ht="18.75" hidden="1">
      <c r="A70" s="146" t="s">
        <v>340</v>
      </c>
      <c r="B70" s="152">
        <f>+(68*0.25)/100</f>
        <v>0.17</v>
      </c>
      <c r="C70" s="151"/>
      <c r="D70" s="151"/>
      <c r="E70" s="151"/>
      <c r="F70" s="151"/>
    </row>
    <row r="71" spans="1:6" ht="18.75" hidden="1">
      <c r="A71" s="146" t="s">
        <v>341</v>
      </c>
      <c r="B71" s="152">
        <f>+(77*0.25)/100</f>
        <v>0.1925</v>
      </c>
      <c r="C71" s="151"/>
      <c r="D71" s="151"/>
      <c r="E71" s="151"/>
      <c r="F71" s="151"/>
    </row>
    <row r="72" spans="1:6" ht="18.75" hidden="1">
      <c r="A72" s="146" t="s">
        <v>223</v>
      </c>
      <c r="B72" s="152">
        <f>+(86*0.25)/100</f>
        <v>0.215</v>
      </c>
      <c r="C72" s="151"/>
      <c r="D72" s="151"/>
      <c r="E72" s="151"/>
      <c r="F72" s="151"/>
    </row>
    <row r="73" spans="1:6" ht="18.75" hidden="1">
      <c r="A73" s="146" t="s">
        <v>342</v>
      </c>
      <c r="B73" s="152">
        <f>+(95*0.25)/100</f>
        <v>0.23749999999999999</v>
      </c>
      <c r="C73" s="151"/>
      <c r="D73" s="151"/>
      <c r="E73" s="151"/>
      <c r="F73" s="151"/>
    </row>
    <row r="74" spans="1:6" hidden="1">
      <c r="A74" s="146" t="s">
        <v>343</v>
      </c>
      <c r="B74" s="152">
        <f>+(100*0.25)/100</f>
        <v>0.25</v>
      </c>
    </row>
    <row r="76" spans="1:6">
      <c r="A76" s="145" t="s">
        <v>344</v>
      </c>
    </row>
    <row r="77" spans="1:6">
      <c r="A77" s="146">
        <v>2021</v>
      </c>
      <c r="B77" s="146">
        <v>7</v>
      </c>
      <c r="C77" s="520" t="s">
        <v>345</v>
      </c>
      <c r="D77" s="147">
        <v>0.45</v>
      </c>
      <c r="E77" s="146" t="s">
        <v>346</v>
      </c>
    </row>
    <row r="78" spans="1:6">
      <c r="A78" s="146">
        <v>2022</v>
      </c>
      <c r="B78" s="146">
        <v>7</v>
      </c>
      <c r="C78" s="146" t="s">
        <v>347</v>
      </c>
      <c r="D78" s="147">
        <v>0.25</v>
      </c>
      <c r="E78" s="146" t="s">
        <v>348</v>
      </c>
    </row>
    <row r="79" spans="1:6">
      <c r="A79" s="146">
        <v>2023</v>
      </c>
      <c r="B79" s="146">
        <v>5</v>
      </c>
      <c r="C79" s="146" t="s">
        <v>347</v>
      </c>
      <c r="D79" s="147">
        <v>0.25</v>
      </c>
      <c r="E79" s="146" t="s">
        <v>348</v>
      </c>
    </row>
    <row r="80" spans="1:6">
      <c r="A80" s="146">
        <v>2024</v>
      </c>
      <c r="B80" s="146">
        <v>0</v>
      </c>
      <c r="C80" s="146" t="s">
        <v>347</v>
      </c>
      <c r="D80" s="147">
        <v>0.05</v>
      </c>
      <c r="E80" s="146" t="s">
        <v>349</v>
      </c>
    </row>
    <row r="81" spans="1:4">
      <c r="B81" s="146" t="s">
        <v>350</v>
      </c>
      <c r="C81" s="146">
        <f>0.45/7</f>
        <v>6.4285714285714293E-2</v>
      </c>
      <c r="D81" s="146" t="s">
        <v>351</v>
      </c>
    </row>
    <row r="82" spans="1:4">
      <c r="C82" s="146">
        <f>+C81*7</f>
        <v>0.45000000000000007</v>
      </c>
      <c r="D82" s="146" t="s">
        <v>352</v>
      </c>
    </row>
    <row r="84" spans="1:4">
      <c r="B84" s="520">
        <v>0.25</v>
      </c>
      <c r="C84" s="183">
        <f>+B84/12</f>
        <v>2.0833333333333332E-2</v>
      </c>
      <c r="D84" s="520" t="s">
        <v>293</v>
      </c>
    </row>
    <row r="85" spans="1:4">
      <c r="A85" s="520" t="s">
        <v>322</v>
      </c>
      <c r="C85" s="148">
        <f>+C84+C84</f>
        <v>4.1666666666666664E-2</v>
      </c>
      <c r="D85" s="520" t="s">
        <v>294</v>
      </c>
    </row>
    <row r="86" spans="1:4">
      <c r="C86" s="148">
        <f>+C85+C85</f>
        <v>8.3333333333333329E-2</v>
      </c>
      <c r="D86" s="520" t="s">
        <v>295</v>
      </c>
    </row>
    <row r="87" spans="1:4" hidden="1">
      <c r="C87" s="148"/>
      <c r="D87" s="520" t="s">
        <v>296</v>
      </c>
    </row>
    <row r="88" spans="1:4" hidden="1">
      <c r="C88" s="148"/>
      <c r="D88" s="520" t="s">
        <v>297</v>
      </c>
    </row>
    <row r="89" spans="1:4" hidden="1">
      <c r="C89" s="148"/>
      <c r="D89" s="520" t="s">
        <v>298</v>
      </c>
    </row>
    <row r="90" spans="1:4" hidden="1">
      <c r="C90" s="148"/>
      <c r="D90" s="520" t="s">
        <v>299</v>
      </c>
    </row>
    <row r="91" spans="1:4" hidden="1">
      <c r="C91" s="148"/>
      <c r="D91" s="520" t="s">
        <v>300</v>
      </c>
    </row>
    <row r="92" spans="1:4" hidden="1">
      <c r="C92" s="148"/>
      <c r="D92" s="520" t="s">
        <v>301</v>
      </c>
    </row>
    <row r="93" spans="1:4" hidden="1">
      <c r="C93" s="148"/>
      <c r="D93" s="520" t="s">
        <v>302</v>
      </c>
    </row>
    <row r="94" spans="1:4" hidden="1">
      <c r="C94" s="148"/>
      <c r="D94" s="520" t="s">
        <v>303</v>
      </c>
    </row>
    <row r="95" spans="1:4" hidden="1">
      <c r="C95" s="148"/>
      <c r="D95" s="520" t="s">
        <v>304</v>
      </c>
    </row>
    <row r="97" spans="1:16">
      <c r="A97" s="520" t="s">
        <v>305</v>
      </c>
      <c r="C97" s="521" t="s">
        <v>353</v>
      </c>
      <c r="D97" s="521"/>
      <c r="E97" s="521"/>
      <c r="F97" s="521"/>
      <c r="G97" s="521"/>
      <c r="H97" s="521"/>
      <c r="I97" s="521"/>
      <c r="J97" s="521"/>
      <c r="K97" s="521"/>
      <c r="L97" s="521"/>
    </row>
    <row r="98" spans="1:16" ht="14.65" customHeight="1">
      <c r="A98" s="520" t="s">
        <v>307</v>
      </c>
      <c r="C98" s="521" t="s">
        <v>354</v>
      </c>
      <c r="D98" s="390"/>
      <c r="E98" s="390"/>
      <c r="F98" s="390"/>
      <c r="G98" s="390"/>
      <c r="H98" s="390"/>
      <c r="I98" s="390"/>
      <c r="J98" s="390"/>
      <c r="K98" s="390"/>
      <c r="L98" s="390"/>
    </row>
    <row r="99" spans="1:16">
      <c r="A99" s="520" t="s">
        <v>309</v>
      </c>
      <c r="C99" s="861" t="s">
        <v>355</v>
      </c>
      <c r="D99" s="861"/>
      <c r="E99" s="861"/>
      <c r="F99" s="861"/>
      <c r="G99" s="861"/>
      <c r="H99" s="861"/>
      <c r="I99" s="861"/>
      <c r="J99" s="861"/>
      <c r="K99" s="861"/>
      <c r="L99" s="861"/>
      <c r="M99" s="861"/>
      <c r="N99" s="861"/>
      <c r="O99" s="861"/>
      <c r="P99" s="861"/>
    </row>
    <row r="100" spans="1:16" hidden="1">
      <c r="A100" s="520" t="s">
        <v>311</v>
      </c>
    </row>
    <row r="101" spans="1:16" hidden="1">
      <c r="A101" s="520" t="s">
        <v>313</v>
      </c>
    </row>
    <row r="102" spans="1:16" hidden="1">
      <c r="A102" s="520" t="s">
        <v>314</v>
      </c>
    </row>
    <row r="103" spans="1:16" hidden="1">
      <c r="A103" s="520" t="s">
        <v>315</v>
      </c>
    </row>
    <row r="104" spans="1:16" hidden="1">
      <c r="A104" s="520" t="s">
        <v>316</v>
      </c>
    </row>
    <row r="105" spans="1:16" hidden="1">
      <c r="A105" s="520" t="s">
        <v>317</v>
      </c>
    </row>
    <row r="106" spans="1:16" hidden="1">
      <c r="A106" s="520" t="s">
        <v>318</v>
      </c>
    </row>
    <row r="107" spans="1:16" hidden="1">
      <c r="A107" s="520" t="s">
        <v>319</v>
      </c>
    </row>
    <row r="108" spans="1:16" hidden="1">
      <c r="A108" s="520" t="s">
        <v>320</v>
      </c>
    </row>
    <row r="109" spans="1:16">
      <c r="A109" s="520"/>
    </row>
    <row r="110" spans="1:16">
      <c r="C110" s="146">
        <f>+LEN(C98)</f>
        <v>274</v>
      </c>
    </row>
    <row r="111" spans="1:16">
      <c r="A111" s="146" t="s">
        <v>356</v>
      </c>
      <c r="C111" s="148">
        <f>SUM(C84:C95)</f>
        <v>0.14583333333333331</v>
      </c>
    </row>
    <row r="115" spans="1:1">
      <c r="A115" s="146" t="s">
        <v>357</v>
      </c>
    </row>
  </sheetData>
  <mergeCells count="2">
    <mergeCell ref="C60:E60"/>
    <mergeCell ref="C99:P99"/>
  </mergeCells>
  <phoneticPr fontId="31"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44" t="s">
        <v>358</v>
      </c>
      <c r="B1">
        <f>+'Metas 1'!AC23</f>
        <v>348203128</v>
      </c>
    </row>
    <row r="2" spans="1:2">
      <c r="A2" s="444" t="s">
        <v>359</v>
      </c>
      <c r="B2">
        <f>+'Metas 2'!AC23</f>
        <v>261809604</v>
      </c>
    </row>
    <row r="3" spans="1:2">
      <c r="A3" s="444" t="s">
        <v>360</v>
      </c>
      <c r="B3">
        <f>+'Metas 3'!AC23</f>
        <v>2454538251</v>
      </c>
    </row>
    <row r="4" spans="1:2">
      <c r="A4" s="444" t="s">
        <v>361</v>
      </c>
      <c r="B4">
        <f>+'Metas 4 (Contrato relevos)'!AC23</f>
        <v>2549893032</v>
      </c>
    </row>
    <row r="5" spans="1:2">
      <c r="A5" s="444" t="s">
        <v>362</v>
      </c>
      <c r="B5">
        <f>+'Metas 5'!AC23</f>
        <v>408987228</v>
      </c>
    </row>
    <row r="6" spans="1:2">
      <c r="A6" s="444" t="s">
        <v>363</v>
      </c>
      <c r="B6">
        <f>+'Metas 6 (ONU Mujeres)'!AC23</f>
        <v>549449274</v>
      </c>
    </row>
    <row r="7" spans="1:2">
      <c r="A7" s="444" t="s">
        <v>364</v>
      </c>
      <c r="B7">
        <f>+'Metas 7 (Unidades Moviles)'!AC23</f>
        <v>2679152344</v>
      </c>
    </row>
    <row r="8" spans="1:2">
      <c r="B8" s="445">
        <f>SUM(B1:B7)</f>
        <v>9252032861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8"/>
  <sheetViews>
    <sheetView showGridLines="0" topLeftCell="A14" zoomScale="55" zoomScaleNormal="55" zoomScaleSheetLayoutView="50" workbookViewId="0">
      <selection activeCell="A30" sqref="A30"/>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3" width="14.42578125" customWidth="1"/>
    <col min="24" max="24" width="14" bestFit="1" customWidth="1"/>
    <col min="25" max="25" width="15.28515625" customWidth="1"/>
    <col min="26" max="26" width="14" bestFit="1" customWidth="1"/>
    <col min="27"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1.5"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365</v>
      </c>
      <c r="D17" s="724"/>
      <c r="E17" s="724"/>
      <c r="F17" s="724"/>
      <c r="G17" s="724"/>
      <c r="H17" s="724"/>
      <c r="I17" s="724"/>
      <c r="J17" s="724"/>
      <c r="K17" s="724"/>
      <c r="L17" s="724"/>
      <c r="M17" s="724"/>
      <c r="N17" s="724"/>
      <c r="O17" s="724"/>
      <c r="P17" s="724"/>
      <c r="Q17" s="715"/>
      <c r="R17" s="725" t="s">
        <v>172</v>
      </c>
      <c r="S17" s="724"/>
      <c r="T17" s="724"/>
      <c r="U17" s="724"/>
      <c r="V17" s="715"/>
      <c r="W17" s="722">
        <v>1</v>
      </c>
      <c r="X17" s="715"/>
      <c r="Y17" s="723" t="s">
        <v>173</v>
      </c>
      <c r="Z17" s="724"/>
      <c r="AA17" s="724"/>
      <c r="AB17" s="715"/>
      <c r="AC17" s="746">
        <f>+B34</f>
        <v>0.2</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459"/>
      <c r="X18" s="241"/>
      <c r="Y18" s="241"/>
      <c r="Z18" s="241"/>
      <c r="AA18" s="241"/>
      <c r="AB18" s="241"/>
      <c r="AC18" s="458"/>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1" t="s">
        <v>17</v>
      </c>
      <c r="B22" s="684"/>
      <c r="C22" s="22"/>
      <c r="D22" s="23"/>
      <c r="E22" s="23"/>
      <c r="F22" s="23"/>
      <c r="G22" s="439"/>
      <c r="H22" s="451"/>
      <c r="I22" s="23"/>
      <c r="J22" s="23"/>
      <c r="K22" s="23"/>
      <c r="L22" s="23"/>
      <c r="M22" s="23"/>
      <c r="N22" s="23"/>
      <c r="O22" s="141">
        <f t="shared" ref="O22:O25" si="0">SUM(C22:N22)</f>
        <v>0</v>
      </c>
      <c r="P22" s="244"/>
      <c r="Q22" s="423">
        <v>371243829</v>
      </c>
      <c r="R22" s="72">
        <v>22500000</v>
      </c>
      <c r="S22" s="72"/>
      <c r="T22" s="72">
        <f>7200000+19980500</f>
        <v>27180500</v>
      </c>
      <c r="U22" s="421">
        <f>2310000+2000000+500000+14000000</f>
        <v>18810000</v>
      </c>
      <c r="V22" s="455">
        <v>1000000</v>
      </c>
      <c r="W22" s="143">
        <v>34000000</v>
      </c>
      <c r="X22" s="72">
        <f>35000000+37500000</f>
        <v>72500000</v>
      </c>
      <c r="Y22" s="72"/>
      <c r="Z22" s="72">
        <v>72587067</v>
      </c>
      <c r="AA22" s="72"/>
      <c r="AB22" s="72"/>
      <c r="AC22" s="141">
        <f t="shared" ref="AC22" si="1">SUM(Q22:AB22)</f>
        <v>619821396</v>
      </c>
      <c r="AD22" s="24"/>
      <c r="AE22" s="559">
        <v>619821396</v>
      </c>
      <c r="AF22" s="18">
        <f>+AC22-AE22</f>
        <v>0</v>
      </c>
      <c r="AG22" s="1"/>
      <c r="AH22" s="1"/>
      <c r="AI22" s="1"/>
      <c r="AJ22" s="1"/>
      <c r="AK22" s="1"/>
      <c r="AL22" s="1"/>
      <c r="AM22" s="1"/>
      <c r="AN22" s="1"/>
      <c r="AO22" s="1"/>
    </row>
    <row r="23" spans="1:41" ht="31.5" customHeight="1">
      <c r="A23" s="713" t="s">
        <v>18</v>
      </c>
      <c r="B23" s="688"/>
      <c r="C23" s="25">
        <v>224665526</v>
      </c>
      <c r="D23" s="26"/>
      <c r="E23" s="26">
        <v>-2744000</v>
      </c>
      <c r="F23" s="26">
        <v>0</v>
      </c>
      <c r="G23" s="437">
        <v>-179378</v>
      </c>
      <c r="H23" s="452">
        <v>-13211774</v>
      </c>
      <c r="I23" s="478">
        <v>0</v>
      </c>
      <c r="J23" s="26">
        <v>0</v>
      </c>
      <c r="K23" s="26">
        <v>0</v>
      </c>
      <c r="L23" s="26">
        <v>0</v>
      </c>
      <c r="M23" s="26">
        <v>0</v>
      </c>
      <c r="N23" s="26"/>
      <c r="O23" s="27">
        <f t="shared" si="0"/>
        <v>208530374</v>
      </c>
      <c r="P23" s="424" t="str">
        <f>IFERROR(O23/(SUMIF(C23:N23,"&gt;0",C22:N22))," ")</f>
        <v xml:space="preserve"> </v>
      </c>
      <c r="Q23" s="425">
        <v>371243829</v>
      </c>
      <c r="R23" s="28">
        <v>0</v>
      </c>
      <c r="S23" s="421">
        <v>15695590</v>
      </c>
      <c r="T23" s="421">
        <v>14195831</v>
      </c>
      <c r="U23" s="421">
        <f>18226266+270</f>
        <v>18226536</v>
      </c>
      <c r="V23" s="456">
        <f>26006188+270</f>
        <v>26006458</v>
      </c>
      <c r="W23" s="28">
        <v>0</v>
      </c>
      <c r="X23" s="26">
        <v>42000000</v>
      </c>
      <c r="Y23" s="26">
        <v>2995122</v>
      </c>
      <c r="Z23" s="26">
        <v>51624485</v>
      </c>
      <c r="AA23" s="26">
        <v>7461423</v>
      </c>
      <c r="AB23" s="28"/>
      <c r="AC23" s="571">
        <f>SUM(Q23:AB23)</f>
        <v>549449274</v>
      </c>
      <c r="AD23" s="29">
        <f>AC23/AC22</f>
        <v>0.88646387095678769</v>
      </c>
      <c r="AE23" s="354" t="s">
        <v>366</v>
      </c>
      <c r="AF23" s="18"/>
      <c r="AG23" s="1"/>
      <c r="AH23" s="1"/>
      <c r="AI23" s="1"/>
      <c r="AJ23" s="1"/>
      <c r="AK23" s="1"/>
      <c r="AL23" s="1"/>
      <c r="AM23" s="1"/>
      <c r="AN23" s="1"/>
      <c r="AO23" s="1"/>
    </row>
    <row r="24" spans="1:41" ht="31.5" customHeight="1">
      <c r="A24" s="713" t="s">
        <v>19</v>
      </c>
      <c r="B24" s="688"/>
      <c r="C24" s="30"/>
      <c r="D24" s="26">
        <v>200686598</v>
      </c>
      <c r="E24" s="26">
        <f>9803928+E23</f>
        <v>7059928</v>
      </c>
      <c r="F24" s="26">
        <f>14175000-13391152</f>
        <v>783848</v>
      </c>
      <c r="G24" s="437"/>
      <c r="H24" s="452">
        <v>0</v>
      </c>
      <c r="I24" s="28"/>
      <c r="J24" s="26"/>
      <c r="K24" s="26"/>
      <c r="L24" s="26"/>
      <c r="M24" s="26"/>
      <c r="N24" s="26"/>
      <c r="O24" s="571">
        <f t="shared" si="0"/>
        <v>208530374</v>
      </c>
      <c r="P24" s="245"/>
      <c r="Q24" s="426"/>
      <c r="R24" s="26">
        <v>13926297</v>
      </c>
      <c r="S24" s="422">
        <v>32504200</v>
      </c>
      <c r="T24" s="26">
        <v>35879200</v>
      </c>
      <c r="U24" s="421">
        <v>34724254</v>
      </c>
      <c r="V24" s="452">
        <v>41640923</v>
      </c>
      <c r="W24" s="478">
        <v>52324256</v>
      </c>
      <c r="X24" s="26">
        <v>70160922</v>
      </c>
      <c r="Y24" s="26">
        <v>35890922</v>
      </c>
      <c r="Z24" s="26">
        <v>39760922</v>
      </c>
      <c r="AA24" s="26">
        <v>66765922</v>
      </c>
      <c r="AB24" s="26">
        <f>55660922+67995589</f>
        <v>123656511</v>
      </c>
      <c r="AC24" s="27">
        <f>SUM(R24:AB24)</f>
        <v>547234329</v>
      </c>
      <c r="AD24" s="29"/>
      <c r="AE24" s="563"/>
      <c r="AF24" s="18"/>
      <c r="AG24" s="1"/>
      <c r="AH24" s="1"/>
      <c r="AI24" s="1"/>
      <c r="AJ24" s="1"/>
      <c r="AK24" s="1"/>
      <c r="AL24" s="1"/>
      <c r="AM24" s="1"/>
      <c r="AN24" s="1"/>
      <c r="AO24" s="1"/>
    </row>
    <row r="25" spans="1:41" ht="31.5" customHeight="1" thickBot="1">
      <c r="A25" s="749" t="s">
        <v>20</v>
      </c>
      <c r="B25" s="750"/>
      <c r="C25" s="31"/>
      <c r="D25" s="32">
        <v>183052517</v>
      </c>
      <c r="E25" s="32">
        <f>19911870+E23</f>
        <v>17167870</v>
      </c>
      <c r="F25" s="32">
        <v>1175000</v>
      </c>
      <c r="G25" s="435">
        <v>7134987</v>
      </c>
      <c r="H25" s="454">
        <v>0</v>
      </c>
      <c r="I25" s="479">
        <v>0</v>
      </c>
      <c r="J25" s="32">
        <v>0</v>
      </c>
      <c r="K25" s="32">
        <v>0</v>
      </c>
      <c r="L25" s="32">
        <v>0</v>
      </c>
      <c r="M25" s="32">
        <v>0</v>
      </c>
      <c r="N25" s="32"/>
      <c r="O25" s="33">
        <f t="shared" si="0"/>
        <v>208530374</v>
      </c>
      <c r="P25" s="427">
        <f>O25/O24</f>
        <v>1</v>
      </c>
      <c r="Q25" s="31"/>
      <c r="R25" s="32">
        <v>8988603</v>
      </c>
      <c r="S25" s="32">
        <v>31806534</v>
      </c>
      <c r="T25" s="32">
        <v>33177133</v>
      </c>
      <c r="U25" s="421">
        <v>31609200</v>
      </c>
      <c r="V25" s="454">
        <v>56455250</v>
      </c>
      <c r="W25" s="479">
        <v>37202714</v>
      </c>
      <c r="X25" s="32">
        <v>32432450</v>
      </c>
      <c r="Y25" s="32">
        <v>33845022</v>
      </c>
      <c r="Z25" s="32">
        <v>51068219</v>
      </c>
      <c r="AA25" s="32">
        <v>49768637</v>
      </c>
      <c r="AB25" s="32"/>
      <c r="AC25" s="33">
        <f>SUM(Q25:AB25)</f>
        <v>366353762</v>
      </c>
      <c r="AD25" s="34">
        <f>AC25/AC24</f>
        <v>0.66946414467356996</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1"/>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70.5" customHeight="1">
      <c r="A30" s="432" t="s">
        <v>367</v>
      </c>
      <c r="B30" s="857" t="s">
        <v>98</v>
      </c>
      <c r="C30" s="800"/>
      <c r="D30" s="247"/>
      <c r="E30" s="247"/>
      <c r="F30" s="73"/>
      <c r="G30" s="247"/>
      <c r="H30" s="247"/>
      <c r="I30" s="247"/>
      <c r="J30" s="247"/>
      <c r="K30" s="247"/>
      <c r="L30" s="247"/>
      <c r="M30" s="247"/>
      <c r="N30" s="247"/>
      <c r="O30" s="247"/>
      <c r="P30" s="248">
        <f>SUM(D30:O30)</f>
        <v>0</v>
      </c>
      <c r="Q30" s="798"/>
      <c r="R30" s="688"/>
      <c r="S30" s="688"/>
      <c r="T30" s="688"/>
      <c r="U30" s="688"/>
      <c r="V30" s="688"/>
      <c r="W30" s="688"/>
      <c r="X30" s="688"/>
      <c r="Y30" s="688"/>
      <c r="Z30" s="688"/>
      <c r="AA30" s="688"/>
      <c r="AB30" s="688"/>
      <c r="AC30" s="688"/>
      <c r="AD30" s="689"/>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22.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19" t="s">
        <v>190</v>
      </c>
      <c r="AB33" s="685"/>
      <c r="AC33" s="685"/>
      <c r="AD33" s="686"/>
      <c r="AE33" s="1"/>
      <c r="AF33" s="1"/>
      <c r="AG33" s="38"/>
      <c r="AH33" s="38"/>
      <c r="AI33" s="38"/>
      <c r="AJ33" s="38"/>
      <c r="AK33" s="38"/>
      <c r="AL33" s="38"/>
      <c r="AM33" s="38"/>
      <c r="AN33" s="38"/>
      <c r="AO33" s="38"/>
    </row>
    <row r="34" spans="1:41" ht="135.75" customHeight="1">
      <c r="A34" s="889" t="s">
        <v>367</v>
      </c>
      <c r="B34" s="706">
        <f>SUM(B38,B40,B42,B44)</f>
        <v>0.2</v>
      </c>
      <c r="C34" s="214" t="s">
        <v>45</v>
      </c>
      <c r="D34" s="259">
        <f t="shared" ref="D34:K34" si="2">+D50</f>
        <v>0.72499999999999998</v>
      </c>
      <c r="E34" s="259">
        <f t="shared" si="2"/>
        <v>0.75</v>
      </c>
      <c r="F34" s="259">
        <f t="shared" si="2"/>
        <v>0.77500000000000002</v>
      </c>
      <c r="G34" s="259">
        <f t="shared" si="2"/>
        <v>0.8</v>
      </c>
      <c r="H34" s="259">
        <f t="shared" si="2"/>
        <v>0.82500000000000007</v>
      </c>
      <c r="I34" s="259">
        <f t="shared" si="2"/>
        <v>0.85000000000000009</v>
      </c>
      <c r="J34" s="259">
        <f t="shared" si="2"/>
        <v>0.87497500000000006</v>
      </c>
      <c r="K34" s="259">
        <f t="shared" si="2"/>
        <v>0.89997500000000008</v>
      </c>
      <c r="L34" s="259">
        <f>+L50</f>
        <v>0.9249750000000001</v>
      </c>
      <c r="M34" s="259">
        <f t="shared" ref="M34:O34" si="3">+M50</f>
        <v>0.94997500000000012</v>
      </c>
      <c r="N34" s="259">
        <f t="shared" si="3"/>
        <v>0.97497500000000015</v>
      </c>
      <c r="O34" s="259">
        <f t="shared" si="3"/>
        <v>0.99997500000000017</v>
      </c>
      <c r="P34" s="262">
        <f>+O34</f>
        <v>0.99997500000000017</v>
      </c>
      <c r="Q34" s="842" t="s">
        <v>368</v>
      </c>
      <c r="R34" s="843"/>
      <c r="S34" s="843"/>
      <c r="T34" s="843"/>
      <c r="U34" s="843"/>
      <c r="V34" s="844"/>
      <c r="W34" s="848" t="s">
        <v>369</v>
      </c>
      <c r="X34" s="849"/>
      <c r="Y34" s="849"/>
      <c r="Z34" s="850"/>
      <c r="AA34" s="848" t="s">
        <v>370</v>
      </c>
      <c r="AB34" s="849"/>
      <c r="AC34" s="849"/>
      <c r="AD34" s="849"/>
      <c r="AE34" s="419"/>
      <c r="AF34" s="1"/>
      <c r="AG34" s="38"/>
      <c r="AH34" s="38"/>
      <c r="AI34" s="38"/>
      <c r="AJ34" s="38"/>
      <c r="AK34" s="38"/>
      <c r="AL34" s="38"/>
      <c r="AM34" s="38"/>
      <c r="AN34" s="38"/>
      <c r="AO34" s="38"/>
    </row>
    <row r="35" spans="1:41" ht="111.95" customHeight="1" thickBot="1">
      <c r="A35" s="897"/>
      <c r="B35" s="808"/>
      <c r="C35" s="39" t="s">
        <v>46</v>
      </c>
      <c r="D35" s="178">
        <f t="shared" ref="D35:F35" si="4">+D51</f>
        <v>0.71918749999999998</v>
      </c>
      <c r="E35" s="178">
        <f t="shared" si="4"/>
        <v>0.74809641032166663</v>
      </c>
      <c r="F35" s="178">
        <f t="shared" si="4"/>
        <v>0.77700506532166658</v>
      </c>
      <c r="G35" s="178">
        <f>+G51</f>
        <v>0.80105314282166662</v>
      </c>
      <c r="H35" s="178">
        <f>+H51</f>
        <v>0.82638064282166657</v>
      </c>
      <c r="I35" s="178">
        <f>+I51</f>
        <v>0.85196397615499986</v>
      </c>
      <c r="J35" s="178">
        <f>+J51</f>
        <v>0.87828897032166653</v>
      </c>
      <c r="K35" s="178">
        <f>+K51</f>
        <v>0.90512588698833318</v>
      </c>
      <c r="L35" s="178">
        <f>+L51</f>
        <v>0.93042780365499989</v>
      </c>
      <c r="M35" s="178">
        <f t="shared" ref="M35:N35" si="5">+M51</f>
        <v>0.95240388698833323</v>
      </c>
      <c r="N35" s="178">
        <f t="shared" si="5"/>
        <v>0.9802897203216665</v>
      </c>
      <c r="O35" s="418"/>
      <c r="P35" s="418">
        <f>N35</f>
        <v>0.9802897203216665</v>
      </c>
      <c r="Q35" s="845"/>
      <c r="R35" s="846"/>
      <c r="S35" s="846"/>
      <c r="T35" s="846"/>
      <c r="U35" s="846"/>
      <c r="V35" s="847"/>
      <c r="W35" s="851"/>
      <c r="X35" s="852"/>
      <c r="Y35" s="852"/>
      <c r="Z35" s="853"/>
      <c r="AA35" s="851"/>
      <c r="AB35" s="852"/>
      <c r="AC35" s="852"/>
      <c r="AD35" s="852"/>
      <c r="AE35" s="40"/>
      <c r="AF35" s="1"/>
      <c r="AG35" s="38"/>
      <c r="AH35" s="38"/>
      <c r="AI35" s="38"/>
      <c r="AJ35" s="38"/>
      <c r="AK35" s="38"/>
      <c r="AL35" s="38"/>
      <c r="AM35" s="38"/>
      <c r="AN35" s="38"/>
      <c r="AO35" s="38"/>
    </row>
    <row r="36" spans="1:41" ht="39.6" customHeight="1">
      <c r="A36" s="796" t="s">
        <v>27</v>
      </c>
      <c r="B36" s="801" t="s">
        <v>28</v>
      </c>
      <c r="C36" s="683" t="s">
        <v>29</v>
      </c>
      <c r="D36" s="684"/>
      <c r="E36" s="684"/>
      <c r="F36" s="684"/>
      <c r="G36" s="684"/>
      <c r="H36" s="684"/>
      <c r="I36" s="684"/>
      <c r="J36" s="684"/>
      <c r="K36" s="684"/>
      <c r="L36" s="684"/>
      <c r="M36" s="684"/>
      <c r="N36" s="684"/>
      <c r="O36" s="684"/>
      <c r="P36" s="802"/>
      <c r="Q36" s="683" t="s">
        <v>193</v>
      </c>
      <c r="R36" s="684"/>
      <c r="S36" s="684"/>
      <c r="T36" s="684"/>
      <c r="U36" s="684"/>
      <c r="V36" s="684"/>
      <c r="W36" s="684"/>
      <c r="X36" s="684"/>
      <c r="Y36" s="684"/>
      <c r="Z36" s="684"/>
      <c r="AA36" s="684"/>
      <c r="AB36" s="684"/>
      <c r="AC36" s="684"/>
      <c r="AD36" s="741"/>
      <c r="AE36" s="1"/>
      <c r="AF36" s="1"/>
      <c r="AG36" s="38"/>
      <c r="AH36" s="38"/>
      <c r="AI36" s="38"/>
      <c r="AJ36" s="38"/>
      <c r="AK36" s="38"/>
      <c r="AL36" s="38"/>
      <c r="AM36" s="38"/>
      <c r="AN36" s="38"/>
      <c r="AO36" s="38"/>
    </row>
    <row r="37" spans="1:41" ht="45.6" customHeight="1">
      <c r="A37" s="703"/>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687" t="s">
        <v>194</v>
      </c>
      <c r="R37" s="688"/>
      <c r="S37" s="688"/>
      <c r="T37" s="688"/>
      <c r="U37" s="688"/>
      <c r="V37" s="688"/>
      <c r="W37" s="688"/>
      <c r="X37" s="688"/>
      <c r="Y37" s="688"/>
      <c r="Z37" s="688"/>
      <c r="AA37" s="688"/>
      <c r="AB37" s="688"/>
      <c r="AC37" s="688"/>
      <c r="AD37" s="689"/>
      <c r="AE37" s="1"/>
      <c r="AF37" s="1"/>
      <c r="AG37" s="41"/>
      <c r="AH37" s="41"/>
      <c r="AI37" s="41"/>
      <c r="AJ37" s="41"/>
      <c r="AK37" s="41"/>
      <c r="AL37" s="41"/>
      <c r="AM37" s="41"/>
      <c r="AN37" s="41"/>
      <c r="AO37" s="41"/>
    </row>
    <row r="38" spans="1:41" ht="75.75" customHeight="1">
      <c r="A38" s="896" t="s">
        <v>371</v>
      </c>
      <c r="B38" s="679">
        <v>0.05</v>
      </c>
      <c r="C38" s="214" t="s">
        <v>45</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5">
        <f t="shared" ref="P38:P44" si="6">SUM(D38:O38)</f>
        <v>1.0000000000000002</v>
      </c>
      <c r="Q38" s="876" t="s">
        <v>372</v>
      </c>
      <c r="R38" s="877"/>
      <c r="S38" s="877"/>
      <c r="T38" s="877"/>
      <c r="U38" s="877"/>
      <c r="V38" s="877"/>
      <c r="W38" s="877"/>
      <c r="X38" s="877"/>
      <c r="Y38" s="877"/>
      <c r="Z38" s="877"/>
      <c r="AA38" s="877"/>
      <c r="AB38" s="877"/>
      <c r="AC38" s="877"/>
      <c r="AD38" s="878"/>
      <c r="AE38" s="230">
        <f t="shared" ref="AE38" si="7">LEN(Q38)</f>
        <v>356</v>
      </c>
      <c r="AF38" s="1"/>
      <c r="AG38" s="44"/>
      <c r="AH38" s="44"/>
      <c r="AI38" s="44"/>
      <c r="AJ38" s="44"/>
      <c r="AK38" s="44"/>
      <c r="AL38" s="44"/>
      <c r="AM38" s="44"/>
      <c r="AN38" s="44"/>
      <c r="AO38" s="44"/>
    </row>
    <row r="39" spans="1:41" ht="84" customHeight="1">
      <c r="A39" s="895"/>
      <c r="B39" s="678"/>
      <c r="C39" s="45" t="s">
        <v>46</v>
      </c>
      <c r="D39" s="46">
        <v>8.3333333333333343E-2</v>
      </c>
      <c r="E39" s="46">
        <v>4.333E-2</v>
      </c>
      <c r="F39" s="46">
        <v>0.12665999999999999</v>
      </c>
      <c r="G39" s="46">
        <v>6.3329999999999997E-2</v>
      </c>
      <c r="H39" s="46">
        <v>0.08</v>
      </c>
      <c r="I39" s="46">
        <v>8.3333333333333343E-2</v>
      </c>
      <c r="J39" s="46">
        <v>9.3329999999999996E-2</v>
      </c>
      <c r="K39" s="46">
        <v>0.1</v>
      </c>
      <c r="L39" s="46">
        <v>0.08</v>
      </c>
      <c r="M39" s="46">
        <v>0.08</v>
      </c>
      <c r="N39" s="46">
        <v>0.08</v>
      </c>
      <c r="O39" s="46"/>
      <c r="P39" s="216">
        <f t="shared" si="6"/>
        <v>0.91331666666666655</v>
      </c>
      <c r="Q39" s="879"/>
      <c r="R39" s="880"/>
      <c r="S39" s="880"/>
      <c r="T39" s="880"/>
      <c r="U39" s="880"/>
      <c r="V39" s="880"/>
      <c r="W39" s="880"/>
      <c r="X39" s="880"/>
      <c r="Y39" s="880"/>
      <c r="Z39" s="880"/>
      <c r="AA39" s="880"/>
      <c r="AB39" s="880"/>
      <c r="AC39" s="880"/>
      <c r="AD39" s="881"/>
      <c r="AE39" s="230"/>
      <c r="AF39" s="1"/>
      <c r="AG39" s="1"/>
      <c r="AH39" s="1"/>
      <c r="AI39" s="1"/>
      <c r="AJ39" s="1"/>
      <c r="AK39" s="1"/>
      <c r="AL39" s="1"/>
      <c r="AM39" s="1"/>
      <c r="AN39" s="1"/>
      <c r="AO39" s="1"/>
    </row>
    <row r="40" spans="1:41" ht="162" customHeight="1">
      <c r="A40" s="894" t="s">
        <v>373</v>
      </c>
      <c r="B40" s="679">
        <v>0.05</v>
      </c>
      <c r="C40" s="47" t="s">
        <v>45</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6">
        <f t="shared" si="6"/>
        <v>1.0000000000000002</v>
      </c>
      <c r="Q40" s="876" t="s">
        <v>374</v>
      </c>
      <c r="R40" s="877"/>
      <c r="S40" s="877"/>
      <c r="T40" s="877"/>
      <c r="U40" s="877"/>
      <c r="V40" s="877"/>
      <c r="W40" s="877"/>
      <c r="X40" s="877"/>
      <c r="Y40" s="877"/>
      <c r="Z40" s="877"/>
      <c r="AA40" s="877"/>
      <c r="AB40" s="877"/>
      <c r="AC40" s="877"/>
      <c r="AD40" s="878"/>
      <c r="AE40" s="230">
        <f>LEN(Q40)</f>
        <v>1813</v>
      </c>
      <c r="AF40" s="486"/>
      <c r="AG40" s="1"/>
      <c r="AH40" s="1"/>
      <c r="AI40" s="1"/>
      <c r="AJ40" s="1"/>
      <c r="AK40" s="1"/>
      <c r="AL40" s="1"/>
      <c r="AM40" s="1"/>
      <c r="AN40" s="1"/>
      <c r="AO40" s="1"/>
    </row>
    <row r="41" spans="1:41" ht="79.5" customHeight="1">
      <c r="A41" s="895"/>
      <c r="B41" s="678"/>
      <c r="C41" s="45" t="s">
        <v>46</v>
      </c>
      <c r="D41" s="46">
        <v>8.3333333333333343E-2</v>
      </c>
      <c r="E41" s="46">
        <v>8.3333333333333343E-2</v>
      </c>
      <c r="F41" s="46">
        <v>8.3333333333333343E-2</v>
      </c>
      <c r="G41" s="46">
        <v>8.3333333333333343E-2</v>
      </c>
      <c r="H41" s="46">
        <v>8.3333333333333343E-2</v>
      </c>
      <c r="I41" s="46">
        <v>8.3333333333333343E-2</v>
      </c>
      <c r="J41" s="46">
        <v>8.3333333333333343E-2</v>
      </c>
      <c r="K41" s="46">
        <v>8.3333333333333343E-2</v>
      </c>
      <c r="L41" s="46">
        <v>8.3333333333333343E-2</v>
      </c>
      <c r="M41" s="46">
        <v>8.3333333333333343E-2</v>
      </c>
      <c r="N41" s="46">
        <v>8.3333333333333343E-2</v>
      </c>
      <c r="O41" s="48"/>
      <c r="P41" s="216">
        <f t="shared" si="6"/>
        <v>0.91666666666666696</v>
      </c>
      <c r="Q41" s="879"/>
      <c r="R41" s="880"/>
      <c r="S41" s="880"/>
      <c r="T41" s="880"/>
      <c r="U41" s="880"/>
      <c r="V41" s="880"/>
      <c r="W41" s="880"/>
      <c r="X41" s="880"/>
      <c r="Y41" s="880"/>
      <c r="Z41" s="880"/>
      <c r="AA41" s="880"/>
      <c r="AB41" s="880"/>
      <c r="AC41" s="880"/>
      <c r="AD41" s="881"/>
      <c r="AE41" s="448"/>
      <c r="AF41" s="1"/>
      <c r="AG41" s="1"/>
      <c r="AH41" s="1"/>
      <c r="AI41" s="1"/>
      <c r="AJ41" s="1"/>
      <c r="AK41" s="1"/>
      <c r="AL41" s="1"/>
      <c r="AM41" s="1"/>
      <c r="AN41" s="1"/>
      <c r="AO41" s="1"/>
    </row>
    <row r="42" spans="1:41" ht="129" customHeight="1">
      <c r="A42" s="894" t="s">
        <v>375</v>
      </c>
      <c r="B42" s="679">
        <v>0.05</v>
      </c>
      <c r="C42" s="47" t="s">
        <v>45</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6">
        <f t="shared" si="6"/>
        <v>1.0000000000000002</v>
      </c>
      <c r="Q42" s="876" t="s">
        <v>376</v>
      </c>
      <c r="R42" s="877"/>
      <c r="S42" s="877"/>
      <c r="T42" s="877"/>
      <c r="U42" s="877"/>
      <c r="V42" s="877"/>
      <c r="W42" s="877"/>
      <c r="X42" s="877"/>
      <c r="Y42" s="877"/>
      <c r="Z42" s="877"/>
      <c r="AA42" s="877"/>
      <c r="AB42" s="877"/>
      <c r="AC42" s="877"/>
      <c r="AD42" s="878"/>
      <c r="AE42" s="8"/>
      <c r="AF42" s="1"/>
      <c r="AG42" s="1"/>
      <c r="AH42" s="1"/>
      <c r="AI42" s="1"/>
      <c r="AJ42" s="1"/>
      <c r="AK42" s="1"/>
      <c r="AL42" s="1"/>
      <c r="AM42" s="1"/>
      <c r="AN42" s="1"/>
      <c r="AO42" s="1"/>
    </row>
    <row r="43" spans="1:41" ht="93.75" customHeight="1">
      <c r="A43" s="895"/>
      <c r="B43" s="678"/>
      <c r="C43" s="45" t="s">
        <v>46</v>
      </c>
      <c r="D43" s="46">
        <v>8.3333333333333343E-2</v>
      </c>
      <c r="E43" s="46">
        <v>8.3333333333333343E-2</v>
      </c>
      <c r="F43" s="46">
        <v>8.3333333333333343E-2</v>
      </c>
      <c r="G43" s="46">
        <v>8.3333333333333343E-2</v>
      </c>
      <c r="H43" s="46">
        <v>8.3333333333333343E-2</v>
      </c>
      <c r="I43" s="46">
        <v>8.3333333333333343E-2</v>
      </c>
      <c r="J43" s="46">
        <v>8.3333333333333343E-2</v>
      </c>
      <c r="K43" s="46">
        <v>8.3333333333333343E-2</v>
      </c>
      <c r="L43" s="46">
        <v>8.3333333333333343E-2</v>
      </c>
      <c r="M43" s="48">
        <v>0.04</v>
      </c>
      <c r="N43" s="48">
        <v>0.12</v>
      </c>
      <c r="O43" s="48"/>
      <c r="P43" s="216">
        <f t="shared" si="6"/>
        <v>0.91000000000000025</v>
      </c>
      <c r="Q43" s="879"/>
      <c r="R43" s="880"/>
      <c r="S43" s="880"/>
      <c r="T43" s="880"/>
      <c r="U43" s="880"/>
      <c r="V43" s="880"/>
      <c r="W43" s="880"/>
      <c r="X43" s="880"/>
      <c r="Y43" s="880"/>
      <c r="Z43" s="880"/>
      <c r="AA43" s="880"/>
      <c r="AB43" s="880"/>
      <c r="AC43" s="880"/>
      <c r="AD43" s="881"/>
      <c r="AE43" s="43"/>
      <c r="AF43" s="1"/>
      <c r="AG43" s="1"/>
      <c r="AH43" s="1"/>
      <c r="AI43" s="1"/>
      <c r="AJ43" s="1"/>
      <c r="AK43" s="1"/>
      <c r="AL43" s="1"/>
      <c r="AM43" s="1"/>
      <c r="AN43" s="1"/>
      <c r="AO43" s="1"/>
    </row>
    <row r="44" spans="1:41" ht="48.6" customHeight="1">
      <c r="A44" s="894" t="s">
        <v>377</v>
      </c>
      <c r="B44" s="679">
        <v>0.05</v>
      </c>
      <c r="C44" s="47" t="s">
        <v>45</v>
      </c>
      <c r="D44" s="42">
        <v>8.3333333333333343E-2</v>
      </c>
      <c r="E44" s="42">
        <v>8.3333333333333343E-2</v>
      </c>
      <c r="F44" s="42">
        <v>8.3333333333333343E-2</v>
      </c>
      <c r="G44" s="42">
        <v>8.3333333333333343E-2</v>
      </c>
      <c r="H44" s="42">
        <v>8.3333333333333343E-2</v>
      </c>
      <c r="I44" s="42">
        <v>8.3333333333333343E-2</v>
      </c>
      <c r="J44" s="42">
        <v>8.3000000000000004E-2</v>
      </c>
      <c r="K44" s="42">
        <v>8.3333333333333343E-2</v>
      </c>
      <c r="L44" s="42">
        <v>8.3333333333333343E-2</v>
      </c>
      <c r="M44" s="42">
        <v>8.3333333333333343E-2</v>
      </c>
      <c r="N44" s="42">
        <v>8.3333333333333343E-2</v>
      </c>
      <c r="O44" s="42">
        <v>8.3333333333333343E-2</v>
      </c>
      <c r="P44" s="216">
        <f t="shared" si="6"/>
        <v>0.99966666666666693</v>
      </c>
      <c r="Q44" s="876" t="s">
        <v>378</v>
      </c>
      <c r="R44" s="877"/>
      <c r="S44" s="877"/>
      <c r="T44" s="877"/>
      <c r="U44" s="877"/>
      <c r="V44" s="877"/>
      <c r="W44" s="877"/>
      <c r="X44" s="877"/>
      <c r="Y44" s="877"/>
      <c r="Z44" s="877"/>
      <c r="AA44" s="877"/>
      <c r="AB44" s="877"/>
      <c r="AC44" s="877"/>
      <c r="AD44" s="878"/>
      <c r="AE44" s="448"/>
      <c r="AF44" s="1"/>
      <c r="AG44" s="1"/>
      <c r="AH44" s="1"/>
      <c r="AI44" s="1"/>
      <c r="AJ44" s="1"/>
      <c r="AK44" s="1"/>
      <c r="AL44" s="1"/>
      <c r="AM44" s="1"/>
      <c r="AN44" s="1"/>
      <c r="AO44" s="1"/>
    </row>
    <row r="45" spans="1:41" ht="69.75" customHeight="1" thickBot="1">
      <c r="A45" s="895"/>
      <c r="B45" s="678"/>
      <c r="C45" s="39" t="s">
        <v>46</v>
      </c>
      <c r="D45" s="70">
        <v>0</v>
      </c>
      <c r="E45" s="70">
        <v>0.16666665999999999</v>
      </c>
      <c r="F45" s="70">
        <v>8.3333333333333343E-2</v>
      </c>
      <c r="G45" s="70">
        <v>8.3333333333333343E-2</v>
      </c>
      <c r="H45" s="70">
        <v>8.3333333333333343E-2</v>
      </c>
      <c r="I45" s="70">
        <v>8.3333333333333343E-2</v>
      </c>
      <c r="J45" s="70">
        <v>8.3000000000000004E-2</v>
      </c>
      <c r="K45" s="70">
        <v>8.3000000000000004E-2</v>
      </c>
      <c r="L45" s="70">
        <v>8.3000000000000004E-2</v>
      </c>
      <c r="M45" s="70">
        <v>8.3000000000000004E-2</v>
      </c>
      <c r="N45" s="71">
        <v>0.08</v>
      </c>
      <c r="O45" s="71"/>
      <c r="P45" s="256">
        <f>SUM(D45:O45)</f>
        <v>0.91199999333333326</v>
      </c>
      <c r="Q45" s="879"/>
      <c r="R45" s="880"/>
      <c r="S45" s="880"/>
      <c r="T45" s="880"/>
      <c r="U45" s="880"/>
      <c r="V45" s="880"/>
      <c r="W45" s="880"/>
      <c r="X45" s="880"/>
      <c r="Y45" s="880"/>
      <c r="Z45" s="880"/>
      <c r="AA45" s="880"/>
      <c r="AB45" s="880"/>
      <c r="AC45" s="880"/>
      <c r="AD45" s="881"/>
      <c r="AE45" s="448"/>
      <c r="AF45" s="1"/>
      <c r="AG45" s="1"/>
      <c r="AH45" s="1"/>
      <c r="AI45" s="1"/>
      <c r="AJ45" s="1"/>
      <c r="AK45" s="1"/>
      <c r="AL45" s="1"/>
      <c r="AM45" s="1"/>
      <c r="AN45" s="1"/>
      <c r="AO45" s="1"/>
    </row>
    <row r="46" spans="1:41" ht="14.25" customHeight="1">
      <c r="A46" s="1" t="s">
        <v>198</v>
      </c>
      <c r="B46" s="1"/>
      <c r="C46" s="1"/>
      <c r="D46" s="1"/>
      <c r="E46" s="1"/>
      <c r="F46" s="1"/>
      <c r="G46" s="1"/>
      <c r="H46" s="1"/>
      <c r="I46" s="1"/>
      <c r="J46" s="1"/>
      <c r="K46" s="1"/>
      <c r="L46" s="1"/>
      <c r="M46" s="1"/>
      <c r="N46" s="1"/>
      <c r="O46" s="1"/>
      <c r="P46" s="1"/>
      <c r="Q46" s="251"/>
      <c r="R46" s="251"/>
      <c r="S46" s="251"/>
      <c r="T46" s="251"/>
      <c r="U46" s="251"/>
      <c r="V46" s="251"/>
      <c r="W46" s="251"/>
      <c r="X46" s="251"/>
      <c r="Y46" s="251"/>
      <c r="Z46" s="251"/>
      <c r="AA46" s="251"/>
      <c r="AB46" s="251"/>
      <c r="AC46" s="251"/>
      <c r="AD46" s="25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9">
        <f>+D51/D50</f>
        <v>0.99198275862068963</v>
      </c>
      <c r="E49" s="179">
        <f t="shared" ref="E49:O49" si="8">+E51/E50</f>
        <v>0.99746188042888884</v>
      </c>
      <c r="F49" s="179">
        <f t="shared" si="8"/>
        <v>1.0025871810602149</v>
      </c>
      <c r="G49" s="179">
        <f t="shared" si="8"/>
        <v>1.0013164285270832</v>
      </c>
      <c r="H49" s="179">
        <f t="shared" si="8"/>
        <v>1.0016735064505049</v>
      </c>
      <c r="I49" s="460">
        <f t="shared" si="8"/>
        <v>1.0023105601823528</v>
      </c>
      <c r="J49" s="460">
        <f t="shared" si="8"/>
        <v>1.0037875028677008</v>
      </c>
      <c r="K49" s="460">
        <f t="shared" si="8"/>
        <v>1.0057233667472243</v>
      </c>
      <c r="L49" s="460">
        <f>+L51/L50</f>
        <v>1.005895082196816</v>
      </c>
      <c r="M49" s="460">
        <f t="shared" si="8"/>
        <v>1.0025567904295725</v>
      </c>
      <c r="N49" s="460">
        <f t="shared" si="8"/>
        <v>1.0054511349744006</v>
      </c>
      <c r="O49" s="460">
        <f t="shared" si="8"/>
        <v>0.98031422817737079</v>
      </c>
      <c r="P49" s="1"/>
      <c r="Q49" s="1">
        <f>+LEN(Q34)</f>
        <v>895</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199</v>
      </c>
      <c r="D50" s="74">
        <f>((((D38+D40+D42+D44)/4)*0.3)+C49)</f>
        <v>0.72499999999999998</v>
      </c>
      <c r="E50" s="52">
        <f t="shared" ref="E50:O50" si="9">((((E38+E40+E42+E44)/4)*0.3)+D50)</f>
        <v>0.75</v>
      </c>
      <c r="F50" s="52">
        <f t="shared" si="9"/>
        <v>0.77500000000000002</v>
      </c>
      <c r="G50" s="52">
        <f t="shared" si="9"/>
        <v>0.8</v>
      </c>
      <c r="H50" s="52">
        <f t="shared" si="9"/>
        <v>0.82500000000000007</v>
      </c>
      <c r="I50" s="52">
        <f t="shared" si="9"/>
        <v>0.85000000000000009</v>
      </c>
      <c r="J50" s="52">
        <f t="shared" si="9"/>
        <v>0.87497500000000006</v>
      </c>
      <c r="K50" s="52">
        <f t="shared" si="9"/>
        <v>0.89997500000000008</v>
      </c>
      <c r="L50" s="52">
        <f>((((L38+L40+L42+L44)/4)*0.3)+K50)</f>
        <v>0.9249750000000001</v>
      </c>
      <c r="M50" s="52">
        <f t="shared" si="9"/>
        <v>0.94997500000000012</v>
      </c>
      <c r="N50" s="52">
        <f t="shared" si="9"/>
        <v>0.97497500000000015</v>
      </c>
      <c r="O50" s="52">
        <f t="shared" si="9"/>
        <v>0.99997500000000017</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200</v>
      </c>
      <c r="D51" s="75">
        <f>((((D39+D41+D43+D45)/4)*0.307)+C49)</f>
        <v>0.71918749999999998</v>
      </c>
      <c r="E51" s="55">
        <f>((((E39+E41+E43+E45)/4)*0.307)+D51)</f>
        <v>0.74809641032166663</v>
      </c>
      <c r="F51" s="55">
        <f t="shared" ref="F51:O51" si="10">((((F39+F41+F43+F45)/4)*0.307)+E51)</f>
        <v>0.77700506532166658</v>
      </c>
      <c r="G51" s="55">
        <f t="shared" si="10"/>
        <v>0.80105314282166662</v>
      </c>
      <c r="H51" s="55">
        <f t="shared" si="10"/>
        <v>0.82638064282166657</v>
      </c>
      <c r="I51" s="55">
        <f t="shared" si="10"/>
        <v>0.85196397615499986</v>
      </c>
      <c r="J51" s="55">
        <f t="shared" si="10"/>
        <v>0.87828897032166653</v>
      </c>
      <c r="K51" s="55">
        <f>((((K39+K41+K43+K45)/4)*0.307)+J51)</f>
        <v>0.90512588698833318</v>
      </c>
      <c r="L51" s="55">
        <f>((((L39+L41+L43+L45)/4)*0.307)+K51)</f>
        <v>0.93042780365499989</v>
      </c>
      <c r="M51" s="55">
        <f>((((M39+M41+M43+M45)/4)*0.307)+L51)</f>
        <v>0.95240388698833323</v>
      </c>
      <c r="N51" s="55">
        <f t="shared" si="10"/>
        <v>0.9802897203216665</v>
      </c>
      <c r="O51" s="55">
        <f t="shared" si="10"/>
        <v>0.9802897203216665</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841"/>
      <c r="R52" s="841"/>
      <c r="S52" s="841"/>
      <c r="T52" s="841"/>
      <c r="U52" s="841"/>
      <c r="V52" s="841"/>
      <c r="W52" s="841"/>
      <c r="X52" s="841"/>
      <c r="Y52" s="841"/>
      <c r="Z52" s="841"/>
      <c r="AA52" s="841"/>
      <c r="AB52" s="841"/>
      <c r="AC52" s="841"/>
      <c r="AD52" s="841"/>
      <c r="AE52" s="1"/>
      <c r="AF52" s="1"/>
      <c r="AG52" s="1"/>
      <c r="AH52" s="1"/>
      <c r="AI52" s="1"/>
      <c r="AJ52" s="1"/>
      <c r="AK52" s="1"/>
      <c r="AL52" s="1"/>
      <c r="AM52" s="1"/>
      <c r="AN52" s="1"/>
      <c r="AO52" s="1"/>
    </row>
    <row r="53" spans="1:41" ht="28.5" customHeight="1">
      <c r="A53" s="1"/>
      <c r="B53" s="1"/>
      <c r="C53" s="76" t="s">
        <v>379</v>
      </c>
      <c r="D53" s="86"/>
      <c r="E53" s="299">
        <v>3</v>
      </c>
      <c r="F53" s="299"/>
      <c r="G53" s="299"/>
      <c r="H53" s="299"/>
      <c r="I53" s="299"/>
      <c r="J53" s="299"/>
      <c r="K53" s="299"/>
      <c r="L53" s="299"/>
      <c r="M53" s="299"/>
      <c r="N53" s="299"/>
      <c r="O53" s="299"/>
      <c r="P53" s="1"/>
      <c r="Q53" s="841"/>
      <c r="R53" s="841"/>
      <c r="S53" s="841"/>
      <c r="T53" s="841"/>
      <c r="U53" s="841"/>
      <c r="V53" s="841"/>
      <c r="W53" s="841"/>
      <c r="X53" s="841"/>
      <c r="Y53" s="841"/>
      <c r="Z53" s="841"/>
      <c r="AA53" s="841"/>
      <c r="AB53" s="841"/>
      <c r="AC53" s="841"/>
      <c r="AD53" s="841"/>
      <c r="AE53" s="1"/>
      <c r="AF53" s="1"/>
      <c r="AG53" s="1"/>
      <c r="AH53" s="1"/>
      <c r="AI53" s="1"/>
      <c r="AJ53" s="1"/>
      <c r="AK53" s="1"/>
      <c r="AL53" s="1"/>
      <c r="AM53" s="1"/>
      <c r="AN53" s="1"/>
      <c r="AO53" s="1"/>
    </row>
    <row r="54" spans="1:41" ht="37.15" customHeight="1">
      <c r="A54" s="1"/>
      <c r="B54" s="1"/>
      <c r="C54" s="223" t="s">
        <v>380</v>
      </c>
      <c r="D54" s="87"/>
      <c r="E54" s="353">
        <v>181</v>
      </c>
      <c r="F54" s="353">
        <v>474</v>
      </c>
      <c r="G54" s="353">
        <v>336</v>
      </c>
      <c r="H54" s="457">
        <v>691</v>
      </c>
      <c r="I54" s="353">
        <v>355</v>
      </c>
      <c r="J54" s="353">
        <v>674</v>
      </c>
      <c r="K54" s="353">
        <v>840</v>
      </c>
      <c r="L54" s="353">
        <v>561</v>
      </c>
      <c r="M54" s="353">
        <v>185</v>
      </c>
      <c r="N54" s="353"/>
      <c r="O54" s="353"/>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4" t="s">
        <v>259</v>
      </c>
      <c r="D55" s="86"/>
      <c r="E55" s="299">
        <v>94</v>
      </c>
      <c r="F55" s="299">
        <v>184</v>
      </c>
      <c r="G55" s="299"/>
      <c r="H55" s="299">
        <v>200</v>
      </c>
      <c r="I55" s="299"/>
      <c r="J55" s="299"/>
      <c r="K55" s="299"/>
      <c r="L55" s="299"/>
      <c r="M55" s="299">
        <v>113</v>
      </c>
      <c r="N55" s="299"/>
      <c r="O55" s="299"/>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3" t="s">
        <v>381</v>
      </c>
      <c r="D56" s="87"/>
      <c r="E56" s="353">
        <v>68</v>
      </c>
      <c r="F56" s="353">
        <v>294</v>
      </c>
      <c r="G56" s="353"/>
      <c r="H56" s="353">
        <v>129</v>
      </c>
      <c r="I56" s="353"/>
      <c r="J56" s="353"/>
      <c r="K56" s="353"/>
      <c r="L56" s="353"/>
      <c r="M56" s="353">
        <v>72</v>
      </c>
      <c r="N56" s="353"/>
      <c r="O56" s="353"/>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25" right="0.25" top="0.75" bottom="0.75" header="0.3" footer="0.3"/>
  <pageSetup paperSize="5" scale="26" orientation="landscape" r:id="rId1"/>
  <colBreaks count="1" manualBreakCount="1">
    <brk id="30"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99"/>
  <sheetViews>
    <sheetView showGridLines="0" topLeftCell="J1" zoomScale="70" zoomScaleNormal="70" zoomScaleSheetLayoutView="10" workbookViewId="0">
      <selection activeCell="Q34" sqref="Q34:V35"/>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2.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3" width="16.42578125" customWidth="1"/>
    <col min="24" max="24" width="15.28515625" bestFit="1" customWidth="1"/>
    <col min="25" max="25" width="14.42578125" customWidth="1"/>
    <col min="26" max="26" width="16.28515625" bestFit="1" customWidth="1"/>
    <col min="27" max="28" width="16.42578125" customWidth="1"/>
    <col min="29" max="29" width="17.85546875" customWidth="1"/>
    <col min="30" max="30" width="6.42578125" customWidth="1"/>
    <col min="31" max="31" width="23.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773"/>
      <c r="B1" s="776" t="s">
        <v>53</v>
      </c>
      <c r="C1" s="752"/>
      <c r="D1" s="752"/>
      <c r="E1" s="752"/>
      <c r="F1" s="752"/>
      <c r="G1" s="752"/>
      <c r="H1" s="752"/>
      <c r="I1" s="752"/>
      <c r="J1" s="752"/>
      <c r="K1" s="752"/>
      <c r="L1" s="752"/>
      <c r="M1" s="752"/>
      <c r="N1" s="752"/>
      <c r="O1" s="752"/>
      <c r="P1" s="752"/>
      <c r="Q1" s="752"/>
      <c r="R1" s="752"/>
      <c r="S1" s="752"/>
      <c r="T1" s="752"/>
      <c r="U1" s="752"/>
      <c r="V1" s="752"/>
      <c r="W1" s="752"/>
      <c r="X1" s="752"/>
      <c r="Y1" s="752"/>
      <c r="Z1" s="752"/>
      <c r="AA1" s="639"/>
      <c r="AB1" s="755" t="s">
        <v>54</v>
      </c>
      <c r="AC1" s="684"/>
      <c r="AD1" s="741"/>
      <c r="AE1" s="1"/>
      <c r="AF1" s="1"/>
      <c r="AG1" s="1"/>
      <c r="AH1" s="1"/>
      <c r="AI1" s="1"/>
      <c r="AJ1" s="1"/>
      <c r="AK1" s="1"/>
      <c r="AL1" s="1"/>
      <c r="AM1" s="1"/>
      <c r="AN1" s="1"/>
      <c r="AO1" s="1"/>
    </row>
    <row r="2" spans="1:41" ht="30.75" customHeight="1">
      <c r="A2" s="774"/>
      <c r="B2" s="756" t="s">
        <v>55</v>
      </c>
      <c r="C2" s="753"/>
      <c r="D2" s="753"/>
      <c r="E2" s="753"/>
      <c r="F2" s="753"/>
      <c r="G2" s="753"/>
      <c r="H2" s="753"/>
      <c r="I2" s="753"/>
      <c r="J2" s="753"/>
      <c r="K2" s="753"/>
      <c r="L2" s="753"/>
      <c r="M2" s="753"/>
      <c r="N2" s="753"/>
      <c r="O2" s="753"/>
      <c r="P2" s="753"/>
      <c r="Q2" s="753"/>
      <c r="R2" s="753"/>
      <c r="S2" s="753"/>
      <c r="T2" s="753"/>
      <c r="U2" s="753"/>
      <c r="V2" s="753"/>
      <c r="W2" s="753"/>
      <c r="X2" s="753"/>
      <c r="Y2" s="753"/>
      <c r="Z2" s="753"/>
      <c r="AA2" s="641"/>
      <c r="AB2" s="760" t="s">
        <v>56</v>
      </c>
      <c r="AC2" s="688"/>
      <c r="AD2" s="689"/>
      <c r="AE2" s="1"/>
      <c r="AF2" s="1"/>
      <c r="AG2" s="1"/>
      <c r="AH2" s="1"/>
      <c r="AI2" s="1"/>
      <c r="AJ2" s="1"/>
      <c r="AK2" s="1"/>
      <c r="AL2" s="1"/>
      <c r="AM2" s="1"/>
      <c r="AN2" s="1"/>
      <c r="AO2" s="1"/>
    </row>
    <row r="3" spans="1:41" ht="24" customHeight="1">
      <c r="A3" s="774"/>
      <c r="B3" s="757" t="s">
        <v>159</v>
      </c>
      <c r="C3" s="753"/>
      <c r="D3" s="753"/>
      <c r="E3" s="753"/>
      <c r="F3" s="753"/>
      <c r="G3" s="753"/>
      <c r="H3" s="753"/>
      <c r="I3" s="753"/>
      <c r="J3" s="753"/>
      <c r="K3" s="753"/>
      <c r="L3" s="753"/>
      <c r="M3" s="753"/>
      <c r="N3" s="753"/>
      <c r="O3" s="753"/>
      <c r="P3" s="753"/>
      <c r="Q3" s="753"/>
      <c r="R3" s="753"/>
      <c r="S3" s="753"/>
      <c r="T3" s="753"/>
      <c r="U3" s="753"/>
      <c r="V3" s="753"/>
      <c r="W3" s="753"/>
      <c r="X3" s="753"/>
      <c r="Y3" s="753"/>
      <c r="Z3" s="753"/>
      <c r="AA3" s="641"/>
      <c r="AB3" s="760" t="s">
        <v>58</v>
      </c>
      <c r="AC3" s="688"/>
      <c r="AD3" s="689"/>
      <c r="AE3" s="1"/>
      <c r="AF3" s="1"/>
      <c r="AG3" s="1"/>
      <c r="AH3" s="1"/>
      <c r="AI3" s="1"/>
      <c r="AJ3" s="1"/>
      <c r="AK3" s="1"/>
      <c r="AL3" s="1"/>
      <c r="AM3" s="1"/>
      <c r="AN3" s="1"/>
      <c r="AO3" s="1"/>
    </row>
    <row r="4" spans="1:41" ht="21.75" customHeight="1">
      <c r="A4" s="775"/>
      <c r="B4" s="642"/>
      <c r="C4" s="745"/>
      <c r="D4" s="745"/>
      <c r="E4" s="745"/>
      <c r="F4" s="745"/>
      <c r="G4" s="745"/>
      <c r="H4" s="745"/>
      <c r="I4" s="745"/>
      <c r="J4" s="745"/>
      <c r="K4" s="745"/>
      <c r="L4" s="745"/>
      <c r="M4" s="745"/>
      <c r="N4" s="745"/>
      <c r="O4" s="745"/>
      <c r="P4" s="745"/>
      <c r="Q4" s="745"/>
      <c r="R4" s="745"/>
      <c r="S4" s="745"/>
      <c r="T4" s="745"/>
      <c r="U4" s="745"/>
      <c r="V4" s="745"/>
      <c r="W4" s="745"/>
      <c r="X4" s="745"/>
      <c r="Y4" s="745"/>
      <c r="Z4" s="745"/>
      <c r="AA4" s="643"/>
      <c r="AB4" s="758" t="s">
        <v>160</v>
      </c>
      <c r="AC4" s="750"/>
      <c r="AD4" s="759"/>
      <c r="AE4" s="1"/>
      <c r="AF4" s="1"/>
      <c r="AG4" s="1"/>
      <c r="AH4" s="1"/>
      <c r="AI4" s="1"/>
      <c r="AJ4" s="1"/>
      <c r="AK4" s="1"/>
      <c r="AL4" s="1"/>
      <c r="AM4" s="1"/>
      <c r="AN4" s="1"/>
      <c r="AO4" s="1"/>
    </row>
    <row r="5" spans="1:41" ht="9" customHeight="1">
      <c r="A5" s="2"/>
      <c r="B5" s="3"/>
      <c r="C5" s="4"/>
      <c r="D5" s="230"/>
      <c r="E5" s="230"/>
      <c r="F5" s="230"/>
      <c r="G5" s="230"/>
      <c r="H5" s="230"/>
      <c r="I5" s="230"/>
      <c r="J5" s="230"/>
      <c r="K5" s="230"/>
      <c r="L5" s="230"/>
      <c r="M5" s="230"/>
      <c r="N5" s="230"/>
      <c r="O5" s="230"/>
      <c r="P5" s="230"/>
      <c r="Q5" s="230"/>
      <c r="R5" s="230"/>
      <c r="S5" s="230"/>
      <c r="T5" s="230"/>
      <c r="U5" s="230"/>
      <c r="V5" s="230"/>
      <c r="W5" s="230"/>
      <c r="X5" s="230"/>
      <c r="Y5" s="230"/>
      <c r="Z5" s="231"/>
      <c r="AA5" s="230"/>
      <c r="AB5" s="5"/>
      <c r="AC5" s="6"/>
      <c r="AD5" s="7"/>
      <c r="AE5" s="1"/>
      <c r="AF5" s="1"/>
      <c r="AG5" s="1"/>
      <c r="AH5" s="1"/>
      <c r="AI5" s="1"/>
      <c r="AJ5" s="1"/>
      <c r="AK5" s="1"/>
      <c r="AL5" s="1"/>
      <c r="AM5" s="1"/>
      <c r="AN5" s="1"/>
      <c r="AO5" s="1"/>
    </row>
    <row r="6" spans="1:41" ht="9" customHeight="1" thickBot="1">
      <c r="A6" s="232"/>
      <c r="B6" s="230"/>
      <c r="C6" s="230"/>
      <c r="D6" s="230"/>
      <c r="E6" s="230"/>
      <c r="F6" s="230"/>
      <c r="G6" s="230"/>
      <c r="H6" s="230"/>
      <c r="I6" s="230"/>
      <c r="J6" s="230"/>
      <c r="K6" s="230"/>
      <c r="L6" s="230"/>
      <c r="M6" s="230"/>
      <c r="N6" s="230"/>
      <c r="O6" s="230"/>
      <c r="P6" s="230"/>
      <c r="Q6" s="230"/>
      <c r="R6" s="230"/>
      <c r="S6" s="230"/>
      <c r="T6" s="230"/>
      <c r="U6" s="230"/>
      <c r="V6" s="230"/>
      <c r="W6" s="230"/>
      <c r="X6" s="230"/>
      <c r="Y6" s="230"/>
      <c r="Z6" s="231"/>
      <c r="AA6" s="230"/>
      <c r="AB6" s="230"/>
      <c r="AC6" s="233"/>
      <c r="AD6" s="234"/>
      <c r="AE6" s="1"/>
      <c r="AF6" s="1"/>
      <c r="AG6" s="1"/>
      <c r="AH6" s="1"/>
      <c r="AI6" s="1"/>
      <c r="AJ6" s="1"/>
      <c r="AK6" s="1"/>
      <c r="AL6" s="1"/>
      <c r="AM6" s="1"/>
      <c r="AN6" s="1"/>
      <c r="AO6" s="1"/>
    </row>
    <row r="7" spans="1:41" ht="14.25" customHeight="1">
      <c r="A7" s="767" t="s">
        <v>161</v>
      </c>
      <c r="B7" s="768"/>
      <c r="C7" s="777" t="s">
        <v>13</v>
      </c>
      <c r="D7" s="767" t="s">
        <v>65</v>
      </c>
      <c r="E7" s="780"/>
      <c r="F7" s="780"/>
      <c r="G7" s="780"/>
      <c r="H7" s="768"/>
      <c r="I7" s="783">
        <v>44896</v>
      </c>
      <c r="J7" s="784"/>
      <c r="K7" s="767" t="s">
        <v>66</v>
      </c>
      <c r="L7" s="768"/>
      <c r="M7" s="761" t="s">
        <v>67</v>
      </c>
      <c r="N7" s="762"/>
      <c r="O7" s="789"/>
      <c r="P7" s="790"/>
      <c r="Q7" s="230"/>
      <c r="R7" s="230"/>
      <c r="S7" s="230"/>
      <c r="T7" s="230"/>
      <c r="U7" s="230"/>
      <c r="V7" s="230"/>
      <c r="W7" s="230"/>
      <c r="X7" s="230"/>
      <c r="Y7" s="230"/>
      <c r="Z7" s="231"/>
      <c r="AA7" s="230"/>
      <c r="AB7" s="230"/>
      <c r="AC7" s="233"/>
      <c r="AD7" s="234"/>
      <c r="AE7" s="1"/>
      <c r="AF7" s="1"/>
      <c r="AG7" s="1"/>
      <c r="AH7" s="1"/>
      <c r="AI7" s="1"/>
      <c r="AJ7" s="1"/>
      <c r="AK7" s="1"/>
      <c r="AL7" s="1"/>
      <c r="AM7" s="1"/>
      <c r="AN7" s="1"/>
      <c r="AO7" s="1"/>
    </row>
    <row r="8" spans="1:41" ht="14.25" customHeight="1">
      <c r="A8" s="769"/>
      <c r="B8" s="770"/>
      <c r="C8" s="778"/>
      <c r="D8" s="769"/>
      <c r="E8" s="781"/>
      <c r="F8" s="781"/>
      <c r="G8" s="781"/>
      <c r="H8" s="770"/>
      <c r="I8" s="785"/>
      <c r="J8" s="786"/>
      <c r="K8" s="769"/>
      <c r="L8" s="770"/>
      <c r="M8" s="791" t="s">
        <v>68</v>
      </c>
      <c r="N8" s="792"/>
      <c r="O8" s="793"/>
      <c r="P8" s="794"/>
      <c r="Q8" s="230"/>
      <c r="R8" s="230"/>
      <c r="S8" s="230"/>
      <c r="T8" s="230"/>
      <c r="U8" s="230"/>
      <c r="V8" s="230"/>
      <c r="W8" s="230"/>
      <c r="X8" s="230"/>
      <c r="Y8" s="230"/>
      <c r="Z8" s="231"/>
      <c r="AA8" s="230"/>
      <c r="AB8" s="230"/>
      <c r="AC8" s="233"/>
      <c r="AD8" s="234"/>
      <c r="AE8" s="1"/>
      <c r="AF8" s="1"/>
      <c r="AG8" s="1"/>
      <c r="AH8" s="1"/>
      <c r="AI8" s="1"/>
      <c r="AJ8" s="1"/>
      <c r="AK8" s="1"/>
      <c r="AL8" s="1"/>
      <c r="AM8" s="1"/>
      <c r="AN8" s="1"/>
      <c r="AO8" s="1"/>
    </row>
    <row r="9" spans="1:41" ht="15" customHeight="1" thickBot="1">
      <c r="A9" s="771"/>
      <c r="B9" s="772"/>
      <c r="C9" s="779"/>
      <c r="D9" s="771"/>
      <c r="E9" s="782"/>
      <c r="F9" s="782"/>
      <c r="G9" s="782"/>
      <c r="H9" s="772"/>
      <c r="I9" s="787"/>
      <c r="J9" s="788"/>
      <c r="K9" s="771"/>
      <c r="L9" s="772"/>
      <c r="M9" s="763" t="s">
        <v>61</v>
      </c>
      <c r="N9" s="764"/>
      <c r="O9" s="765" t="s">
        <v>69</v>
      </c>
      <c r="P9" s="766"/>
      <c r="Q9" s="230"/>
      <c r="R9" s="230"/>
      <c r="S9" s="230"/>
      <c r="T9" s="230"/>
      <c r="U9" s="230"/>
      <c r="V9" s="230"/>
      <c r="W9" s="230"/>
      <c r="X9" s="230"/>
      <c r="Y9" s="230"/>
      <c r="Z9" s="231"/>
      <c r="AA9" s="230"/>
      <c r="AB9" s="230"/>
      <c r="AC9" s="233"/>
      <c r="AD9" s="234"/>
      <c r="AE9" s="1"/>
      <c r="AF9" s="1"/>
      <c r="AG9" s="1"/>
      <c r="AH9" s="1"/>
      <c r="AI9" s="1"/>
      <c r="AJ9" s="1"/>
      <c r="AK9" s="1"/>
      <c r="AL9" s="1"/>
      <c r="AM9" s="1"/>
      <c r="AN9" s="1"/>
      <c r="AO9" s="1"/>
    </row>
    <row r="10" spans="1:41" ht="15" customHeight="1" thickBot="1">
      <c r="A10" s="232"/>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4"/>
      <c r="AE10" s="1"/>
      <c r="AF10" s="1"/>
      <c r="AG10" s="1"/>
      <c r="AH10" s="1"/>
      <c r="AI10" s="1"/>
      <c r="AJ10" s="1"/>
      <c r="AK10" s="1"/>
      <c r="AL10" s="1"/>
      <c r="AM10" s="1"/>
      <c r="AN10" s="1"/>
      <c r="AO10" s="1"/>
    </row>
    <row r="11" spans="1:41" ht="15" customHeight="1">
      <c r="A11" s="754" t="s">
        <v>162</v>
      </c>
      <c r="B11" s="639"/>
      <c r="C11" s="751" t="s">
        <v>163</v>
      </c>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c r="AC11" s="752"/>
      <c r="AD11" s="639"/>
      <c r="AE11" s="1"/>
      <c r="AF11" s="1"/>
      <c r="AG11" s="1"/>
      <c r="AH11" s="1"/>
      <c r="AI11" s="1"/>
      <c r="AJ11" s="1"/>
      <c r="AK11" s="1"/>
      <c r="AL11" s="1"/>
      <c r="AM11" s="1"/>
      <c r="AN11" s="1"/>
      <c r="AO11" s="1"/>
    </row>
    <row r="12" spans="1:41" ht="15" customHeight="1">
      <c r="A12" s="640"/>
      <c r="B12" s="641"/>
      <c r="C12" s="640"/>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641"/>
      <c r="AE12" s="1"/>
      <c r="AF12" s="1"/>
      <c r="AG12" s="1"/>
      <c r="AH12" s="1"/>
      <c r="AI12" s="1"/>
      <c r="AJ12" s="1"/>
      <c r="AK12" s="1"/>
      <c r="AL12" s="1"/>
      <c r="AM12" s="1"/>
      <c r="AN12" s="1"/>
      <c r="AO12" s="1"/>
    </row>
    <row r="13" spans="1:41" ht="15" customHeight="1">
      <c r="A13" s="642"/>
      <c r="B13" s="643"/>
      <c r="C13" s="642"/>
      <c r="D13" s="745"/>
      <c r="E13" s="745"/>
      <c r="F13" s="745"/>
      <c r="G13" s="745"/>
      <c r="H13" s="745"/>
      <c r="I13" s="745"/>
      <c r="J13" s="745"/>
      <c r="K13" s="745"/>
      <c r="L13" s="745"/>
      <c r="M13" s="745"/>
      <c r="N13" s="745"/>
      <c r="O13" s="745"/>
      <c r="P13" s="745"/>
      <c r="Q13" s="745"/>
      <c r="R13" s="745"/>
      <c r="S13" s="745"/>
      <c r="T13" s="745"/>
      <c r="U13" s="745"/>
      <c r="V13" s="745"/>
      <c r="W13" s="745"/>
      <c r="X13" s="745"/>
      <c r="Y13" s="745"/>
      <c r="Z13" s="745"/>
      <c r="AA13" s="745"/>
      <c r="AB13" s="745"/>
      <c r="AC13" s="745"/>
      <c r="AD13" s="643"/>
      <c r="AE13" s="1"/>
      <c r="AF13" s="1"/>
      <c r="AG13" s="1"/>
      <c r="AH13" s="1"/>
      <c r="AI13" s="1"/>
      <c r="AJ13" s="1"/>
      <c r="AK13" s="1"/>
      <c r="AL13" s="1"/>
      <c r="AM13" s="1"/>
      <c r="AN13" s="1"/>
      <c r="AO13" s="1"/>
    </row>
    <row r="14" spans="1:41" ht="9" customHeight="1">
      <c r="A14" s="229"/>
      <c r="B14" s="15"/>
      <c r="C14" s="235"/>
      <c r="D14" s="235"/>
      <c r="E14" s="235"/>
      <c r="F14" s="235"/>
      <c r="G14" s="235"/>
      <c r="H14" s="235"/>
      <c r="I14" s="235"/>
      <c r="J14" s="235"/>
      <c r="K14" s="235"/>
      <c r="L14" s="235"/>
      <c r="M14" s="236"/>
      <c r="N14" s="236"/>
      <c r="O14" s="236"/>
      <c r="P14" s="236"/>
      <c r="Q14" s="236"/>
      <c r="R14" s="16"/>
      <c r="S14" s="16"/>
      <c r="T14" s="16"/>
      <c r="U14" s="16"/>
      <c r="V14" s="16"/>
      <c r="W14" s="16"/>
      <c r="X14" s="16"/>
      <c r="Y14" s="9"/>
      <c r="Z14" s="9"/>
      <c r="AA14" s="9"/>
      <c r="AB14" s="9"/>
      <c r="AC14" s="9"/>
      <c r="AD14" s="237"/>
      <c r="AE14" s="1"/>
      <c r="AF14" s="1"/>
      <c r="AG14" s="1"/>
      <c r="AH14" s="1"/>
      <c r="AI14" s="1"/>
      <c r="AJ14" s="1"/>
      <c r="AK14" s="1"/>
      <c r="AL14" s="1"/>
      <c r="AM14" s="1"/>
      <c r="AN14" s="1"/>
      <c r="AO14" s="1"/>
    </row>
    <row r="15" spans="1:41" ht="60" customHeight="1">
      <c r="A15" s="714" t="s">
        <v>164</v>
      </c>
      <c r="B15" s="715"/>
      <c r="C15" s="743" t="s">
        <v>165</v>
      </c>
      <c r="D15" s="724"/>
      <c r="E15" s="724"/>
      <c r="F15" s="724"/>
      <c r="G15" s="724"/>
      <c r="H15" s="724"/>
      <c r="I15" s="724"/>
      <c r="J15" s="724"/>
      <c r="K15" s="715"/>
      <c r="L15" s="725" t="s">
        <v>166</v>
      </c>
      <c r="M15" s="724"/>
      <c r="N15" s="724"/>
      <c r="O15" s="724"/>
      <c r="P15" s="724"/>
      <c r="Q15" s="715"/>
      <c r="R15" s="748" t="s">
        <v>167</v>
      </c>
      <c r="S15" s="724"/>
      <c r="T15" s="724"/>
      <c r="U15" s="724"/>
      <c r="V15" s="724"/>
      <c r="W15" s="724"/>
      <c r="X15" s="715"/>
      <c r="Y15" s="725" t="s">
        <v>168</v>
      </c>
      <c r="Z15" s="715"/>
      <c r="AA15" s="748" t="s">
        <v>169</v>
      </c>
      <c r="AB15" s="724"/>
      <c r="AC15" s="724"/>
      <c r="AD15" s="715"/>
      <c r="AE15" s="1"/>
      <c r="AF15" s="1"/>
      <c r="AG15" s="1"/>
      <c r="AH15" s="1"/>
      <c r="AI15" s="1"/>
      <c r="AJ15" s="1"/>
      <c r="AK15" s="1"/>
      <c r="AL15" s="1"/>
      <c r="AM15" s="1"/>
      <c r="AN15" s="1"/>
      <c r="AO15" s="1"/>
    </row>
    <row r="16" spans="1:41" ht="9" customHeight="1">
      <c r="A16" s="232"/>
      <c r="B16" s="230"/>
      <c r="C16" s="747"/>
      <c r="D16" s="745"/>
      <c r="E16" s="745"/>
      <c r="F16" s="745"/>
      <c r="G16" s="745"/>
      <c r="H16" s="745"/>
      <c r="I16" s="745"/>
      <c r="J16" s="745"/>
      <c r="K16" s="745"/>
      <c r="L16" s="745"/>
      <c r="M16" s="745"/>
      <c r="N16" s="745"/>
      <c r="O16" s="745"/>
      <c r="P16" s="745"/>
      <c r="Q16" s="745"/>
      <c r="R16" s="745"/>
      <c r="S16" s="745"/>
      <c r="T16" s="745"/>
      <c r="U16" s="745"/>
      <c r="V16" s="745"/>
      <c r="W16" s="745"/>
      <c r="X16" s="745"/>
      <c r="Y16" s="745"/>
      <c r="Z16" s="745"/>
      <c r="AA16" s="745"/>
      <c r="AB16" s="745"/>
      <c r="AC16" s="17"/>
      <c r="AD16" s="238"/>
      <c r="AE16" s="1"/>
      <c r="AF16" s="1"/>
      <c r="AG16" s="1"/>
      <c r="AH16" s="1"/>
      <c r="AI16" s="1"/>
      <c r="AJ16" s="1"/>
      <c r="AK16" s="1"/>
      <c r="AL16" s="1"/>
      <c r="AM16" s="1"/>
      <c r="AN16" s="1"/>
      <c r="AO16" s="1"/>
    </row>
    <row r="17" spans="1:41" ht="37.5" customHeight="1" thickBot="1">
      <c r="A17" s="714" t="s">
        <v>170</v>
      </c>
      <c r="B17" s="715"/>
      <c r="C17" s="743" t="s">
        <v>382</v>
      </c>
      <c r="D17" s="724"/>
      <c r="E17" s="724"/>
      <c r="F17" s="724"/>
      <c r="G17" s="724"/>
      <c r="H17" s="724"/>
      <c r="I17" s="724"/>
      <c r="J17" s="724"/>
      <c r="K17" s="724"/>
      <c r="L17" s="724"/>
      <c r="M17" s="724"/>
      <c r="N17" s="724"/>
      <c r="O17" s="724"/>
      <c r="P17" s="724"/>
      <c r="Q17" s="715"/>
      <c r="R17" s="725" t="s">
        <v>172</v>
      </c>
      <c r="S17" s="724"/>
      <c r="T17" s="724"/>
      <c r="U17" s="724"/>
      <c r="V17" s="715"/>
      <c r="W17" s="867">
        <v>0.25</v>
      </c>
      <c r="X17" s="715"/>
      <c r="Y17" s="723" t="s">
        <v>173</v>
      </c>
      <c r="Z17" s="724"/>
      <c r="AA17" s="724"/>
      <c r="AB17" s="715"/>
      <c r="AC17" s="746">
        <f>+B34</f>
        <v>0.15000000000000002</v>
      </c>
      <c r="AD17" s="715"/>
      <c r="AE17" s="239"/>
      <c r="AF17" s="239"/>
      <c r="AG17" s="239"/>
      <c r="AH17" s="239"/>
      <c r="AI17" s="239"/>
      <c r="AJ17" s="239"/>
      <c r="AK17" s="239"/>
      <c r="AL17" s="239"/>
      <c r="AM17" s="239"/>
      <c r="AN17" s="239"/>
      <c r="AO17" s="239"/>
    </row>
    <row r="18" spans="1:41" ht="35.65" customHeight="1" thickBot="1">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2"/>
      <c r="AE18" s="1"/>
      <c r="AF18" s="1"/>
      <c r="AG18" s="1"/>
      <c r="AH18" s="1"/>
      <c r="AI18" s="1"/>
      <c r="AJ18" s="1"/>
      <c r="AK18" s="1"/>
      <c r="AL18" s="1"/>
      <c r="AM18" s="1"/>
      <c r="AN18" s="1"/>
      <c r="AO18" s="1"/>
    </row>
    <row r="19" spans="1:41" ht="31.5" customHeight="1" thickBot="1">
      <c r="A19" s="725" t="s">
        <v>174</v>
      </c>
      <c r="B19" s="724"/>
      <c r="C19" s="724"/>
      <c r="D19" s="724"/>
      <c r="E19" s="724"/>
      <c r="F19" s="724"/>
      <c r="G19" s="724"/>
      <c r="H19" s="724"/>
      <c r="I19" s="724"/>
      <c r="J19" s="724"/>
      <c r="K19" s="724"/>
      <c r="L19" s="859"/>
      <c r="M19" s="724"/>
      <c r="N19" s="724"/>
      <c r="O19" s="724"/>
      <c r="P19" s="724"/>
      <c r="Q19" s="724"/>
      <c r="R19" s="724"/>
      <c r="S19" s="724"/>
      <c r="T19" s="724"/>
      <c r="U19" s="724"/>
      <c r="V19" s="724"/>
      <c r="W19" s="724"/>
      <c r="X19" s="724"/>
      <c r="Y19" s="724"/>
      <c r="Z19" s="724"/>
      <c r="AA19" s="724"/>
      <c r="AB19" s="724"/>
      <c r="AC19" s="724"/>
      <c r="AD19" s="715"/>
      <c r="AE19" s="18"/>
      <c r="AF19" s="18"/>
      <c r="AG19" s="1"/>
      <c r="AH19" s="1"/>
      <c r="AI19" s="1"/>
      <c r="AJ19" s="1"/>
      <c r="AK19" s="1"/>
      <c r="AL19" s="1"/>
      <c r="AM19" s="1"/>
      <c r="AN19" s="1"/>
      <c r="AO19" s="1"/>
    </row>
    <row r="20" spans="1:41" ht="31.5" customHeight="1" thickBot="1">
      <c r="A20" s="243"/>
      <c r="B20" s="233"/>
      <c r="C20" s="744" t="s">
        <v>1</v>
      </c>
      <c r="D20" s="745"/>
      <c r="E20" s="745"/>
      <c r="F20" s="745"/>
      <c r="G20" s="745"/>
      <c r="H20" s="745"/>
      <c r="I20" s="745"/>
      <c r="J20" s="745"/>
      <c r="K20" s="745"/>
      <c r="L20" s="745"/>
      <c r="M20" s="745"/>
      <c r="N20" s="745"/>
      <c r="O20" s="745"/>
      <c r="P20" s="643"/>
      <c r="Q20" s="726" t="s">
        <v>0</v>
      </c>
      <c r="R20" s="727"/>
      <c r="S20" s="727"/>
      <c r="T20" s="727"/>
      <c r="U20" s="727"/>
      <c r="V20" s="727"/>
      <c r="W20" s="727"/>
      <c r="X20" s="727"/>
      <c r="Y20" s="727"/>
      <c r="Z20" s="727"/>
      <c r="AA20" s="727"/>
      <c r="AB20" s="727"/>
      <c r="AC20" s="727"/>
      <c r="AD20" s="641"/>
      <c r="AE20" s="18"/>
      <c r="AF20" s="18"/>
      <c r="AG20" s="1"/>
      <c r="AH20" s="1"/>
      <c r="AI20" s="1"/>
      <c r="AJ20" s="1"/>
      <c r="AK20" s="1"/>
      <c r="AL20" s="1"/>
      <c r="AM20" s="1"/>
      <c r="AN20" s="1"/>
      <c r="AO20" s="1"/>
    </row>
    <row r="21" spans="1:41" ht="31.15" customHeight="1" thickBot="1">
      <c r="A21" s="232"/>
      <c r="B21" s="230"/>
      <c r="C21" s="19" t="s">
        <v>3</v>
      </c>
      <c r="D21" s="20" t="s">
        <v>4</v>
      </c>
      <c r="E21" s="20" t="s">
        <v>5</v>
      </c>
      <c r="F21" s="20" t="s">
        <v>6</v>
      </c>
      <c r="G21" s="20" t="s">
        <v>7</v>
      </c>
      <c r="H21" s="20" t="s">
        <v>8</v>
      </c>
      <c r="I21" s="20" t="s">
        <v>9</v>
      </c>
      <c r="J21" s="20" t="s">
        <v>10</v>
      </c>
      <c r="K21" s="20" t="s">
        <v>11</v>
      </c>
      <c r="L21" s="20" t="s">
        <v>12</v>
      </c>
      <c r="M21" s="20" t="s">
        <v>13</v>
      </c>
      <c r="N21" s="20" t="s">
        <v>14</v>
      </c>
      <c r="O21" s="20" t="s">
        <v>15</v>
      </c>
      <c r="P21" s="21" t="s">
        <v>16</v>
      </c>
      <c r="Q21" s="19" t="s">
        <v>3</v>
      </c>
      <c r="R21" s="20" t="s">
        <v>4</v>
      </c>
      <c r="S21" s="20" t="s">
        <v>5</v>
      </c>
      <c r="T21" s="20" t="s">
        <v>6</v>
      </c>
      <c r="U21" s="20" t="s">
        <v>7</v>
      </c>
      <c r="V21" s="20" t="s">
        <v>8</v>
      </c>
      <c r="W21" s="20" t="s">
        <v>9</v>
      </c>
      <c r="X21" s="20" t="s">
        <v>10</v>
      </c>
      <c r="Y21" s="20" t="s">
        <v>11</v>
      </c>
      <c r="Z21" s="20" t="s">
        <v>12</v>
      </c>
      <c r="AA21" s="20" t="s">
        <v>13</v>
      </c>
      <c r="AB21" s="20" t="s">
        <v>14</v>
      </c>
      <c r="AC21" s="20" t="s">
        <v>15</v>
      </c>
      <c r="AD21" s="21" t="s">
        <v>16</v>
      </c>
      <c r="AE21" s="18"/>
      <c r="AF21" s="18"/>
      <c r="AG21" s="1"/>
      <c r="AH21" s="1"/>
      <c r="AI21" s="1"/>
      <c r="AJ21" s="1"/>
      <c r="AK21" s="1"/>
      <c r="AL21" s="1"/>
      <c r="AM21" s="1"/>
      <c r="AN21" s="1"/>
      <c r="AO21" s="1"/>
    </row>
    <row r="22" spans="1:41" ht="31.5" customHeight="1">
      <c r="A22" s="721" t="s">
        <v>17</v>
      </c>
      <c r="B22" s="684"/>
      <c r="C22" s="22"/>
      <c r="D22" s="23"/>
      <c r="E22" s="23"/>
      <c r="F22" s="23"/>
      <c r="G22" s="439"/>
      <c r="H22" s="451"/>
      <c r="I22" s="480"/>
      <c r="J22" s="23"/>
      <c r="K22" s="23"/>
      <c r="L22" s="23"/>
      <c r="M22" s="23"/>
      <c r="N22" s="23"/>
      <c r="O22" s="141">
        <f t="shared" ref="O22:O25" si="0">SUM(C22:N22)</f>
        <v>0</v>
      </c>
      <c r="P22" s="244"/>
      <c r="Q22" s="423">
        <v>1087452842</v>
      </c>
      <c r="R22" s="72">
        <v>22500000</v>
      </c>
      <c r="S22" s="72">
        <f>1862603187+400000000</f>
        <v>2262603187</v>
      </c>
      <c r="T22" s="72">
        <v>19980500</v>
      </c>
      <c r="U22" s="26">
        <f>2000000+14000000</f>
        <v>16000000</v>
      </c>
      <c r="V22" s="455">
        <v>1000000</v>
      </c>
      <c r="W22" s="584">
        <v>-293024082</v>
      </c>
      <c r="X22" s="72">
        <f>35000000+37500000</f>
        <v>72500000</v>
      </c>
      <c r="Y22" s="72"/>
      <c r="Z22" s="72">
        <v>-442877446</v>
      </c>
      <c r="AA22" s="72"/>
      <c r="AB22" s="72"/>
      <c r="AC22" s="469">
        <f t="shared" ref="AC22" si="1">SUM(Q22:AB22)</f>
        <v>2746135001</v>
      </c>
      <c r="AD22" s="24"/>
      <c r="AE22" s="559">
        <v>2746135001</v>
      </c>
      <c r="AF22" s="18">
        <f>+AC22-AE22</f>
        <v>0</v>
      </c>
      <c r="AG22" s="1"/>
      <c r="AH22" s="1"/>
      <c r="AI22" s="1"/>
      <c r="AJ22" s="1"/>
      <c r="AK22" s="1"/>
      <c r="AL22" s="1"/>
      <c r="AM22" s="1"/>
      <c r="AN22" s="1"/>
      <c r="AO22" s="1"/>
    </row>
    <row r="23" spans="1:41" ht="31.5" customHeight="1">
      <c r="A23" s="713" t="s">
        <v>18</v>
      </c>
      <c r="B23" s="688"/>
      <c r="C23" s="25">
        <v>6741045</v>
      </c>
      <c r="D23" s="26"/>
      <c r="E23" s="26">
        <v>-2744000</v>
      </c>
      <c r="F23" s="26">
        <v>0</v>
      </c>
      <c r="G23" s="437">
        <v>-179377</v>
      </c>
      <c r="H23" s="452">
        <v>-36000</v>
      </c>
      <c r="I23" s="478">
        <v>0</v>
      </c>
      <c r="J23" s="26">
        <v>0</v>
      </c>
      <c r="K23" s="26">
        <v>0</v>
      </c>
      <c r="L23" s="26">
        <v>0</v>
      </c>
      <c r="M23" s="26">
        <v>0</v>
      </c>
      <c r="N23" s="26"/>
      <c r="O23" s="27">
        <f t="shared" si="0"/>
        <v>3781668</v>
      </c>
      <c r="P23" s="424" t="str">
        <f>IFERROR(O23/(SUMIF(C23:N23,"&gt;0",C22:N22))," ")</f>
        <v xml:space="preserve"> </v>
      </c>
      <c r="Q23" s="425">
        <v>1087452840</v>
      </c>
      <c r="R23" s="26">
        <v>0</v>
      </c>
      <c r="S23" s="26">
        <v>4447824</v>
      </c>
      <c r="T23" s="26">
        <v>8261659</v>
      </c>
      <c r="U23" s="26">
        <v>18226535</v>
      </c>
      <c r="V23" s="452">
        <v>1388106207</v>
      </c>
      <c r="W23" s="478">
        <v>0</v>
      </c>
      <c r="X23" s="26">
        <v>124400000</v>
      </c>
      <c r="Y23" s="26">
        <f>8523902-378781</f>
        <v>8145121</v>
      </c>
      <c r="Z23" s="26">
        <v>41410320</v>
      </c>
      <c r="AA23" s="26">
        <v>-1298162</v>
      </c>
      <c r="AB23" s="26"/>
      <c r="AC23" s="573">
        <f>SUM(Q23:AB23)</f>
        <v>2679152344</v>
      </c>
      <c r="AD23" s="29">
        <f>AC23/AC22</f>
        <v>0.97560838888998236</v>
      </c>
      <c r="AE23" s="354" t="s">
        <v>366</v>
      </c>
      <c r="AF23" s="18"/>
      <c r="AG23" s="1"/>
      <c r="AH23" s="1"/>
      <c r="AI23" s="1"/>
      <c r="AJ23" s="1"/>
      <c r="AK23" s="1"/>
      <c r="AL23" s="1"/>
      <c r="AM23" s="1"/>
      <c r="AN23" s="1"/>
      <c r="AO23" s="1"/>
    </row>
    <row r="24" spans="1:41" ht="31.5" customHeight="1">
      <c r="A24" s="713" t="s">
        <v>19</v>
      </c>
      <c r="B24" s="688"/>
      <c r="C24" s="30"/>
      <c r="D24" s="26">
        <f>4211667+E23</f>
        <v>1467667</v>
      </c>
      <c r="E24" s="26">
        <v>1354378</v>
      </c>
      <c r="F24" s="26">
        <f>1175000-215379</f>
        <v>959621</v>
      </c>
      <c r="G24" s="438"/>
      <c r="H24" s="453"/>
      <c r="I24" s="28"/>
      <c r="J24" s="27"/>
      <c r="K24" s="27"/>
      <c r="L24" s="27"/>
      <c r="M24" s="26">
        <v>2</v>
      </c>
      <c r="N24" s="27"/>
      <c r="O24" s="571">
        <f t="shared" si="0"/>
        <v>3781668</v>
      </c>
      <c r="P24" s="245"/>
      <c r="Q24" s="25"/>
      <c r="R24" s="26">
        <v>37420042</v>
      </c>
      <c r="S24" s="26">
        <v>95526800</v>
      </c>
      <c r="T24" s="26">
        <v>98901800</v>
      </c>
      <c r="U24" s="26">
        <v>609658160</v>
      </c>
      <c r="V24" s="452">
        <v>576489980</v>
      </c>
      <c r="W24" s="478">
        <v>271584201</v>
      </c>
      <c r="X24" s="26">
        <v>258250867</v>
      </c>
      <c r="Y24" s="26">
        <v>258584201</v>
      </c>
      <c r="Z24" s="26">
        <v>258250867</v>
      </c>
      <c r="AA24" s="26">
        <v>289459201</v>
      </c>
      <c r="AB24" s="26">
        <f>277750867+450159543-293024082</f>
        <v>434886328</v>
      </c>
      <c r="AC24" s="470">
        <f>SUM(Q24:AB24)</f>
        <v>3189012447</v>
      </c>
      <c r="AD24" s="29"/>
      <c r="AE24" s="18"/>
      <c r="AF24" s="18"/>
      <c r="AG24" s="1"/>
      <c r="AH24" s="1"/>
      <c r="AI24" s="1"/>
      <c r="AJ24" s="1"/>
      <c r="AK24" s="1"/>
      <c r="AL24" s="1"/>
      <c r="AM24" s="1"/>
      <c r="AN24" s="1"/>
      <c r="AO24" s="1"/>
    </row>
    <row r="25" spans="1:41" ht="31.5" customHeight="1">
      <c r="A25" s="749" t="s">
        <v>20</v>
      </c>
      <c r="B25" s="750"/>
      <c r="C25" s="31"/>
      <c r="D25" s="32">
        <v>1431666</v>
      </c>
      <c r="E25" s="32">
        <f>3919000+E23</f>
        <v>1175000</v>
      </c>
      <c r="F25" s="32">
        <v>1175000</v>
      </c>
      <c r="G25" s="435">
        <v>0</v>
      </c>
      <c r="H25" s="454">
        <v>0</v>
      </c>
      <c r="I25" s="479">
        <v>0</v>
      </c>
      <c r="J25" s="32">
        <v>0</v>
      </c>
      <c r="K25" s="32">
        <v>0</v>
      </c>
      <c r="L25" s="32">
        <v>0</v>
      </c>
      <c r="M25" s="32">
        <v>2</v>
      </c>
      <c r="N25" s="32"/>
      <c r="O25" s="33">
        <f t="shared" si="0"/>
        <v>3781668</v>
      </c>
      <c r="P25" s="427">
        <f>O25/O24</f>
        <v>1</v>
      </c>
      <c r="Q25" s="31"/>
      <c r="R25" s="32">
        <v>13608498</v>
      </c>
      <c r="S25" s="32">
        <v>94854709</v>
      </c>
      <c r="T25" s="32">
        <v>95010083</v>
      </c>
      <c r="U25" s="26">
        <v>95821450</v>
      </c>
      <c r="V25" s="454">
        <v>117417850</v>
      </c>
      <c r="W25" s="479">
        <v>102285315</v>
      </c>
      <c r="X25" s="32">
        <v>96485050</v>
      </c>
      <c r="Y25" s="32">
        <v>99785954</v>
      </c>
      <c r="Z25" s="32">
        <v>467512749</v>
      </c>
      <c r="AA25" s="32">
        <v>205890516</v>
      </c>
      <c r="AB25" s="32"/>
      <c r="AC25" s="471">
        <f>SUM(Q25:AB25)</f>
        <v>1388672174</v>
      </c>
      <c r="AD25" s="34">
        <f>AC25/AC24</f>
        <v>0.43545523797072844</v>
      </c>
      <c r="AE25" s="18"/>
      <c r="AF25" s="18"/>
      <c r="AG25" s="1"/>
      <c r="AH25" s="1"/>
      <c r="AI25" s="1"/>
      <c r="AJ25" s="1"/>
      <c r="AK25" s="1"/>
      <c r="AL25" s="1"/>
      <c r="AM25" s="1"/>
      <c r="AN25" s="1"/>
      <c r="AO25" s="1"/>
    </row>
    <row r="26" spans="1:41" ht="31.5" customHeight="1" thickBot="1">
      <c r="A26" s="232"/>
      <c r="B26" s="230"/>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33"/>
      <c r="AD26" s="234"/>
      <c r="AE26" s="562"/>
      <c r="AF26" s="1"/>
      <c r="AG26" s="1"/>
      <c r="AH26" s="1"/>
      <c r="AI26" s="1"/>
      <c r="AJ26" s="1"/>
      <c r="AK26" s="1"/>
      <c r="AL26" s="1"/>
      <c r="AM26" s="1"/>
      <c r="AN26" s="1"/>
      <c r="AO26" s="1"/>
    </row>
    <row r="27" spans="1:41" ht="33.75" customHeight="1">
      <c r="A27" s="740" t="s">
        <v>176</v>
      </c>
      <c r="B27" s="684"/>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741"/>
      <c r="AE27" s="1"/>
      <c r="AF27" s="1"/>
      <c r="AG27" s="1"/>
      <c r="AH27" s="1"/>
      <c r="AI27" s="1"/>
      <c r="AJ27" s="1"/>
      <c r="AK27" s="1"/>
      <c r="AL27" s="1"/>
      <c r="AM27" s="1"/>
      <c r="AN27" s="1"/>
      <c r="AO27" s="1"/>
    </row>
    <row r="28" spans="1:41" ht="15" customHeight="1">
      <c r="A28" s="716" t="s">
        <v>177</v>
      </c>
      <c r="B28" s="709" t="s">
        <v>178</v>
      </c>
      <c r="C28" s="800"/>
      <c r="D28" s="687" t="s">
        <v>179</v>
      </c>
      <c r="E28" s="688"/>
      <c r="F28" s="688"/>
      <c r="G28" s="688"/>
      <c r="H28" s="688"/>
      <c r="I28" s="688"/>
      <c r="J28" s="688"/>
      <c r="K28" s="688"/>
      <c r="L28" s="688"/>
      <c r="M28" s="688"/>
      <c r="N28" s="688"/>
      <c r="O28" s="742"/>
      <c r="P28" s="708" t="s">
        <v>15</v>
      </c>
      <c r="Q28" s="709" t="s">
        <v>180</v>
      </c>
      <c r="R28" s="710"/>
      <c r="S28" s="710"/>
      <c r="T28" s="710"/>
      <c r="U28" s="710"/>
      <c r="V28" s="710"/>
      <c r="W28" s="710"/>
      <c r="X28" s="710"/>
      <c r="Y28" s="710"/>
      <c r="Z28" s="710"/>
      <c r="AA28" s="710"/>
      <c r="AB28" s="710"/>
      <c r="AC28" s="710"/>
      <c r="AD28" s="711"/>
      <c r="AE28" s="1"/>
      <c r="AF28" s="1"/>
      <c r="AG28" s="1"/>
      <c r="AH28" s="1"/>
      <c r="AI28" s="1"/>
      <c r="AJ28" s="1"/>
      <c r="AK28" s="1"/>
      <c r="AL28" s="1"/>
      <c r="AM28" s="1"/>
      <c r="AN28" s="1"/>
      <c r="AO28" s="1"/>
    </row>
    <row r="29" spans="1:41" ht="27" customHeight="1">
      <c r="A29" s="717"/>
      <c r="B29" s="712"/>
      <c r="C29" s="728"/>
      <c r="D29" s="35" t="s">
        <v>3</v>
      </c>
      <c r="E29" s="35" t="s">
        <v>4</v>
      </c>
      <c r="F29" s="35" t="s">
        <v>5</v>
      </c>
      <c r="G29" s="35" t="s">
        <v>6</v>
      </c>
      <c r="H29" s="35" t="s">
        <v>7</v>
      </c>
      <c r="I29" s="35" t="s">
        <v>8</v>
      </c>
      <c r="J29" s="35" t="s">
        <v>9</v>
      </c>
      <c r="K29" s="35" t="s">
        <v>10</v>
      </c>
      <c r="L29" s="35" t="s">
        <v>11</v>
      </c>
      <c r="M29" s="35" t="s">
        <v>12</v>
      </c>
      <c r="N29" s="35" t="s">
        <v>13</v>
      </c>
      <c r="O29" s="35" t="s">
        <v>14</v>
      </c>
      <c r="P29" s="678"/>
      <c r="Q29" s="712"/>
      <c r="R29" s="685"/>
      <c r="S29" s="685"/>
      <c r="T29" s="685"/>
      <c r="U29" s="685"/>
      <c r="V29" s="685"/>
      <c r="W29" s="685"/>
      <c r="X29" s="685"/>
      <c r="Y29" s="685"/>
      <c r="Z29" s="685"/>
      <c r="AA29" s="685"/>
      <c r="AB29" s="685"/>
      <c r="AC29" s="685"/>
      <c r="AD29" s="686"/>
      <c r="AE29" s="1"/>
      <c r="AF29" s="1"/>
      <c r="AG29" s="1"/>
      <c r="AH29" s="1"/>
      <c r="AI29" s="1"/>
      <c r="AJ29" s="1"/>
      <c r="AK29" s="1"/>
      <c r="AL29" s="1"/>
      <c r="AM29" s="1"/>
      <c r="AN29" s="1"/>
      <c r="AO29" s="1"/>
    </row>
    <row r="30" spans="1:41" ht="54" customHeight="1">
      <c r="A30" s="36" t="s">
        <v>383</v>
      </c>
      <c r="B30" s="857" t="s">
        <v>98</v>
      </c>
      <c r="C30" s="800"/>
      <c r="D30" s="247"/>
      <c r="E30" s="247"/>
      <c r="F30" s="73"/>
      <c r="G30" s="247"/>
      <c r="H30" s="247"/>
      <c r="I30" s="247"/>
      <c r="J30" s="247"/>
      <c r="K30" s="247"/>
      <c r="L30" s="247"/>
      <c r="M30" s="247"/>
      <c r="N30" s="247"/>
      <c r="O30" s="247"/>
      <c r="P30" s="248">
        <f>SUM(D30:O30)</f>
        <v>0</v>
      </c>
      <c r="Q30" s="854"/>
      <c r="R30" s="855"/>
      <c r="S30" s="855"/>
      <c r="T30" s="855"/>
      <c r="U30" s="855"/>
      <c r="V30" s="855"/>
      <c r="W30" s="855"/>
      <c r="X30" s="855"/>
      <c r="Y30" s="855"/>
      <c r="Z30" s="855"/>
      <c r="AA30" s="855"/>
      <c r="AB30" s="855"/>
      <c r="AC30" s="855"/>
      <c r="AD30" s="856"/>
      <c r="AE30" s="1"/>
      <c r="AF30" s="1"/>
      <c r="AG30" s="1"/>
      <c r="AH30" s="1"/>
      <c r="AI30" s="1"/>
      <c r="AJ30" s="1"/>
      <c r="AK30" s="1"/>
      <c r="AL30" s="1"/>
      <c r="AM30" s="1"/>
      <c r="AN30" s="1"/>
      <c r="AO30" s="1"/>
    </row>
    <row r="31" spans="1:41" ht="45" customHeight="1">
      <c r="A31" s="740" t="s">
        <v>183</v>
      </c>
      <c r="B31" s="684"/>
      <c r="C31" s="684"/>
      <c r="D31" s="684"/>
      <c r="E31" s="684"/>
      <c r="F31" s="684"/>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741"/>
      <c r="AE31" s="1"/>
      <c r="AF31" s="1"/>
      <c r="AG31" s="1"/>
      <c r="AH31" s="1"/>
      <c r="AI31" s="1"/>
      <c r="AJ31" s="1"/>
      <c r="AK31" s="1"/>
      <c r="AL31" s="1"/>
      <c r="AM31" s="1"/>
      <c r="AN31" s="1"/>
      <c r="AO31" s="1"/>
    </row>
    <row r="32" spans="1:41" ht="22.5" customHeight="1">
      <c r="A32" s="702" t="s">
        <v>184</v>
      </c>
      <c r="B32" s="708" t="s">
        <v>185</v>
      </c>
      <c r="C32" s="708" t="s">
        <v>178</v>
      </c>
      <c r="D32" s="687" t="s">
        <v>186</v>
      </c>
      <c r="E32" s="688"/>
      <c r="F32" s="688"/>
      <c r="G32" s="688"/>
      <c r="H32" s="688"/>
      <c r="I32" s="688"/>
      <c r="J32" s="688"/>
      <c r="K32" s="688"/>
      <c r="L32" s="688"/>
      <c r="M32" s="688"/>
      <c r="N32" s="688"/>
      <c r="O32" s="688"/>
      <c r="P32" s="742"/>
      <c r="Q32" s="687" t="s">
        <v>187</v>
      </c>
      <c r="R32" s="688"/>
      <c r="S32" s="688"/>
      <c r="T32" s="688"/>
      <c r="U32" s="688"/>
      <c r="V32" s="688"/>
      <c r="W32" s="688"/>
      <c r="X32" s="688"/>
      <c r="Y32" s="688"/>
      <c r="Z32" s="688"/>
      <c r="AA32" s="688"/>
      <c r="AB32" s="688"/>
      <c r="AC32" s="688"/>
      <c r="AD32" s="689"/>
      <c r="AE32" s="1"/>
      <c r="AF32" s="1"/>
      <c r="AG32" s="38"/>
      <c r="AH32" s="38"/>
      <c r="AI32" s="38"/>
      <c r="AJ32" s="38"/>
      <c r="AK32" s="38"/>
      <c r="AL32" s="38"/>
      <c r="AM32" s="38"/>
      <c r="AN32" s="38"/>
      <c r="AO32" s="38"/>
    </row>
    <row r="33" spans="1:41" ht="22.5" customHeight="1">
      <c r="A33" s="703"/>
      <c r="B33" s="678"/>
      <c r="C33" s="678"/>
      <c r="D33" s="35" t="s">
        <v>3</v>
      </c>
      <c r="E33" s="35" t="s">
        <v>4</v>
      </c>
      <c r="F33" s="35" t="s">
        <v>5</v>
      </c>
      <c r="G33" s="35" t="s">
        <v>6</v>
      </c>
      <c r="H33" s="35" t="s">
        <v>7</v>
      </c>
      <c r="I33" s="35" t="s">
        <v>8</v>
      </c>
      <c r="J33" s="35" t="s">
        <v>9</v>
      </c>
      <c r="K33" s="35" t="s">
        <v>10</v>
      </c>
      <c r="L33" s="35" t="s">
        <v>11</v>
      </c>
      <c r="M33" s="35" t="s">
        <v>12</v>
      </c>
      <c r="N33" s="35" t="s">
        <v>13</v>
      </c>
      <c r="O33" s="35" t="s">
        <v>14</v>
      </c>
      <c r="P33" s="35" t="s">
        <v>15</v>
      </c>
      <c r="Q33" s="719" t="s">
        <v>188</v>
      </c>
      <c r="R33" s="685"/>
      <c r="S33" s="685"/>
      <c r="T33" s="685"/>
      <c r="U33" s="685"/>
      <c r="V33" s="728"/>
      <c r="W33" s="719" t="s">
        <v>189</v>
      </c>
      <c r="X33" s="685"/>
      <c r="Y33" s="685"/>
      <c r="Z33" s="728"/>
      <c r="AA33" s="729" t="s">
        <v>190</v>
      </c>
      <c r="AB33" s="727"/>
      <c r="AC33" s="727"/>
      <c r="AD33" s="641"/>
      <c r="AE33" s="1"/>
      <c r="AF33" s="1"/>
      <c r="AG33" s="38"/>
      <c r="AH33" s="38"/>
      <c r="AI33" s="38"/>
      <c r="AJ33" s="38"/>
      <c r="AK33" s="38"/>
      <c r="AL33" s="38"/>
      <c r="AM33" s="38"/>
      <c r="AN33" s="38"/>
      <c r="AO33" s="38"/>
    </row>
    <row r="34" spans="1:41" ht="132.75" customHeight="1">
      <c r="A34" s="889" t="s">
        <v>383</v>
      </c>
      <c r="B34" s="706">
        <f>SUM(B38,B40,B42)</f>
        <v>0.15000000000000002</v>
      </c>
      <c r="C34" s="214" t="s">
        <v>45</v>
      </c>
      <c r="D34" s="259">
        <f t="shared" ref="D34:O35" si="2">+(D47)*$W$17</f>
        <v>1.3883333333333333E-2</v>
      </c>
      <c r="E34" s="259">
        <f t="shared" si="2"/>
        <v>1.3883333333333333E-2</v>
      </c>
      <c r="F34" s="259">
        <f t="shared" si="2"/>
        <v>1.3883333333333333E-2</v>
      </c>
      <c r="G34" s="259">
        <f t="shared" si="2"/>
        <v>1.3883333333333333E-2</v>
      </c>
      <c r="H34" s="259">
        <f t="shared" si="2"/>
        <v>1.3883333333333333E-2</v>
      </c>
      <c r="I34" s="259">
        <f t="shared" si="2"/>
        <v>1.3883333333333333E-2</v>
      </c>
      <c r="J34" s="259">
        <f t="shared" si="2"/>
        <v>2.7633333333333333E-2</v>
      </c>
      <c r="K34" s="259">
        <f t="shared" si="2"/>
        <v>2.7633333333333333E-2</v>
      </c>
      <c r="L34" s="259">
        <f t="shared" si="2"/>
        <v>2.7633333333333333E-2</v>
      </c>
      <c r="M34" s="259">
        <f t="shared" si="2"/>
        <v>2.7633333333333333E-2</v>
      </c>
      <c r="N34" s="259">
        <f t="shared" si="2"/>
        <v>2.7633333333333333E-2</v>
      </c>
      <c r="O34" s="259">
        <f t="shared" si="2"/>
        <v>2.8800000000000003E-2</v>
      </c>
      <c r="P34" s="304">
        <f>SUM(D34:O34)</f>
        <v>0.25026666666666669</v>
      </c>
      <c r="Q34" s="842" t="s">
        <v>384</v>
      </c>
      <c r="R34" s="843"/>
      <c r="S34" s="843"/>
      <c r="T34" s="843"/>
      <c r="U34" s="843"/>
      <c r="V34" s="844"/>
      <c r="W34" s="585" t="s">
        <v>119</v>
      </c>
      <c r="X34" s="586"/>
      <c r="Y34" s="586"/>
      <c r="Z34" s="586"/>
      <c r="AA34" s="898" t="s">
        <v>385</v>
      </c>
      <c r="AB34" s="898"/>
      <c r="AC34" s="898"/>
      <c r="AD34" s="898"/>
      <c r="AE34" s="588">
        <f>LEN(Q34)</f>
        <v>404</v>
      </c>
      <c r="AF34" s="433"/>
      <c r="AG34" s="38"/>
      <c r="AH34" s="38"/>
      <c r="AI34" s="38"/>
      <c r="AJ34" s="38"/>
      <c r="AK34" s="38"/>
      <c r="AL34" s="38"/>
      <c r="AM34" s="38"/>
      <c r="AN34" s="38"/>
      <c r="AO34" s="38"/>
    </row>
    <row r="35" spans="1:41" ht="84" customHeight="1">
      <c r="A35" s="897"/>
      <c r="B35" s="808"/>
      <c r="C35" s="39" t="s">
        <v>46</v>
      </c>
      <c r="D35" s="333">
        <f t="shared" si="2"/>
        <v>3.3333333333333335E-3</v>
      </c>
      <c r="E35" s="333">
        <f t="shared" si="2"/>
        <v>1.3883333333333333E-2</v>
      </c>
      <c r="F35" s="333">
        <f t="shared" si="2"/>
        <v>1.3883333333333333E-2</v>
      </c>
      <c r="G35" s="418">
        <f t="shared" si="2"/>
        <v>1.3883333333333333E-2</v>
      </c>
      <c r="H35" s="418">
        <f t="shared" si="2"/>
        <v>1.3883333333333333E-2</v>
      </c>
      <c r="I35" s="418">
        <f t="shared" si="2"/>
        <v>1.3883333333333333E-2</v>
      </c>
      <c r="J35" s="418">
        <f>+(J48)*$W$17</f>
        <v>3.2358333333333329E-2</v>
      </c>
      <c r="K35" s="418">
        <f>+(K48)*$W$17</f>
        <v>2.7633333333333333E-2</v>
      </c>
      <c r="L35" s="418">
        <f>+(L48)*$W$17</f>
        <v>2.7633333333333333E-2</v>
      </c>
      <c r="M35" s="418">
        <f>+(M48)*$W$17</f>
        <v>3.4025E-2</v>
      </c>
      <c r="N35" s="418">
        <f>+(N48)*$W$17</f>
        <v>2.7633333333333333E-2</v>
      </c>
      <c r="O35" s="138"/>
      <c r="P35" s="304">
        <f>SUM(D35:O35)</f>
        <v>0.22203333333333336</v>
      </c>
      <c r="Q35" s="845"/>
      <c r="R35" s="846"/>
      <c r="S35" s="846"/>
      <c r="T35" s="846"/>
      <c r="U35" s="846"/>
      <c r="V35" s="847"/>
      <c r="W35" s="587"/>
      <c r="X35" s="17"/>
      <c r="Y35" s="17"/>
      <c r="Z35" s="17"/>
      <c r="AA35" s="898"/>
      <c r="AB35" s="898"/>
      <c r="AC35" s="898"/>
      <c r="AD35" s="898"/>
      <c r="AE35" s="589"/>
      <c r="AF35" s="433"/>
      <c r="AG35" s="38"/>
      <c r="AH35" s="38"/>
      <c r="AI35" s="38"/>
      <c r="AJ35" s="38"/>
      <c r="AK35" s="38"/>
      <c r="AL35" s="38"/>
      <c r="AM35" s="38"/>
      <c r="AN35" s="38"/>
      <c r="AO35" s="38"/>
    </row>
    <row r="36" spans="1:41" ht="33.75" customHeight="1">
      <c r="A36" s="796" t="s">
        <v>27</v>
      </c>
      <c r="B36" s="801" t="s">
        <v>28</v>
      </c>
      <c r="C36" s="683" t="s">
        <v>29</v>
      </c>
      <c r="D36" s="684"/>
      <c r="E36" s="684"/>
      <c r="F36" s="684"/>
      <c r="G36" s="684"/>
      <c r="H36" s="684"/>
      <c r="I36" s="684"/>
      <c r="J36" s="684"/>
      <c r="K36" s="684"/>
      <c r="L36" s="684"/>
      <c r="M36" s="684"/>
      <c r="N36" s="684"/>
      <c r="O36" s="684"/>
      <c r="P36" s="802"/>
      <c r="Q36" s="683" t="s">
        <v>193</v>
      </c>
      <c r="R36" s="684"/>
      <c r="S36" s="684"/>
      <c r="T36" s="684"/>
      <c r="U36" s="684"/>
      <c r="V36" s="684"/>
      <c r="W36" s="684"/>
      <c r="X36" s="684"/>
      <c r="Y36" s="684"/>
      <c r="Z36" s="684"/>
      <c r="AA36" s="685"/>
      <c r="AB36" s="685"/>
      <c r="AC36" s="685"/>
      <c r="AD36" s="686"/>
      <c r="AE36" s="1"/>
      <c r="AF36" s="1"/>
      <c r="AG36" s="38"/>
      <c r="AH36" s="38"/>
      <c r="AI36" s="38"/>
      <c r="AJ36" s="38"/>
      <c r="AK36" s="38"/>
      <c r="AL36" s="38"/>
      <c r="AM36" s="38"/>
      <c r="AN36" s="38"/>
      <c r="AO36" s="38"/>
    </row>
    <row r="37" spans="1:41" ht="27" customHeight="1">
      <c r="A37" s="703"/>
      <c r="B37" s="678"/>
      <c r="C37" s="35" t="s">
        <v>30</v>
      </c>
      <c r="D37" s="35" t="s">
        <v>31</v>
      </c>
      <c r="E37" s="35" t="s">
        <v>32</v>
      </c>
      <c r="F37" s="35" t="s">
        <v>33</v>
      </c>
      <c r="G37" s="35" t="s">
        <v>34</v>
      </c>
      <c r="H37" s="35" t="s">
        <v>35</v>
      </c>
      <c r="I37" s="35" t="s">
        <v>36</v>
      </c>
      <c r="J37" s="35" t="s">
        <v>37</v>
      </c>
      <c r="K37" s="35" t="s">
        <v>38</v>
      </c>
      <c r="L37" s="35" t="s">
        <v>39</v>
      </c>
      <c r="M37" s="35" t="s">
        <v>40</v>
      </c>
      <c r="N37" s="35" t="s">
        <v>41</v>
      </c>
      <c r="O37" s="35" t="s">
        <v>42</v>
      </c>
      <c r="P37" s="35" t="s">
        <v>43</v>
      </c>
      <c r="Q37" s="709" t="s">
        <v>194</v>
      </c>
      <c r="R37" s="710"/>
      <c r="S37" s="710"/>
      <c r="T37" s="710"/>
      <c r="U37" s="710"/>
      <c r="V37" s="710"/>
      <c r="W37" s="710"/>
      <c r="X37" s="710"/>
      <c r="Y37" s="710"/>
      <c r="Z37" s="710"/>
      <c r="AA37" s="710"/>
      <c r="AB37" s="710"/>
      <c r="AC37" s="710"/>
      <c r="AD37" s="711"/>
      <c r="AE37" s="1"/>
      <c r="AF37" s="1"/>
      <c r="AG37" s="41"/>
      <c r="AH37" s="41"/>
      <c r="AI37" s="41"/>
      <c r="AJ37" s="41"/>
      <c r="AK37" s="41"/>
      <c r="AL37" s="41"/>
      <c r="AM37" s="41"/>
      <c r="AN37" s="41"/>
      <c r="AO37" s="41"/>
    </row>
    <row r="38" spans="1:41" ht="93.75" customHeight="1">
      <c r="A38" s="896" t="s">
        <v>386</v>
      </c>
      <c r="B38" s="679">
        <v>0.05</v>
      </c>
      <c r="C38" s="214" t="s">
        <v>45</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5">
        <f t="shared" ref="P38:P43" si="3">SUM(D38:O38)</f>
        <v>0.99960000000000016</v>
      </c>
      <c r="Q38" s="876" t="s">
        <v>387</v>
      </c>
      <c r="R38" s="877"/>
      <c r="S38" s="877"/>
      <c r="T38" s="877"/>
      <c r="U38" s="877"/>
      <c r="V38" s="877"/>
      <c r="W38" s="877"/>
      <c r="X38" s="877"/>
      <c r="Y38" s="877"/>
      <c r="Z38" s="877"/>
      <c r="AA38" s="877"/>
      <c r="AB38" s="877"/>
      <c r="AC38" s="877"/>
      <c r="AD38" s="878"/>
      <c r="AE38" s="230">
        <f>LEN(Q38)</f>
        <v>1891</v>
      </c>
      <c r="AF38" s="1"/>
      <c r="AG38" s="485"/>
      <c r="AH38" s="44"/>
      <c r="AI38" s="44"/>
      <c r="AJ38" s="44"/>
      <c r="AK38" s="44"/>
      <c r="AL38" s="44"/>
      <c r="AM38" s="44"/>
      <c r="AN38" s="44"/>
      <c r="AO38" s="44"/>
    </row>
    <row r="39" spans="1:41" ht="93.75" customHeight="1">
      <c r="A39" s="895"/>
      <c r="B39" s="678"/>
      <c r="C39" s="45" t="s">
        <v>46</v>
      </c>
      <c r="D39" s="46">
        <v>0.04</v>
      </c>
      <c r="E39" s="46">
        <v>8.3299999999999999E-2</v>
      </c>
      <c r="F39" s="46">
        <v>8.3299999999999999E-2</v>
      </c>
      <c r="G39" s="46">
        <v>8.3299999999999999E-2</v>
      </c>
      <c r="H39" s="46">
        <v>8.3299999999999999E-2</v>
      </c>
      <c r="I39" s="46">
        <v>8.3299999999999999E-2</v>
      </c>
      <c r="J39" s="46">
        <v>0.14000000000000001</v>
      </c>
      <c r="K39" s="46">
        <v>8.3299999999999999E-2</v>
      </c>
      <c r="L39" s="46">
        <v>8.3299999999999999E-2</v>
      </c>
      <c r="M39" s="46">
        <v>8.3299999999999999E-2</v>
      </c>
      <c r="N39" s="46">
        <v>8.3299999999999999E-2</v>
      </c>
      <c r="O39" s="46"/>
      <c r="P39" s="216">
        <f t="shared" si="3"/>
        <v>0.92970000000000019</v>
      </c>
      <c r="Q39" s="879"/>
      <c r="R39" s="880"/>
      <c r="S39" s="880"/>
      <c r="T39" s="880"/>
      <c r="U39" s="880"/>
      <c r="V39" s="880"/>
      <c r="W39" s="880"/>
      <c r="X39" s="880"/>
      <c r="Y39" s="880"/>
      <c r="Z39" s="880"/>
      <c r="AA39" s="880"/>
      <c r="AB39" s="880"/>
      <c r="AC39" s="880"/>
      <c r="AD39" s="881"/>
      <c r="AE39" s="448"/>
      <c r="AF39" s="251"/>
      <c r="AG39" s="251"/>
      <c r="AH39" s="251"/>
      <c r="AI39" s="1"/>
      <c r="AJ39" s="1"/>
      <c r="AK39" s="1"/>
      <c r="AL39" s="1"/>
      <c r="AM39" s="1"/>
      <c r="AN39" s="1"/>
      <c r="AO39" s="1"/>
    </row>
    <row r="40" spans="1:41" ht="78" customHeight="1">
      <c r="A40" s="894" t="s">
        <v>388</v>
      </c>
      <c r="B40" s="673">
        <v>0.05</v>
      </c>
      <c r="C40" s="47" t="s">
        <v>45</v>
      </c>
      <c r="D40" s="42">
        <v>8.3299999999999999E-2</v>
      </c>
      <c r="E40" s="42">
        <v>8.3299999999999999E-2</v>
      </c>
      <c r="F40" s="42">
        <v>8.3299999999999999E-2</v>
      </c>
      <c r="G40" s="42">
        <v>8.3299999999999999E-2</v>
      </c>
      <c r="H40" s="42">
        <v>8.3299999999999999E-2</v>
      </c>
      <c r="I40" s="450">
        <v>8.3299999999999999E-2</v>
      </c>
      <c r="J40" s="42">
        <v>8.3299999999999999E-2</v>
      </c>
      <c r="K40" s="42">
        <v>8.3299999999999999E-2</v>
      </c>
      <c r="L40" s="42">
        <v>8.3299999999999999E-2</v>
      </c>
      <c r="M40" s="42">
        <v>8.3299999999999999E-2</v>
      </c>
      <c r="N40" s="42">
        <v>8.3299999999999999E-2</v>
      </c>
      <c r="O40" s="42">
        <v>8.3299999999999999E-2</v>
      </c>
      <c r="P40" s="216">
        <f t="shared" si="3"/>
        <v>0.99960000000000016</v>
      </c>
      <c r="Q40" s="876" t="s">
        <v>389</v>
      </c>
      <c r="R40" s="877"/>
      <c r="S40" s="877"/>
      <c r="T40" s="877"/>
      <c r="U40" s="877"/>
      <c r="V40" s="877"/>
      <c r="W40" s="877"/>
      <c r="X40" s="877"/>
      <c r="Y40" s="877"/>
      <c r="Z40" s="877"/>
      <c r="AA40" s="877"/>
      <c r="AB40" s="877"/>
      <c r="AC40" s="877"/>
      <c r="AD40" s="878"/>
      <c r="AE40" s="448"/>
      <c r="AF40" s="1"/>
      <c r="AG40" s="251"/>
      <c r="AH40" s="1"/>
      <c r="AI40" s="1"/>
      <c r="AJ40" s="1"/>
      <c r="AK40" s="1"/>
      <c r="AL40" s="1"/>
      <c r="AM40" s="1"/>
      <c r="AN40" s="1"/>
      <c r="AO40" s="1"/>
    </row>
    <row r="41" spans="1:41" ht="78" customHeight="1">
      <c r="A41" s="895"/>
      <c r="B41" s="678"/>
      <c r="C41" s="45" t="s">
        <v>46</v>
      </c>
      <c r="D41" s="46">
        <v>0</v>
      </c>
      <c r="E41" s="48">
        <v>8.3299999999999999E-2</v>
      </c>
      <c r="F41" s="48">
        <v>8.3299999999999999E-2</v>
      </c>
      <c r="G41" s="48">
        <v>8.3299999999999999E-2</v>
      </c>
      <c r="H41" s="48">
        <v>8.3299999999999999E-2</v>
      </c>
      <c r="I41" s="48">
        <v>8.3299999999999999E-2</v>
      </c>
      <c r="J41" s="48">
        <v>8.3299999999999999E-2</v>
      </c>
      <c r="K41" s="48">
        <v>8.3299999999999999E-2</v>
      </c>
      <c r="L41" s="48">
        <v>8.3299999999999999E-2</v>
      </c>
      <c r="M41" s="48">
        <v>0.16</v>
      </c>
      <c r="N41" s="48">
        <v>8.3299999999999999E-2</v>
      </c>
      <c r="O41" s="48"/>
      <c r="P41" s="216">
        <f>SUM(D41:O41)</f>
        <v>0.90970000000000006</v>
      </c>
      <c r="Q41" s="879"/>
      <c r="R41" s="880"/>
      <c r="S41" s="880"/>
      <c r="T41" s="880"/>
      <c r="U41" s="880"/>
      <c r="V41" s="880"/>
      <c r="W41" s="880"/>
      <c r="X41" s="880"/>
      <c r="Y41" s="880"/>
      <c r="Z41" s="880"/>
      <c r="AA41" s="880"/>
      <c r="AB41" s="880"/>
      <c r="AC41" s="880"/>
      <c r="AD41" s="881"/>
      <c r="AE41" s="448"/>
      <c r="AF41" s="1"/>
      <c r="AG41" s="1"/>
      <c r="AH41" s="1"/>
      <c r="AI41" s="1"/>
      <c r="AJ41" s="1"/>
      <c r="AK41" s="1"/>
      <c r="AL41" s="1"/>
      <c r="AM41" s="1"/>
      <c r="AN41" s="1"/>
      <c r="AO41" s="1"/>
    </row>
    <row r="42" spans="1:41" ht="39" customHeight="1">
      <c r="A42" s="896" t="s">
        <v>390</v>
      </c>
      <c r="B42" s="679">
        <v>0.05</v>
      </c>
      <c r="C42" s="47" t="s">
        <v>45</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6">
        <f t="shared" si="3"/>
        <v>1.004</v>
      </c>
      <c r="Q42" s="876" t="s">
        <v>391</v>
      </c>
      <c r="R42" s="877"/>
      <c r="S42" s="877"/>
      <c r="T42" s="877"/>
      <c r="U42" s="877"/>
      <c r="V42" s="877"/>
      <c r="W42" s="877"/>
      <c r="X42" s="877"/>
      <c r="Y42" s="877"/>
      <c r="Z42" s="877"/>
      <c r="AA42" s="877"/>
      <c r="AB42" s="877"/>
      <c r="AC42" s="877"/>
      <c r="AD42" s="878"/>
      <c r="AE42" s="448"/>
      <c r="AF42" s="1"/>
      <c r="AG42" s="1"/>
      <c r="AH42" s="1"/>
      <c r="AI42" s="1"/>
      <c r="AJ42" s="1"/>
      <c r="AK42" s="1"/>
      <c r="AL42" s="1"/>
      <c r="AM42" s="1"/>
      <c r="AN42" s="1"/>
      <c r="AO42" s="1"/>
    </row>
    <row r="43" spans="1:41" ht="39" customHeight="1">
      <c r="A43" s="895"/>
      <c r="B43" s="678"/>
      <c r="C43" s="45" t="s">
        <v>46</v>
      </c>
      <c r="D43" s="46">
        <v>0</v>
      </c>
      <c r="E43" s="46">
        <v>0</v>
      </c>
      <c r="F43" s="210">
        <v>0</v>
      </c>
      <c r="G43" s="46">
        <v>0</v>
      </c>
      <c r="H43" s="46">
        <v>0</v>
      </c>
      <c r="I43" s="46">
        <v>0</v>
      </c>
      <c r="J43" s="46">
        <v>0.16500000000000001</v>
      </c>
      <c r="K43" s="48">
        <v>0.16500000000000001</v>
      </c>
      <c r="L43" s="48">
        <v>0.16500000000000001</v>
      </c>
      <c r="M43" s="48">
        <v>0.16500000000000001</v>
      </c>
      <c r="N43" s="48">
        <v>0.16500000000000001</v>
      </c>
      <c r="O43" s="48"/>
      <c r="P43" s="216">
        <f t="shared" si="3"/>
        <v>0.82500000000000007</v>
      </c>
      <c r="Q43" s="879"/>
      <c r="R43" s="880"/>
      <c r="S43" s="880"/>
      <c r="T43" s="880"/>
      <c r="U43" s="880"/>
      <c r="V43" s="880"/>
      <c r="W43" s="880"/>
      <c r="X43" s="880"/>
      <c r="Y43" s="880"/>
      <c r="Z43" s="880"/>
      <c r="AA43" s="880"/>
      <c r="AB43" s="880"/>
      <c r="AC43" s="880"/>
      <c r="AD43" s="881"/>
      <c r="AE43" s="448"/>
      <c r="AF43" s="1"/>
      <c r="AG43" s="1"/>
      <c r="AH43" s="1"/>
      <c r="AI43" s="1"/>
      <c r="AJ43" s="1"/>
      <c r="AK43" s="1"/>
      <c r="AL43" s="1"/>
      <c r="AM43" s="1"/>
      <c r="AN43" s="1"/>
      <c r="AO43" s="1"/>
    </row>
    <row r="44" spans="1:41" ht="14.25" customHeight="1">
      <c r="A44" s="1" t="s">
        <v>198</v>
      </c>
      <c r="B44" s="1"/>
      <c r="C44" s="1"/>
      <c r="D44" s="1"/>
      <c r="E44" s="1"/>
      <c r="F44" s="1"/>
      <c r="G44" s="1"/>
      <c r="H44" s="1"/>
      <c r="I44" s="1"/>
      <c r="J44" s="1"/>
      <c r="K44" s="1"/>
      <c r="L44" s="1"/>
      <c r="M44" s="1"/>
      <c r="N44" s="1"/>
      <c r="O44" s="1"/>
      <c r="P44" s="1"/>
      <c r="Q44" s="251"/>
      <c r="R44" s="251"/>
      <c r="S44" s="251"/>
      <c r="T44" s="251"/>
      <c r="U44" s="251"/>
      <c r="V44" s="251"/>
      <c r="W44" s="251"/>
      <c r="X44" s="251"/>
      <c r="Y44" s="251"/>
      <c r="Z44" s="251"/>
      <c r="AA44" s="251"/>
      <c r="AB44" s="251"/>
      <c r="AC44" s="251"/>
      <c r="AD44" s="25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199</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5.553333333333333E-2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200</v>
      </c>
      <c r="D48" s="75">
        <f t="shared" ref="D48:O48" si="5">AVERAGE(D39,D41,D43)</f>
        <v>1.3333333333333334E-2</v>
      </c>
      <c r="E48" s="75">
        <f t="shared" si="5"/>
        <v>5.553333333333333E-2</v>
      </c>
      <c r="F48" s="75">
        <f t="shared" si="5"/>
        <v>5.553333333333333E-2</v>
      </c>
      <c r="G48" s="75">
        <f t="shared" si="5"/>
        <v>5.553333333333333E-2</v>
      </c>
      <c r="H48" s="75">
        <f t="shared" si="5"/>
        <v>5.553333333333333E-2</v>
      </c>
      <c r="I48" s="75">
        <f t="shared" si="5"/>
        <v>5.553333333333333E-2</v>
      </c>
      <c r="J48" s="75">
        <f t="shared" si="5"/>
        <v>0.12943333333333332</v>
      </c>
      <c r="K48" s="75">
        <f t="shared" si="5"/>
        <v>0.11053333333333333</v>
      </c>
      <c r="L48" s="75">
        <f>AVERAGE(L39,L41,L43)</f>
        <v>0.11053333333333333</v>
      </c>
      <c r="M48" s="75">
        <f t="shared" si="5"/>
        <v>0.1361</v>
      </c>
      <c r="N48" s="75">
        <f t="shared" si="5"/>
        <v>0.11053333333333333</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841"/>
      <c r="R49" s="841"/>
      <c r="S49" s="841"/>
      <c r="T49" s="841"/>
      <c r="U49" s="841"/>
      <c r="V49" s="841"/>
      <c r="W49" s="841"/>
      <c r="X49" s="841"/>
      <c r="Y49" s="841"/>
      <c r="Z49" s="841"/>
      <c r="AA49" s="841"/>
      <c r="AB49" s="841"/>
      <c r="AC49" s="841"/>
      <c r="AD49" s="841"/>
      <c r="AE49" s="1"/>
      <c r="AF49" s="1"/>
      <c r="AG49" s="1"/>
      <c r="AH49" s="1"/>
      <c r="AI49" s="1"/>
      <c r="AJ49" s="1"/>
      <c r="AK49" s="1"/>
      <c r="AL49" s="1"/>
      <c r="AM49" s="1"/>
      <c r="AN49" s="1"/>
      <c r="AO49" s="1"/>
    </row>
    <row r="50" spans="1:41" ht="28.5" customHeight="1">
      <c r="A50" s="1"/>
      <c r="B50" s="1"/>
      <c r="C50" s="225" t="s">
        <v>392</v>
      </c>
      <c r="D50" s="86"/>
      <c r="E50" s="86"/>
      <c r="F50" s="86"/>
      <c r="G50" s="77"/>
      <c r="H50" s="77"/>
      <c r="I50" s="77"/>
      <c r="J50" s="77"/>
      <c r="K50" s="77"/>
      <c r="L50" s="77"/>
      <c r="M50" s="77"/>
      <c r="N50" s="77"/>
      <c r="O50" s="77"/>
      <c r="P50" s="1"/>
      <c r="Q50" s="841"/>
      <c r="R50" s="841"/>
      <c r="S50" s="841"/>
      <c r="T50" s="841"/>
      <c r="U50" s="841"/>
      <c r="V50" s="841"/>
      <c r="W50" s="841"/>
      <c r="X50" s="841"/>
      <c r="Y50" s="841"/>
      <c r="Z50" s="841"/>
      <c r="AA50" s="841"/>
      <c r="AB50" s="841"/>
      <c r="AC50" s="841"/>
      <c r="AD50" s="841"/>
      <c r="AE50" s="1"/>
      <c r="AF50" s="1"/>
      <c r="AG50" s="1"/>
      <c r="AH50" s="1"/>
      <c r="AI50" s="1"/>
      <c r="AJ50" s="1"/>
      <c r="AK50" s="1"/>
      <c r="AL50" s="1"/>
      <c r="AM50" s="1"/>
      <c r="AN50" s="1"/>
      <c r="AO50" s="1"/>
    </row>
    <row r="51" spans="1:41" ht="28.5" customHeight="1">
      <c r="A51" s="1"/>
      <c r="B51" s="1"/>
      <c r="C51" s="226" t="s">
        <v>393</v>
      </c>
      <c r="D51" s="227"/>
      <c r="E51" s="227"/>
      <c r="F51" s="227"/>
      <c r="G51" s="228"/>
      <c r="H51" s="228"/>
      <c r="I51" s="228"/>
      <c r="J51" s="228"/>
      <c r="K51" s="228"/>
      <c r="L51" s="228"/>
      <c r="M51" s="228"/>
      <c r="N51" s="228"/>
      <c r="O51" s="228"/>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5" t="s">
        <v>394</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6" t="s">
        <v>395</v>
      </c>
      <c r="D53" s="227"/>
      <c r="E53" s="227"/>
      <c r="F53" s="227"/>
      <c r="G53" s="228"/>
      <c r="H53" s="228"/>
      <c r="I53" s="228"/>
      <c r="J53" s="228"/>
      <c r="K53" s="228"/>
      <c r="L53" s="228"/>
      <c r="M53" s="228"/>
      <c r="N53" s="228"/>
      <c r="O53" s="228"/>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7">
    <mergeCell ref="A34:A35"/>
    <mergeCell ref="AA34:AD35"/>
    <mergeCell ref="A19:AD19"/>
    <mergeCell ref="C20:P20"/>
    <mergeCell ref="Q20:AD20"/>
    <mergeCell ref="B28:C29"/>
    <mergeCell ref="A22:B22"/>
    <mergeCell ref="A23:B23"/>
    <mergeCell ref="A24:B24"/>
    <mergeCell ref="A27:AD27"/>
    <mergeCell ref="D28:O28"/>
    <mergeCell ref="P28:P29"/>
    <mergeCell ref="Q28:AD29"/>
    <mergeCell ref="A25:B25"/>
    <mergeCell ref="A28:A29"/>
    <mergeCell ref="Y17:AB17"/>
    <mergeCell ref="AA15:AD15"/>
    <mergeCell ref="C15:K15"/>
    <mergeCell ref="L15:Q15"/>
    <mergeCell ref="R15:X15"/>
    <mergeCell ref="Y15:Z15"/>
    <mergeCell ref="AC17:AD17"/>
    <mergeCell ref="A17:B17"/>
    <mergeCell ref="O7:P7"/>
    <mergeCell ref="M8:N8"/>
    <mergeCell ref="O8:P8"/>
    <mergeCell ref="M7:N7"/>
    <mergeCell ref="D7:H9"/>
    <mergeCell ref="I7:J9"/>
    <mergeCell ref="A11:B13"/>
    <mergeCell ref="C7:C9"/>
    <mergeCell ref="A15:B15"/>
    <mergeCell ref="C11:AD13"/>
    <mergeCell ref="C16:AB16"/>
    <mergeCell ref="C17:Q17"/>
    <mergeCell ref="R17:V17"/>
    <mergeCell ref="W17:X17"/>
    <mergeCell ref="AB3:AD3"/>
    <mergeCell ref="AB4:AD4"/>
    <mergeCell ref="K7:L9"/>
    <mergeCell ref="B3:AA4"/>
    <mergeCell ref="M9:N9"/>
    <mergeCell ref="O9:P9"/>
    <mergeCell ref="A7:B9"/>
    <mergeCell ref="A1:A4"/>
    <mergeCell ref="B1:AA1"/>
    <mergeCell ref="AB1:AD1"/>
    <mergeCell ref="B2:AA2"/>
    <mergeCell ref="AB2:AD2"/>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Q30:AD30"/>
    <mergeCell ref="A31:AD31"/>
    <mergeCell ref="B34:B35"/>
    <mergeCell ref="B30:C30"/>
    <mergeCell ref="B32:B33"/>
    <mergeCell ref="C32:C33"/>
    <mergeCell ref="AA33:AD33"/>
    <mergeCell ref="A32:A33"/>
    <mergeCell ref="D32:P32"/>
    <mergeCell ref="Q32:AD32"/>
    <mergeCell ref="Q33:V33"/>
    <mergeCell ref="W33:Z33"/>
    <mergeCell ref="A42:A43"/>
    <mergeCell ref="B42:B4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25" right="0.25" top="0.75" bottom="0.75" header="0.3" footer="0.3"/>
  <pageSetup paperSize="5" scale="33" orientation="landscape" r:id="rId1"/>
  <colBreaks count="1" manualBreakCount="1">
    <brk id="30" max="51"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1" customWidth="1"/>
    <col min="2" max="2" width="6.5703125" style="311" customWidth="1"/>
    <col min="3" max="3" width="10" style="311" bestFit="1" customWidth="1"/>
    <col min="4" max="4" width="9.28515625" style="311" bestFit="1" customWidth="1"/>
    <col min="5" max="5" width="5.7109375" style="311" bestFit="1" customWidth="1"/>
    <col min="6" max="6" width="7.42578125" style="311" bestFit="1" customWidth="1"/>
    <col min="7" max="7" width="6.28515625" style="311" bestFit="1" customWidth="1"/>
    <col min="8" max="8" width="4.7109375" style="311" bestFit="1" customWidth="1"/>
    <col min="9" max="9" width="5.5703125" style="311" bestFit="1" customWidth="1"/>
    <col min="10" max="10" width="5.28515625" style="311" bestFit="1" customWidth="1"/>
    <col min="11" max="11" width="4.5703125" style="311" bestFit="1" customWidth="1"/>
    <col min="12" max="12" width="6.5703125" style="311" bestFit="1" customWidth="1"/>
    <col min="13" max="13" width="10.42578125" style="311" bestFit="1" customWidth="1"/>
    <col min="14" max="14" width="7.5703125" style="311" bestFit="1" customWidth="1"/>
    <col min="15" max="15" width="10" style="311" bestFit="1" customWidth="1"/>
    <col min="16" max="16" width="9.28515625" style="311" bestFit="1" customWidth="1"/>
    <col min="17" max="17" width="10.5703125" style="311" customWidth="1"/>
    <col min="18" max="18" width="8.28515625" style="311" customWidth="1"/>
    <col min="19" max="16384" width="10.7109375" style="311"/>
  </cols>
  <sheetData>
    <row r="1" spans="1:18">
      <c r="A1" s="310"/>
      <c r="B1" s="900">
        <v>2021</v>
      </c>
      <c r="C1" s="899" t="s">
        <v>396</v>
      </c>
      <c r="D1" s="899"/>
      <c r="E1" s="899"/>
      <c r="F1" s="899"/>
      <c r="G1" s="899"/>
      <c r="H1" s="899"/>
      <c r="I1" s="899"/>
      <c r="J1" s="899"/>
      <c r="K1" s="899"/>
      <c r="L1" s="899"/>
      <c r="M1" s="899"/>
      <c r="N1" s="899"/>
      <c r="O1" s="899"/>
      <c r="P1" s="899"/>
      <c r="Q1" s="899"/>
      <c r="R1" s="902" t="s">
        <v>397</v>
      </c>
    </row>
    <row r="2" spans="1:18">
      <c r="A2" s="312" t="s">
        <v>398</v>
      </c>
      <c r="B2" s="901"/>
      <c r="C2" s="313" t="s">
        <v>303</v>
      </c>
      <c r="D2" s="313" t="s">
        <v>304</v>
      </c>
      <c r="E2" s="313" t="s">
        <v>293</v>
      </c>
      <c r="F2" s="313" t="s">
        <v>294</v>
      </c>
      <c r="G2" s="313" t="s">
        <v>295</v>
      </c>
      <c r="H2" s="313" t="s">
        <v>296</v>
      </c>
      <c r="I2" s="313" t="s">
        <v>297</v>
      </c>
      <c r="J2" s="313" t="s">
        <v>298</v>
      </c>
      <c r="K2" s="313" t="s">
        <v>299</v>
      </c>
      <c r="L2" s="313" t="s">
        <v>300</v>
      </c>
      <c r="M2" s="313" t="s">
        <v>301</v>
      </c>
      <c r="N2" s="313" t="s">
        <v>302</v>
      </c>
      <c r="O2" s="313" t="s">
        <v>303</v>
      </c>
      <c r="P2" s="313" t="s">
        <v>304</v>
      </c>
      <c r="Q2" s="313" t="s">
        <v>399</v>
      </c>
      <c r="R2" s="902"/>
    </row>
    <row r="3" spans="1:18">
      <c r="A3" s="313" t="s">
        <v>400</v>
      </c>
      <c r="B3" s="313">
        <v>84</v>
      </c>
      <c r="C3" s="314">
        <v>32</v>
      </c>
      <c r="D3" s="314">
        <v>88</v>
      </c>
      <c r="E3" s="314">
        <v>26</v>
      </c>
      <c r="F3" s="314"/>
      <c r="G3" s="407">
        <v>29</v>
      </c>
      <c r="H3" s="314"/>
      <c r="I3" s="314"/>
      <c r="J3" s="314"/>
      <c r="K3" s="314"/>
      <c r="L3" s="314"/>
      <c r="M3" s="314"/>
      <c r="N3" s="314"/>
      <c r="O3" s="314"/>
      <c r="P3" s="314"/>
      <c r="Q3" s="314">
        <v>146</v>
      </c>
      <c r="R3" s="315">
        <f t="shared" ref="R3:R18" si="0">+Q3+B3</f>
        <v>230</v>
      </c>
    </row>
    <row r="4" spans="1:18">
      <c r="A4" s="313" t="s">
        <v>401</v>
      </c>
      <c r="B4" s="313">
        <v>97</v>
      </c>
      <c r="C4" s="314">
        <v>30</v>
      </c>
      <c r="D4" s="314">
        <v>96</v>
      </c>
      <c r="E4" s="314">
        <v>27</v>
      </c>
      <c r="F4" s="314">
        <v>1</v>
      </c>
      <c r="G4" s="407">
        <v>45</v>
      </c>
      <c r="H4" s="314"/>
      <c r="I4" s="314"/>
      <c r="J4" s="314"/>
      <c r="K4" s="314"/>
      <c r="L4" s="314"/>
      <c r="M4" s="314"/>
      <c r="N4" s="314"/>
      <c r="O4" s="314"/>
      <c r="P4" s="314"/>
      <c r="Q4" s="314">
        <v>154</v>
      </c>
      <c r="R4" s="315">
        <f t="shared" si="0"/>
        <v>251</v>
      </c>
    </row>
    <row r="5" spans="1:18">
      <c r="A5" s="313" t="s">
        <v>402</v>
      </c>
      <c r="B5" s="313">
        <v>140</v>
      </c>
      <c r="C5" s="314">
        <v>19</v>
      </c>
      <c r="D5" s="314">
        <v>104</v>
      </c>
      <c r="E5" s="314">
        <v>22</v>
      </c>
      <c r="F5" s="314"/>
      <c r="G5" s="407">
        <v>38</v>
      </c>
      <c r="H5" s="314"/>
      <c r="I5" s="314"/>
      <c r="J5" s="314"/>
      <c r="K5" s="314"/>
      <c r="L5" s="314"/>
      <c r="M5" s="314"/>
      <c r="N5" s="314"/>
      <c r="O5" s="314"/>
      <c r="P5" s="314"/>
      <c r="Q5" s="314">
        <v>145</v>
      </c>
      <c r="R5" s="315">
        <f t="shared" si="0"/>
        <v>285</v>
      </c>
    </row>
    <row r="6" spans="1:18">
      <c r="A6" s="313" t="s">
        <v>403</v>
      </c>
      <c r="B6" s="313">
        <v>158</v>
      </c>
      <c r="C6" s="314">
        <v>9</v>
      </c>
      <c r="D6" s="314">
        <v>125</v>
      </c>
      <c r="E6" s="314">
        <v>27</v>
      </c>
      <c r="F6" s="314"/>
      <c r="G6" s="407">
        <v>44</v>
      </c>
      <c r="H6" s="314"/>
      <c r="I6" s="314"/>
      <c r="J6" s="314"/>
      <c r="K6" s="314"/>
      <c r="L6" s="314"/>
      <c r="M6" s="314"/>
      <c r="N6" s="314"/>
      <c r="O6" s="314"/>
      <c r="P6" s="314"/>
      <c r="Q6" s="314">
        <v>161</v>
      </c>
      <c r="R6" s="315">
        <f t="shared" si="0"/>
        <v>319</v>
      </c>
    </row>
    <row r="7" spans="1:18">
      <c r="A7" s="313" t="s">
        <v>404</v>
      </c>
      <c r="B7" s="313">
        <v>107</v>
      </c>
      <c r="C7" s="314">
        <v>8</v>
      </c>
      <c r="D7" s="314">
        <v>108</v>
      </c>
      <c r="E7" s="314">
        <v>17</v>
      </c>
      <c r="F7" s="314">
        <v>18</v>
      </c>
      <c r="G7" s="407">
        <v>64</v>
      </c>
      <c r="H7" s="314"/>
      <c r="I7" s="314"/>
      <c r="J7" s="314"/>
      <c r="K7" s="314"/>
      <c r="L7" s="314"/>
      <c r="M7" s="314"/>
      <c r="N7" s="314"/>
      <c r="O7" s="314"/>
      <c r="P7" s="314"/>
      <c r="Q7" s="314">
        <v>151</v>
      </c>
      <c r="R7" s="315">
        <f t="shared" si="0"/>
        <v>258</v>
      </c>
    </row>
    <row r="8" spans="1:18">
      <c r="A8" s="313" t="s">
        <v>405</v>
      </c>
      <c r="B8" s="313">
        <v>97</v>
      </c>
      <c r="C8" s="314">
        <v>4</v>
      </c>
      <c r="D8" s="314">
        <v>120</v>
      </c>
      <c r="E8" s="314">
        <v>4</v>
      </c>
      <c r="F8" s="314">
        <v>35</v>
      </c>
      <c r="G8" s="407">
        <v>51</v>
      </c>
      <c r="H8" s="314"/>
      <c r="I8" s="314"/>
      <c r="J8" s="314"/>
      <c r="K8" s="314"/>
      <c r="L8" s="314"/>
      <c r="M8" s="314"/>
      <c r="N8" s="314"/>
      <c r="O8" s="314"/>
      <c r="P8" s="314"/>
      <c r="Q8" s="314">
        <v>163</v>
      </c>
      <c r="R8" s="315">
        <f t="shared" si="0"/>
        <v>260</v>
      </c>
    </row>
    <row r="9" spans="1:18">
      <c r="A9" s="313" t="s">
        <v>406</v>
      </c>
      <c r="B9" s="313">
        <v>78</v>
      </c>
      <c r="C9" s="314">
        <v>2</v>
      </c>
      <c r="D9" s="314">
        <v>101</v>
      </c>
      <c r="E9" s="314">
        <v>36</v>
      </c>
      <c r="F9" s="314">
        <v>27</v>
      </c>
      <c r="G9" s="407">
        <v>40</v>
      </c>
      <c r="H9" s="314"/>
      <c r="I9" s="314"/>
      <c r="J9" s="314"/>
      <c r="K9" s="314"/>
      <c r="L9" s="314"/>
      <c r="M9" s="314"/>
      <c r="N9" s="314"/>
      <c r="O9" s="314"/>
      <c r="P9" s="314"/>
      <c r="Q9" s="314">
        <v>166</v>
      </c>
      <c r="R9" s="315">
        <f t="shared" si="0"/>
        <v>244</v>
      </c>
    </row>
    <row r="10" spans="1:18">
      <c r="A10" s="313" t="s">
        <v>407</v>
      </c>
      <c r="B10" s="313">
        <v>74</v>
      </c>
      <c r="C10" s="314"/>
      <c r="D10" s="314">
        <v>76</v>
      </c>
      <c r="E10" s="314">
        <v>30</v>
      </c>
      <c r="F10" s="314">
        <v>15</v>
      </c>
      <c r="G10" s="407">
        <v>43</v>
      </c>
      <c r="H10" s="314"/>
      <c r="I10" s="314"/>
      <c r="J10" s="314"/>
      <c r="K10" s="314"/>
      <c r="L10" s="314"/>
      <c r="M10" s="314"/>
      <c r="N10" s="314"/>
      <c r="O10" s="314"/>
      <c r="P10" s="314"/>
      <c r="Q10" s="314">
        <v>121</v>
      </c>
      <c r="R10" s="315">
        <f t="shared" si="0"/>
        <v>195</v>
      </c>
    </row>
    <row r="11" spans="1:18">
      <c r="A11" s="313" t="s">
        <v>408</v>
      </c>
      <c r="B11" s="313">
        <v>69</v>
      </c>
      <c r="C11" s="314"/>
      <c r="D11" s="314">
        <v>12</v>
      </c>
      <c r="E11" s="314">
        <v>20</v>
      </c>
      <c r="F11" s="314">
        <v>12</v>
      </c>
      <c r="G11" s="407">
        <v>72</v>
      </c>
      <c r="H11" s="314"/>
      <c r="I11" s="314"/>
      <c r="J11" s="314"/>
      <c r="K11" s="314"/>
      <c r="L11" s="314"/>
      <c r="M11" s="314"/>
      <c r="N11" s="314"/>
      <c r="O11" s="314"/>
      <c r="P11" s="314"/>
      <c r="Q11" s="314">
        <v>44</v>
      </c>
      <c r="R11" s="315">
        <f t="shared" si="0"/>
        <v>113</v>
      </c>
    </row>
    <row r="12" spans="1:18">
      <c r="A12" s="313" t="s">
        <v>409</v>
      </c>
      <c r="B12" s="313">
        <v>35</v>
      </c>
      <c r="C12" s="314"/>
      <c r="D12" s="314">
        <v>5</v>
      </c>
      <c r="E12" s="314">
        <v>16</v>
      </c>
      <c r="F12" s="314">
        <v>3</v>
      </c>
      <c r="G12" s="407">
        <v>52</v>
      </c>
      <c r="H12" s="314"/>
      <c r="I12" s="314"/>
      <c r="J12" s="314"/>
      <c r="K12" s="314"/>
      <c r="L12" s="314"/>
      <c r="M12" s="314"/>
      <c r="N12" s="314"/>
      <c r="O12" s="314"/>
      <c r="P12" s="314"/>
      <c r="Q12" s="314">
        <v>24</v>
      </c>
      <c r="R12" s="315">
        <f t="shared" si="0"/>
        <v>59</v>
      </c>
    </row>
    <row r="13" spans="1:18">
      <c r="A13" s="313" t="s">
        <v>410</v>
      </c>
      <c r="B13" s="313">
        <v>15</v>
      </c>
      <c r="C13" s="314"/>
      <c r="D13" s="314">
        <v>2</v>
      </c>
      <c r="E13" s="314">
        <v>6</v>
      </c>
      <c r="F13" s="314">
        <v>4</v>
      </c>
      <c r="G13" s="407">
        <v>38</v>
      </c>
      <c r="H13" s="314"/>
      <c r="I13" s="314"/>
      <c r="J13" s="314"/>
      <c r="K13" s="314"/>
      <c r="L13" s="314"/>
      <c r="M13" s="314"/>
      <c r="N13" s="314"/>
      <c r="O13" s="314"/>
      <c r="P13" s="314"/>
      <c r="Q13" s="314">
        <v>12</v>
      </c>
      <c r="R13" s="315">
        <f t="shared" si="0"/>
        <v>27</v>
      </c>
    </row>
    <row r="14" spans="1:18">
      <c r="A14" s="313" t="s">
        <v>411</v>
      </c>
      <c r="B14" s="313">
        <v>4</v>
      </c>
      <c r="C14" s="314"/>
      <c r="D14" s="314">
        <v>2</v>
      </c>
      <c r="E14" s="314">
        <v>5</v>
      </c>
      <c r="F14" s="314">
        <v>3</v>
      </c>
      <c r="G14" s="407">
        <v>31</v>
      </c>
      <c r="H14" s="314"/>
      <c r="I14" s="314"/>
      <c r="J14" s="314"/>
      <c r="K14" s="314"/>
      <c r="L14" s="314"/>
      <c r="M14" s="314"/>
      <c r="N14" s="314"/>
      <c r="O14" s="314"/>
      <c r="P14" s="314"/>
      <c r="Q14" s="314">
        <v>10</v>
      </c>
      <c r="R14" s="315">
        <f t="shared" si="0"/>
        <v>14</v>
      </c>
    </row>
    <row r="15" spans="1:18">
      <c r="A15" s="313" t="s">
        <v>412</v>
      </c>
      <c r="B15" s="313">
        <v>2</v>
      </c>
      <c r="C15" s="314"/>
      <c r="D15" s="314">
        <v>2</v>
      </c>
      <c r="E15" s="314">
        <v>6</v>
      </c>
      <c r="F15" s="314">
        <v>1</v>
      </c>
      <c r="G15" s="407">
        <v>23</v>
      </c>
      <c r="H15" s="314"/>
      <c r="I15" s="314"/>
      <c r="J15" s="314"/>
      <c r="K15" s="314"/>
      <c r="L15" s="314"/>
      <c r="M15" s="314"/>
      <c r="N15" s="314"/>
      <c r="O15" s="314"/>
      <c r="P15" s="314"/>
      <c r="Q15" s="314">
        <v>9</v>
      </c>
      <c r="R15" s="315">
        <f t="shared" si="0"/>
        <v>11</v>
      </c>
    </row>
    <row r="16" spans="1:18">
      <c r="A16" s="313" t="s">
        <v>413</v>
      </c>
      <c r="B16" s="313">
        <v>1</v>
      </c>
      <c r="C16" s="314"/>
      <c r="D16" s="314"/>
      <c r="E16" s="314">
        <v>4</v>
      </c>
      <c r="F16" s="314">
        <v>1</v>
      </c>
      <c r="G16" s="407">
        <v>15</v>
      </c>
      <c r="H16" s="314"/>
      <c r="I16" s="314"/>
      <c r="J16" s="314"/>
      <c r="K16" s="314"/>
      <c r="L16" s="314"/>
      <c r="M16" s="314"/>
      <c r="N16" s="314"/>
      <c r="O16" s="314"/>
      <c r="P16" s="314"/>
      <c r="Q16" s="314">
        <v>5</v>
      </c>
      <c r="R16" s="315">
        <f t="shared" si="0"/>
        <v>6</v>
      </c>
    </row>
    <row r="17" spans="1:18">
      <c r="A17" s="313" t="s">
        <v>414</v>
      </c>
      <c r="B17" s="313"/>
      <c r="C17" s="314"/>
      <c r="D17" s="314"/>
      <c r="E17" s="314"/>
      <c r="F17" s="314"/>
      <c r="G17" s="407">
        <v>14</v>
      </c>
      <c r="H17" s="314"/>
      <c r="I17" s="314"/>
      <c r="J17" s="314"/>
      <c r="K17" s="314"/>
      <c r="L17" s="314"/>
      <c r="M17" s="314"/>
      <c r="N17" s="314"/>
      <c r="O17" s="314"/>
      <c r="P17" s="314"/>
      <c r="Q17" s="314">
        <v>0</v>
      </c>
      <c r="R17" s="315">
        <f t="shared" si="0"/>
        <v>0</v>
      </c>
    </row>
    <row r="18" spans="1:18">
      <c r="A18" s="313" t="s">
        <v>415</v>
      </c>
      <c r="B18" s="313"/>
      <c r="C18" s="314"/>
      <c r="D18" s="314"/>
      <c r="E18" s="314"/>
      <c r="F18" s="314">
        <v>1</v>
      </c>
      <c r="G18" s="407">
        <v>13</v>
      </c>
      <c r="H18" s="314"/>
      <c r="I18" s="314"/>
      <c r="J18" s="314"/>
      <c r="K18" s="314"/>
      <c r="L18" s="314"/>
      <c r="M18" s="314"/>
      <c r="N18" s="314"/>
      <c r="O18" s="314"/>
      <c r="P18" s="314"/>
      <c r="Q18" s="314">
        <v>1</v>
      </c>
      <c r="R18" s="315">
        <f t="shared" si="0"/>
        <v>1</v>
      </c>
    </row>
    <row r="19" spans="1:18">
      <c r="A19" s="313" t="s">
        <v>416</v>
      </c>
      <c r="B19" s="313">
        <v>1039</v>
      </c>
      <c r="C19" s="316">
        <f>SUM(C3:C18)</f>
        <v>104</v>
      </c>
      <c r="D19" s="316">
        <f>SUM(D3:D18)</f>
        <v>841</v>
      </c>
      <c r="E19" s="316">
        <f>SUM(E3:E18)</f>
        <v>246</v>
      </c>
      <c r="F19" s="316">
        <f>SUM(F3:F18)</f>
        <v>121</v>
      </c>
      <c r="G19" s="316">
        <f>SUM(G3:G18)</f>
        <v>612</v>
      </c>
      <c r="H19" s="316"/>
      <c r="I19" s="316"/>
      <c r="J19" s="316"/>
      <c r="K19" s="316"/>
      <c r="L19" s="316"/>
      <c r="M19" s="316"/>
      <c r="N19" s="316"/>
      <c r="O19" s="316"/>
      <c r="P19" s="316"/>
      <c r="Q19" s="316">
        <v>1312</v>
      </c>
      <c r="R19" s="315">
        <f>SUM(R3:R18)</f>
        <v>2273</v>
      </c>
    </row>
    <row r="20" spans="1:18">
      <c r="A20" s="311" t="s">
        <v>417</v>
      </c>
    </row>
    <row r="23" spans="1:18" ht="14.1" customHeight="1">
      <c r="A23" s="903" t="s">
        <v>418</v>
      </c>
      <c r="B23" s="905">
        <v>2022</v>
      </c>
      <c r="C23" s="906"/>
      <c r="D23" s="906"/>
      <c r="E23" s="906"/>
      <c r="F23" s="906"/>
      <c r="G23" s="906"/>
      <c r="H23" s="906"/>
      <c r="I23" s="906"/>
      <c r="J23" s="906"/>
      <c r="K23" s="906"/>
      <c r="L23" s="906"/>
      <c r="M23" s="907"/>
      <c r="N23" s="379">
        <v>2023</v>
      </c>
      <c r="O23" s="379">
        <v>2024</v>
      </c>
      <c r="P23" s="904" t="s">
        <v>419</v>
      </c>
      <c r="Q23" s="394"/>
    </row>
    <row r="24" spans="1:18" ht="28.5" customHeight="1">
      <c r="A24" s="903"/>
      <c r="B24" s="393" t="s">
        <v>420</v>
      </c>
      <c r="C24" s="393" t="s">
        <v>421</v>
      </c>
      <c r="D24" s="393" t="s">
        <v>422</v>
      </c>
      <c r="E24" s="393" t="s">
        <v>423</v>
      </c>
      <c r="F24" s="393" t="s">
        <v>424</v>
      </c>
      <c r="G24" s="393" t="s">
        <v>425</v>
      </c>
      <c r="H24" s="393" t="s">
        <v>426</v>
      </c>
      <c r="I24" s="393" t="s">
        <v>427</v>
      </c>
      <c r="J24" s="393" t="s">
        <v>428</v>
      </c>
      <c r="K24" s="393" t="s">
        <v>429</v>
      </c>
      <c r="L24" s="393" t="s">
        <v>430</v>
      </c>
      <c r="M24" s="393" t="s">
        <v>431</v>
      </c>
      <c r="N24" s="379"/>
      <c r="O24" s="379"/>
      <c r="P24" s="904"/>
      <c r="Q24" s="394"/>
    </row>
    <row r="25" spans="1:18">
      <c r="A25" s="392" t="s">
        <v>432</v>
      </c>
      <c r="B25" s="322"/>
      <c r="C25" s="322"/>
      <c r="D25" s="322">
        <v>831</v>
      </c>
      <c r="E25" s="322"/>
      <c r="F25" s="322"/>
      <c r="G25" s="322"/>
      <c r="H25" s="322"/>
      <c r="I25" s="322"/>
      <c r="J25" s="322"/>
      <c r="K25" s="322"/>
      <c r="L25" s="322"/>
      <c r="M25" s="322"/>
      <c r="N25" s="322"/>
      <c r="O25" s="322"/>
      <c r="P25" s="323">
        <f>SUM(B25:M25)</f>
        <v>831</v>
      </c>
      <c r="Q25" s="394"/>
    </row>
    <row r="26" spans="1:18">
      <c r="A26" s="392" t="s">
        <v>433</v>
      </c>
      <c r="B26" s="322"/>
      <c r="C26" s="325"/>
      <c r="D26" s="322">
        <v>1049</v>
      </c>
      <c r="E26" s="322"/>
      <c r="F26" s="322"/>
      <c r="G26" s="322"/>
      <c r="H26" s="322"/>
      <c r="I26" s="322"/>
      <c r="J26" s="322"/>
      <c r="K26" s="322"/>
      <c r="L26" s="322"/>
      <c r="M26" s="322"/>
      <c r="N26" s="322"/>
      <c r="O26" s="322"/>
      <c r="P26" s="323">
        <f t="shared" ref="P26:P32" si="1">SUM(B26:M26)</f>
        <v>1049</v>
      </c>
      <c r="Q26" s="394"/>
    </row>
    <row r="27" spans="1:18">
      <c r="A27" s="392" t="s">
        <v>434</v>
      </c>
      <c r="B27" s="322"/>
      <c r="C27" s="325"/>
      <c r="D27" s="326">
        <v>703</v>
      </c>
      <c r="E27" s="322"/>
      <c r="F27" s="322"/>
      <c r="G27" s="322"/>
      <c r="H27" s="322"/>
      <c r="I27" s="322"/>
      <c r="J27" s="322"/>
      <c r="K27" s="322"/>
      <c r="L27" s="322"/>
      <c r="M27" s="322"/>
      <c r="N27" s="322"/>
      <c r="O27" s="322"/>
      <c r="P27" s="323">
        <f t="shared" si="1"/>
        <v>703</v>
      </c>
      <c r="Q27" s="394"/>
    </row>
    <row r="28" spans="1:18">
      <c r="A28" s="392" t="s">
        <v>435</v>
      </c>
      <c r="B28" s="322"/>
      <c r="C28" s="325"/>
      <c r="D28" s="326">
        <v>1978</v>
      </c>
      <c r="E28" s="322"/>
      <c r="F28" s="322"/>
      <c r="G28" s="322"/>
      <c r="H28" s="322"/>
      <c r="I28" s="322"/>
      <c r="J28" s="322"/>
      <c r="K28" s="322"/>
      <c r="L28" s="322"/>
      <c r="M28" s="322"/>
      <c r="N28" s="322"/>
      <c r="O28" s="322"/>
      <c r="P28" s="323">
        <f t="shared" si="1"/>
        <v>1978</v>
      </c>
      <c r="Q28" s="394"/>
    </row>
    <row r="29" spans="1:18">
      <c r="A29" s="392" t="s">
        <v>436</v>
      </c>
      <c r="B29" s="322"/>
      <c r="C29" s="325"/>
      <c r="D29" s="322">
        <v>305</v>
      </c>
      <c r="E29" s="322"/>
      <c r="F29" s="322"/>
      <c r="G29" s="322"/>
      <c r="H29" s="322"/>
      <c r="I29" s="322"/>
      <c r="J29" s="322"/>
      <c r="K29" s="322"/>
      <c r="L29" s="322"/>
      <c r="M29" s="322"/>
      <c r="N29" s="322"/>
      <c r="O29" s="322"/>
      <c r="P29" s="323">
        <f t="shared" si="1"/>
        <v>305</v>
      </c>
      <c r="Q29" s="394"/>
    </row>
    <row r="30" spans="1:18">
      <c r="A30" s="392" t="s">
        <v>437</v>
      </c>
      <c r="B30" s="322"/>
      <c r="C30" s="325"/>
      <c r="D30" s="322">
        <v>525</v>
      </c>
      <c r="E30" s="322"/>
      <c r="F30" s="322"/>
      <c r="G30" s="322"/>
      <c r="H30" s="322"/>
      <c r="I30" s="322"/>
      <c r="J30" s="322"/>
      <c r="K30" s="322"/>
      <c r="L30" s="322"/>
      <c r="M30" s="322"/>
      <c r="N30" s="322"/>
      <c r="O30" s="322"/>
      <c r="P30" s="323">
        <f t="shared" si="1"/>
        <v>525</v>
      </c>
      <c r="Q30" s="394"/>
    </row>
    <row r="31" spans="1:18">
      <c r="A31" s="392" t="s">
        <v>438</v>
      </c>
      <c r="B31" s="322"/>
      <c r="C31" s="325"/>
      <c r="D31" s="326">
        <v>204</v>
      </c>
      <c r="E31" s="322"/>
      <c r="F31" s="322"/>
      <c r="G31" s="322"/>
      <c r="H31" s="322"/>
      <c r="I31" s="322"/>
      <c r="J31" s="322"/>
      <c r="K31" s="322"/>
      <c r="L31" s="322"/>
      <c r="M31" s="322"/>
      <c r="N31" s="322"/>
      <c r="O31" s="322"/>
      <c r="P31" s="323">
        <f t="shared" si="1"/>
        <v>204</v>
      </c>
      <c r="Q31" s="394"/>
    </row>
    <row r="32" spans="1:18">
      <c r="A32" s="392" t="s">
        <v>439</v>
      </c>
      <c r="B32" s="322"/>
      <c r="C32" s="322"/>
      <c r="D32" s="322">
        <v>487</v>
      </c>
      <c r="E32" s="322"/>
      <c r="F32" s="322"/>
      <c r="G32" s="322"/>
      <c r="H32" s="322"/>
      <c r="I32" s="322"/>
      <c r="J32" s="322"/>
      <c r="K32" s="322"/>
      <c r="L32" s="322"/>
      <c r="M32" s="322"/>
      <c r="N32" s="322"/>
      <c r="O32" s="322"/>
      <c r="P32" s="323">
        <f t="shared" si="1"/>
        <v>487</v>
      </c>
      <c r="Q32" s="394"/>
    </row>
    <row r="33" spans="1:17">
      <c r="A33" s="392" t="s">
        <v>440</v>
      </c>
      <c r="B33" s="322"/>
      <c r="C33" s="322"/>
      <c r="D33" s="322"/>
      <c r="E33" s="322"/>
      <c r="F33" s="322"/>
      <c r="G33" s="322"/>
      <c r="H33" s="322"/>
      <c r="I33" s="322"/>
      <c r="J33" s="322"/>
      <c r="K33" s="322"/>
      <c r="L33" s="322"/>
      <c r="M33" s="322"/>
      <c r="N33" s="322"/>
      <c r="O33" s="322"/>
      <c r="P33" s="323"/>
      <c r="Q33" s="394"/>
    </row>
    <row r="34" spans="1:17">
      <c r="A34" s="401" t="s">
        <v>441</v>
      </c>
      <c r="B34" s="402">
        <v>0</v>
      </c>
      <c r="C34" s="402">
        <v>7877</v>
      </c>
      <c r="D34" s="402">
        <f>SUM(D25:D33)</f>
        <v>6082</v>
      </c>
      <c r="E34" s="402">
        <f t="shared" ref="E34:M34" si="2">SUM(E25:E33)</f>
        <v>0</v>
      </c>
      <c r="F34" s="402">
        <f t="shared" si="2"/>
        <v>0</v>
      </c>
      <c r="G34" s="402">
        <f t="shared" si="2"/>
        <v>0</v>
      </c>
      <c r="H34" s="402">
        <f t="shared" si="2"/>
        <v>0</v>
      </c>
      <c r="I34" s="402">
        <f t="shared" si="2"/>
        <v>0</v>
      </c>
      <c r="J34" s="402">
        <f t="shared" si="2"/>
        <v>0</v>
      </c>
      <c r="K34" s="402">
        <f t="shared" si="2"/>
        <v>0</v>
      </c>
      <c r="L34" s="402">
        <f t="shared" si="2"/>
        <v>0</v>
      </c>
      <c r="M34" s="402">
        <f t="shared" si="2"/>
        <v>0</v>
      </c>
      <c r="N34" s="402">
        <v>0</v>
      </c>
      <c r="O34" s="402">
        <v>0</v>
      </c>
      <c r="P34" s="403">
        <f>SUM(B34:O34)</f>
        <v>13959</v>
      </c>
      <c r="Q34" s="394"/>
    </row>
    <row r="35" spans="1:17" s="400" customFormat="1">
      <c r="A35" s="397" t="s">
        <v>442</v>
      </c>
      <c r="B35" s="398"/>
      <c r="C35" s="398">
        <v>272</v>
      </c>
      <c r="D35" s="398">
        <f>SUM(D36:D38)</f>
        <v>230</v>
      </c>
      <c r="E35" s="398"/>
      <c r="F35" s="398"/>
      <c r="G35" s="398"/>
      <c r="H35" s="398"/>
      <c r="I35" s="398"/>
      <c r="J35" s="398"/>
      <c r="K35" s="398"/>
      <c r="L35" s="398"/>
      <c r="M35" s="398"/>
      <c r="N35" s="398"/>
      <c r="O35" s="398"/>
      <c r="P35" s="396">
        <f>SUM(B35:O35)</f>
        <v>502</v>
      </c>
      <c r="Q35" s="399"/>
    </row>
    <row r="36" spans="1:17">
      <c r="A36" s="392" t="s">
        <v>432</v>
      </c>
      <c r="B36" s="322"/>
      <c r="C36" s="322"/>
      <c r="D36" s="322">
        <v>70</v>
      </c>
      <c r="E36" s="322"/>
      <c r="F36" s="322"/>
      <c r="G36" s="322"/>
      <c r="H36" s="322"/>
      <c r="I36" s="322"/>
      <c r="J36" s="322"/>
      <c r="K36" s="322"/>
      <c r="L36" s="322"/>
      <c r="M36" s="322"/>
      <c r="N36" s="322"/>
      <c r="O36" s="322"/>
      <c r="P36" s="395">
        <f>SUM(B36:O36)</f>
        <v>70</v>
      </c>
      <c r="Q36" s="394"/>
    </row>
    <row r="37" spans="1:17">
      <c r="A37" s="392" t="s">
        <v>443</v>
      </c>
      <c r="B37" s="322"/>
      <c r="C37" s="325"/>
      <c r="D37" s="322">
        <v>103</v>
      </c>
      <c r="E37" s="322"/>
      <c r="F37" s="322"/>
      <c r="G37" s="322"/>
      <c r="H37" s="322"/>
      <c r="I37" s="322"/>
      <c r="J37" s="322"/>
      <c r="K37" s="322"/>
      <c r="L37" s="322"/>
      <c r="M37" s="322"/>
      <c r="N37" s="322"/>
      <c r="O37" s="322"/>
      <c r="P37" s="395">
        <f>SUM(B37:O37)</f>
        <v>103</v>
      </c>
      <c r="Q37" s="394"/>
    </row>
    <row r="38" spans="1:17">
      <c r="A38" s="392" t="s">
        <v>444</v>
      </c>
      <c r="B38" s="322"/>
      <c r="C38" s="325"/>
      <c r="D38" s="326">
        <v>57</v>
      </c>
      <c r="E38" s="322"/>
      <c r="F38" s="322"/>
      <c r="G38" s="322"/>
      <c r="H38" s="322"/>
      <c r="I38" s="322"/>
      <c r="J38" s="322"/>
      <c r="K38" s="322"/>
      <c r="L38" s="322"/>
      <c r="M38" s="322"/>
      <c r="N38" s="322"/>
      <c r="O38" s="322"/>
      <c r="P38" s="395">
        <f>SUM(B38:O38)</f>
        <v>57</v>
      </c>
      <c r="Q38" s="394"/>
    </row>
  </sheetData>
  <mergeCells count="6">
    <mergeCell ref="C1:Q1"/>
    <mergeCell ref="B1:B2"/>
    <mergeCell ref="R1:R2"/>
    <mergeCell ref="A23:A24"/>
    <mergeCell ref="P23:P24"/>
    <mergeCell ref="B23:M23"/>
  </mergeCells>
  <phoneticPr fontId="3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1" customWidth="1"/>
    <col min="3" max="3" width="6.5703125" style="331" customWidth="1"/>
    <col min="4" max="4" width="5.42578125" style="331" customWidth="1"/>
    <col min="5" max="5" width="6.42578125" style="331" customWidth="1"/>
    <col min="6" max="6" width="6.28515625" style="331" customWidth="1"/>
    <col min="7" max="15" width="5.42578125" style="331" customWidth="1"/>
    <col min="16" max="17" width="5.42578125" style="331" hidden="1" customWidth="1"/>
    <col min="18" max="19" width="10.7109375" style="331"/>
  </cols>
  <sheetData>
    <row r="1" spans="1:19" ht="23.1" customHeight="1">
      <c r="A1" s="910" t="s">
        <v>445</v>
      </c>
      <c r="B1" s="911">
        <v>2020</v>
      </c>
      <c r="C1" s="911">
        <v>2021</v>
      </c>
      <c r="D1" s="912">
        <v>2022</v>
      </c>
      <c r="E1" s="912"/>
      <c r="F1" s="912"/>
      <c r="G1" s="912"/>
      <c r="H1" s="912"/>
      <c r="I1" s="912"/>
      <c r="J1" s="912"/>
      <c r="K1" s="912"/>
      <c r="L1" s="912"/>
      <c r="M1" s="912"/>
      <c r="N1" s="912"/>
      <c r="O1" s="912"/>
      <c r="P1" s="908">
        <v>2023</v>
      </c>
      <c r="Q1" s="908">
        <v>2024</v>
      </c>
      <c r="R1" s="904" t="s">
        <v>419</v>
      </c>
      <c r="S1" s="909" t="s">
        <v>446</v>
      </c>
    </row>
    <row r="2" spans="1:19" ht="23.1" customHeight="1">
      <c r="A2" s="910"/>
      <c r="B2" s="911"/>
      <c r="C2" s="911"/>
      <c r="D2" s="320" t="s">
        <v>420</v>
      </c>
      <c r="E2" s="320" t="s">
        <v>421</v>
      </c>
      <c r="F2" s="320" t="s">
        <v>422</v>
      </c>
      <c r="G2" s="320" t="s">
        <v>423</v>
      </c>
      <c r="H2" s="320" t="s">
        <v>424</v>
      </c>
      <c r="I2" s="320" t="s">
        <v>425</v>
      </c>
      <c r="J2" s="320" t="s">
        <v>426</v>
      </c>
      <c r="K2" s="320" t="s">
        <v>427</v>
      </c>
      <c r="L2" s="320" t="s">
        <v>428</v>
      </c>
      <c r="M2" s="320" t="s">
        <v>429</v>
      </c>
      <c r="N2" s="320" t="s">
        <v>430</v>
      </c>
      <c r="O2" s="320" t="s">
        <v>431</v>
      </c>
      <c r="P2" s="908"/>
      <c r="Q2" s="908"/>
      <c r="R2" s="904"/>
      <c r="S2" s="909"/>
    </row>
    <row r="3" spans="1:19">
      <c r="A3" s="317" t="s">
        <v>432</v>
      </c>
      <c r="B3" s="321"/>
      <c r="C3" s="321">
        <v>16682</v>
      </c>
      <c r="D3" s="322">
        <v>0</v>
      </c>
      <c r="E3" s="322">
        <v>72</v>
      </c>
      <c r="F3" s="325">
        <v>6152</v>
      </c>
      <c r="G3" s="322"/>
      <c r="H3" s="322"/>
      <c r="I3" s="322"/>
      <c r="J3" s="322"/>
      <c r="K3" s="322"/>
      <c r="L3" s="322"/>
      <c r="M3" s="322"/>
      <c r="N3" s="322"/>
      <c r="O3" s="322"/>
      <c r="P3" s="322"/>
      <c r="Q3" s="322"/>
      <c r="R3" s="323">
        <f>SUM(D3:O3)</f>
        <v>6224</v>
      </c>
      <c r="S3" s="324">
        <f>+R3+B3+C3</f>
        <v>22906</v>
      </c>
    </row>
    <row r="4" spans="1:19">
      <c r="A4" s="317" t="s">
        <v>433</v>
      </c>
      <c r="B4" s="321"/>
      <c r="C4" s="321">
        <v>11309</v>
      </c>
      <c r="D4" s="322">
        <v>0</v>
      </c>
      <c r="E4" s="325">
        <v>1339</v>
      </c>
      <c r="F4" s="325">
        <v>3401</v>
      </c>
      <c r="G4" s="322"/>
      <c r="H4" s="322"/>
      <c r="I4" s="322"/>
      <c r="J4" s="322"/>
      <c r="K4" s="322"/>
      <c r="L4" s="322"/>
      <c r="M4" s="322"/>
      <c r="N4" s="322"/>
      <c r="O4" s="322"/>
      <c r="P4" s="322"/>
      <c r="Q4" s="322"/>
      <c r="R4" s="323">
        <f t="shared" ref="R4:R10" si="0">SUM(D4:O4)</f>
        <v>4740</v>
      </c>
      <c r="S4" s="324">
        <f t="shared" ref="S4:S10" si="1">+R4+B4+C4</f>
        <v>16049</v>
      </c>
    </row>
    <row r="5" spans="1:19" ht="13.5" customHeight="1">
      <c r="A5" s="317" t="s">
        <v>434</v>
      </c>
      <c r="B5" s="321"/>
      <c r="C5" s="321">
        <v>7159</v>
      </c>
      <c r="D5" s="322">
        <v>156</v>
      </c>
      <c r="E5" s="325">
        <v>916</v>
      </c>
      <c r="F5" s="325">
        <v>1966</v>
      </c>
      <c r="G5" s="322"/>
      <c r="H5" s="322"/>
      <c r="I5" s="322"/>
      <c r="J5" s="322"/>
      <c r="K5" s="322"/>
      <c r="L5" s="322"/>
      <c r="M5" s="322"/>
      <c r="N5" s="322"/>
      <c r="O5" s="322"/>
      <c r="P5" s="322"/>
      <c r="Q5" s="322"/>
      <c r="R5" s="323">
        <f t="shared" si="0"/>
        <v>3038</v>
      </c>
      <c r="S5" s="324">
        <f t="shared" si="1"/>
        <v>10197</v>
      </c>
    </row>
    <row r="6" spans="1:19">
      <c r="A6" s="317" t="s">
        <v>435</v>
      </c>
      <c r="B6" s="321"/>
      <c r="C6" s="321">
        <v>7845</v>
      </c>
      <c r="D6" s="322">
        <v>512</v>
      </c>
      <c r="E6" s="325">
        <v>3578</v>
      </c>
      <c r="F6" s="325">
        <v>2291</v>
      </c>
      <c r="G6" s="322"/>
      <c r="H6" s="322"/>
      <c r="I6" s="322"/>
      <c r="J6" s="322"/>
      <c r="K6" s="322"/>
      <c r="L6" s="322"/>
      <c r="M6" s="322"/>
      <c r="N6" s="322"/>
      <c r="O6" s="322"/>
      <c r="P6" s="322"/>
      <c r="Q6" s="322"/>
      <c r="R6" s="323">
        <f t="shared" si="0"/>
        <v>6381</v>
      </c>
      <c r="S6" s="324">
        <f t="shared" si="1"/>
        <v>14226</v>
      </c>
    </row>
    <row r="7" spans="1:19">
      <c r="A7" s="317" t="s">
        <v>436</v>
      </c>
      <c r="B7" s="321"/>
      <c r="C7" s="321">
        <v>3843</v>
      </c>
      <c r="D7" s="322">
        <v>154</v>
      </c>
      <c r="E7" s="325">
        <v>1526</v>
      </c>
      <c r="F7" s="325">
        <v>971</v>
      </c>
      <c r="G7" s="322"/>
      <c r="H7" s="322"/>
      <c r="I7" s="322"/>
      <c r="J7" s="322"/>
      <c r="K7" s="322"/>
      <c r="L7" s="322"/>
      <c r="M7" s="322"/>
      <c r="N7" s="322"/>
      <c r="O7" s="322"/>
      <c r="P7" s="322"/>
      <c r="Q7" s="322"/>
      <c r="R7" s="323">
        <f t="shared" si="0"/>
        <v>2651</v>
      </c>
      <c r="S7" s="324">
        <f t="shared" si="1"/>
        <v>6494</v>
      </c>
    </row>
    <row r="8" spans="1:19">
      <c r="A8" s="317" t="s">
        <v>437</v>
      </c>
      <c r="B8" s="321"/>
      <c r="C8" s="321">
        <v>7039</v>
      </c>
      <c r="D8" s="322">
        <v>1175</v>
      </c>
      <c r="E8" s="325">
        <v>2807</v>
      </c>
      <c r="F8" s="325">
        <v>1450</v>
      </c>
      <c r="H8" s="322"/>
      <c r="I8" s="322"/>
      <c r="J8" s="322"/>
      <c r="K8" s="322"/>
      <c r="L8" s="322"/>
      <c r="M8" s="322"/>
      <c r="N8" s="322"/>
      <c r="O8" s="322"/>
      <c r="P8" s="322"/>
      <c r="Q8" s="322"/>
      <c r="R8" s="323">
        <f t="shared" si="0"/>
        <v>5432</v>
      </c>
      <c r="S8" s="324">
        <f t="shared" si="1"/>
        <v>12471</v>
      </c>
    </row>
    <row r="9" spans="1:19">
      <c r="A9" s="317" t="s">
        <v>438</v>
      </c>
      <c r="B9" s="321"/>
      <c r="C9" s="321">
        <v>4323</v>
      </c>
      <c r="D9" s="322">
        <v>0</v>
      </c>
      <c r="E9" s="325">
        <v>353</v>
      </c>
      <c r="F9" s="325">
        <v>468</v>
      </c>
      <c r="G9" s="322"/>
      <c r="H9" s="322"/>
      <c r="I9" s="322"/>
      <c r="J9" s="322"/>
      <c r="K9" s="322"/>
      <c r="L9" s="322"/>
      <c r="M9" s="322"/>
      <c r="N9" s="322"/>
      <c r="O9" s="322"/>
      <c r="P9" s="322"/>
      <c r="Q9" s="322"/>
      <c r="R9" s="323">
        <f t="shared" si="0"/>
        <v>821</v>
      </c>
      <c r="S9" s="324">
        <f t="shared" si="1"/>
        <v>5144</v>
      </c>
    </row>
    <row r="10" spans="1:19">
      <c r="A10" s="317" t="s">
        <v>439</v>
      </c>
      <c r="B10" s="321"/>
      <c r="C10" s="321"/>
      <c r="D10" s="322">
        <v>0</v>
      </c>
      <c r="E10" s="322">
        <v>10</v>
      </c>
      <c r="F10" s="325">
        <v>776</v>
      </c>
      <c r="H10" s="322"/>
      <c r="I10" s="322"/>
      <c r="J10" s="322"/>
      <c r="K10" s="322"/>
      <c r="L10" s="322"/>
      <c r="M10" s="322"/>
      <c r="N10" s="322"/>
      <c r="O10" s="322"/>
      <c r="P10" s="322"/>
      <c r="Q10" s="322"/>
      <c r="R10" s="323">
        <f t="shared" si="0"/>
        <v>786</v>
      </c>
      <c r="S10" s="324">
        <f t="shared" si="1"/>
        <v>786</v>
      </c>
    </row>
    <row r="11" spans="1:19">
      <c r="A11" s="317"/>
      <c r="B11" s="321"/>
      <c r="C11" s="321"/>
      <c r="D11" s="322"/>
      <c r="E11" s="322"/>
      <c r="F11" s="325"/>
      <c r="G11" s="322"/>
      <c r="H11" s="322"/>
      <c r="I11" s="322"/>
      <c r="J11" s="322"/>
      <c r="K11" s="322"/>
      <c r="L11" s="322"/>
      <c r="M11" s="322"/>
      <c r="N11" s="322"/>
      <c r="O11" s="322"/>
      <c r="P11" s="322"/>
      <c r="Q11" s="322"/>
      <c r="R11" s="323"/>
      <c r="S11" s="324"/>
    </row>
    <row r="12" spans="1:19" s="319" customFormat="1">
      <c r="A12" s="318" t="s">
        <v>441</v>
      </c>
      <c r="B12" s="327">
        <f>SUM(B3:B9)</f>
        <v>0</v>
      </c>
      <c r="C12" s="327">
        <f>SUM(C3:C11)</f>
        <v>58200</v>
      </c>
      <c r="D12" s="328">
        <f>SUM(D3:D11)</f>
        <v>1997</v>
      </c>
      <c r="E12" s="328">
        <f t="shared" ref="E12:Q12" si="2">SUM(E3:E11)</f>
        <v>10601</v>
      </c>
      <c r="F12" s="328">
        <f t="shared" si="2"/>
        <v>17475</v>
      </c>
      <c r="G12" s="328">
        <f t="shared" si="2"/>
        <v>0</v>
      </c>
      <c r="H12" s="328">
        <f t="shared" si="2"/>
        <v>0</v>
      </c>
      <c r="I12" s="328">
        <f t="shared" si="2"/>
        <v>0</v>
      </c>
      <c r="J12" s="328">
        <f t="shared" si="2"/>
        <v>0</v>
      </c>
      <c r="K12" s="328">
        <f t="shared" si="2"/>
        <v>0</v>
      </c>
      <c r="L12" s="328">
        <f t="shared" si="2"/>
        <v>0</v>
      </c>
      <c r="M12" s="328">
        <f t="shared" si="2"/>
        <v>0</v>
      </c>
      <c r="N12" s="328">
        <f t="shared" si="2"/>
        <v>0</v>
      </c>
      <c r="O12" s="328">
        <f t="shared" si="2"/>
        <v>0</v>
      </c>
      <c r="P12" s="328">
        <f t="shared" si="2"/>
        <v>0</v>
      </c>
      <c r="Q12" s="328">
        <f t="shared" si="2"/>
        <v>0</v>
      </c>
      <c r="R12" s="329">
        <f>SUM(D12:O12)</f>
        <v>30073</v>
      </c>
      <c r="S12" s="330">
        <f>SUM(S3:S11)</f>
        <v>88273</v>
      </c>
    </row>
    <row r="13" spans="1:19">
      <c r="A13" s="406" t="s">
        <v>447</v>
      </c>
      <c r="F13" s="332">
        <f>+E12-F14</f>
        <v>-6874</v>
      </c>
      <c r="G13" s="405">
        <f>+F13/F12</f>
        <v>-0.39336194563662374</v>
      </c>
    </row>
    <row r="14" spans="1:19">
      <c r="F14" s="332">
        <v>17475</v>
      </c>
    </row>
    <row r="15" spans="1:19">
      <c r="F15" s="332"/>
    </row>
    <row r="16" spans="1:19" ht="25.15" customHeight="1">
      <c r="A16" s="910" t="s">
        <v>448</v>
      </c>
      <c r="B16" s="911">
        <v>2020</v>
      </c>
      <c r="C16" s="911">
        <v>2021</v>
      </c>
      <c r="D16" s="912">
        <v>2022</v>
      </c>
      <c r="E16" s="912"/>
      <c r="F16" s="912"/>
      <c r="G16" s="912"/>
      <c r="H16" s="912"/>
      <c r="I16" s="912"/>
      <c r="J16" s="912"/>
      <c r="K16" s="912"/>
      <c r="L16" s="912"/>
      <c r="M16" s="912"/>
      <c r="N16" s="912"/>
      <c r="O16" s="912"/>
      <c r="P16" s="908">
        <v>2023</v>
      </c>
      <c r="Q16" s="908">
        <v>2024</v>
      </c>
      <c r="R16" s="904" t="s">
        <v>419</v>
      </c>
      <c r="S16" s="909" t="s">
        <v>446</v>
      </c>
    </row>
    <row r="17" spans="1:19" ht="25.15" customHeight="1">
      <c r="A17" s="910"/>
      <c r="B17" s="911"/>
      <c r="C17" s="911"/>
      <c r="D17" s="320" t="s">
        <v>420</v>
      </c>
      <c r="E17" s="320" t="s">
        <v>421</v>
      </c>
      <c r="F17" s="320" t="s">
        <v>422</v>
      </c>
      <c r="G17" s="320" t="s">
        <v>423</v>
      </c>
      <c r="H17" s="320" t="s">
        <v>424</v>
      </c>
      <c r="I17" s="320" t="s">
        <v>425</v>
      </c>
      <c r="J17" s="320" t="s">
        <v>426</v>
      </c>
      <c r="K17" s="320" t="s">
        <v>427</v>
      </c>
      <c r="L17" s="320" t="s">
        <v>428</v>
      </c>
      <c r="M17" s="320" t="s">
        <v>429</v>
      </c>
      <c r="N17" s="320" t="s">
        <v>430</v>
      </c>
      <c r="O17" s="320" t="s">
        <v>431</v>
      </c>
      <c r="P17" s="908"/>
      <c r="Q17" s="908"/>
      <c r="R17" s="904"/>
      <c r="S17" s="909"/>
    </row>
    <row r="18" spans="1:19">
      <c r="A18" s="317" t="s">
        <v>449</v>
      </c>
      <c r="B18" s="321"/>
      <c r="C18" s="321">
        <v>8402</v>
      </c>
      <c r="D18" s="322">
        <v>0</v>
      </c>
      <c r="E18" s="322">
        <v>0</v>
      </c>
      <c r="F18" s="322"/>
      <c r="G18" s="322"/>
      <c r="H18" s="322"/>
      <c r="I18" s="322"/>
      <c r="J18" s="322"/>
      <c r="K18" s="322"/>
      <c r="L18" s="322"/>
      <c r="M18" s="322"/>
      <c r="N18" s="322"/>
      <c r="O18" s="322"/>
      <c r="P18" s="322"/>
      <c r="Q18" s="322"/>
      <c r="R18" s="323">
        <f>SUM(D18:O18)</f>
        <v>0</v>
      </c>
      <c r="S18" s="324">
        <f>+R18+B18+C18</f>
        <v>8402</v>
      </c>
    </row>
    <row r="19" spans="1:19">
      <c r="A19" s="317" t="s">
        <v>450</v>
      </c>
      <c r="B19" s="321"/>
      <c r="C19" s="321">
        <v>3579</v>
      </c>
      <c r="D19" s="322">
        <v>0</v>
      </c>
      <c r="E19" s="325">
        <v>0</v>
      </c>
      <c r="F19" s="322"/>
      <c r="G19" s="322"/>
      <c r="H19" s="322"/>
      <c r="I19" s="322"/>
      <c r="J19" s="322"/>
      <c r="K19" s="322"/>
      <c r="L19" s="322"/>
      <c r="M19" s="322"/>
      <c r="N19" s="322"/>
      <c r="O19" s="322"/>
      <c r="P19" s="322"/>
      <c r="Q19" s="322"/>
      <c r="R19" s="323">
        <f t="shared" ref="R19" si="3">SUM(D19:O19)</f>
        <v>0</v>
      </c>
      <c r="S19" s="324">
        <f t="shared" ref="S19" si="4">+R19+B19+C19</f>
        <v>3579</v>
      </c>
    </row>
    <row r="20" spans="1:19">
      <c r="A20" s="318" t="s">
        <v>441</v>
      </c>
      <c r="B20" s="327">
        <f t="shared" ref="B20:O20" si="5">SUM(B18:B19)</f>
        <v>0</v>
      </c>
      <c r="C20" s="327">
        <f t="shared" si="5"/>
        <v>11981</v>
      </c>
      <c r="D20" s="328">
        <f t="shared" si="5"/>
        <v>0</v>
      </c>
      <c r="E20" s="328">
        <f t="shared" si="5"/>
        <v>0</v>
      </c>
      <c r="F20" s="328">
        <f t="shared" si="5"/>
        <v>0</v>
      </c>
      <c r="G20" s="328">
        <f t="shared" si="5"/>
        <v>0</v>
      </c>
      <c r="H20" s="328">
        <f t="shared" si="5"/>
        <v>0</v>
      </c>
      <c r="I20" s="328">
        <f t="shared" si="5"/>
        <v>0</v>
      </c>
      <c r="J20" s="328">
        <f t="shared" si="5"/>
        <v>0</v>
      </c>
      <c r="K20" s="328">
        <f t="shared" si="5"/>
        <v>0</v>
      </c>
      <c r="L20" s="328">
        <f t="shared" si="5"/>
        <v>0</v>
      </c>
      <c r="M20" s="328">
        <f t="shared" si="5"/>
        <v>0</v>
      </c>
      <c r="N20" s="328">
        <f t="shared" si="5"/>
        <v>0</v>
      </c>
      <c r="O20" s="328">
        <f t="shared" si="5"/>
        <v>0</v>
      </c>
      <c r="P20" s="328"/>
      <c r="Q20" s="328"/>
      <c r="R20" s="329">
        <f>SUM(D20:O20)</f>
        <v>0</v>
      </c>
      <c r="S20" s="330">
        <f>SUM(S18:S19)</f>
        <v>11981</v>
      </c>
    </row>
    <row r="21" spans="1:19">
      <c r="F21" s="332"/>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916" t="s">
        <v>451</v>
      </c>
      <c r="B1" s="917"/>
      <c r="C1" s="911">
        <v>2020</v>
      </c>
      <c r="D1" s="911">
        <v>2021</v>
      </c>
      <c r="E1" s="921">
        <v>2022</v>
      </c>
      <c r="F1" s="921"/>
      <c r="G1" s="921"/>
      <c r="H1" s="921"/>
      <c r="I1" s="921"/>
      <c r="J1" s="921"/>
      <c r="K1" s="921"/>
      <c r="L1" s="921"/>
      <c r="M1" s="921"/>
      <c r="N1" s="921"/>
      <c r="O1" s="921"/>
      <c r="P1" s="921"/>
      <c r="Q1" s="908">
        <v>2023</v>
      </c>
      <c r="R1" s="908">
        <v>2024</v>
      </c>
      <c r="S1" s="904" t="s">
        <v>419</v>
      </c>
      <c r="T1" s="909" t="s">
        <v>446</v>
      </c>
    </row>
    <row r="2" spans="1:22" s="1" customFormat="1" ht="16.5" customHeight="1">
      <c r="A2" s="918"/>
      <c r="B2" s="919"/>
      <c r="C2" s="911"/>
      <c r="D2" s="911"/>
      <c r="E2" s="349" t="s">
        <v>420</v>
      </c>
      <c r="F2" s="349" t="s">
        <v>421</v>
      </c>
      <c r="G2" s="349" t="s">
        <v>422</v>
      </c>
      <c r="H2" s="349" t="s">
        <v>423</v>
      </c>
      <c r="I2" s="349" t="s">
        <v>424</v>
      </c>
      <c r="J2" s="349" t="s">
        <v>425</v>
      </c>
      <c r="K2" s="349" t="s">
        <v>426</v>
      </c>
      <c r="L2" s="349" t="s">
        <v>427</v>
      </c>
      <c r="M2" s="349" t="s">
        <v>428</v>
      </c>
      <c r="N2" s="349" t="s">
        <v>429</v>
      </c>
      <c r="O2" s="349" t="s">
        <v>430</v>
      </c>
      <c r="P2" s="349" t="s">
        <v>431</v>
      </c>
      <c r="Q2" s="908"/>
      <c r="R2" s="908"/>
      <c r="S2" s="904"/>
      <c r="T2" s="909"/>
    </row>
    <row r="3" spans="1:22" ht="15" customHeight="1">
      <c r="A3" s="913" t="s">
        <v>452</v>
      </c>
      <c r="B3" s="914"/>
      <c r="C3" s="914"/>
      <c r="D3" s="914"/>
      <c r="E3" s="914"/>
      <c r="F3" s="914"/>
      <c r="G3" s="914"/>
      <c r="H3" s="914"/>
      <c r="I3" s="914"/>
      <c r="J3" s="914"/>
      <c r="K3" s="914"/>
      <c r="L3" s="914"/>
      <c r="M3" s="914"/>
      <c r="N3" s="914"/>
      <c r="O3" s="914"/>
      <c r="P3" s="915"/>
      <c r="Q3" s="350"/>
      <c r="R3" s="350"/>
      <c r="S3" s="351">
        <f>SUM(S4:S7)</f>
        <v>636</v>
      </c>
      <c r="T3" s="351">
        <f>SUM(T4:T11)</f>
        <v>5778</v>
      </c>
    </row>
    <row r="4" spans="1:22">
      <c r="A4" s="920" t="s">
        <v>453</v>
      </c>
      <c r="B4" s="348" t="s">
        <v>454</v>
      </c>
      <c r="C4" s="321"/>
      <c r="D4" s="321">
        <v>443</v>
      </c>
      <c r="E4" s="322">
        <v>0</v>
      </c>
      <c r="F4" s="322">
        <v>0</v>
      </c>
      <c r="G4" s="322"/>
      <c r="H4" s="322"/>
      <c r="I4" s="322"/>
      <c r="J4" s="322"/>
      <c r="K4" s="322"/>
      <c r="L4" s="322"/>
      <c r="M4" s="322"/>
      <c r="N4" s="322"/>
      <c r="O4" s="322"/>
      <c r="P4" s="322"/>
      <c r="Q4" s="322"/>
      <c r="R4" s="322"/>
      <c r="S4" s="323">
        <f>SUM(E4:P4)</f>
        <v>0</v>
      </c>
      <c r="T4" s="324">
        <f>+S4+C4+D4</f>
        <v>443</v>
      </c>
      <c r="U4" s="331">
        <f>SUM(E4:P6)</f>
        <v>358</v>
      </c>
    </row>
    <row r="5" spans="1:22">
      <c r="A5" s="920"/>
      <c r="B5" s="348" t="s">
        <v>455</v>
      </c>
      <c r="C5" s="321"/>
      <c r="D5" s="321">
        <v>1395</v>
      </c>
      <c r="E5" s="322"/>
      <c r="F5" s="322">
        <v>68</v>
      </c>
      <c r="G5" s="322">
        <v>290</v>
      </c>
      <c r="H5" s="322"/>
      <c r="I5" s="322"/>
      <c r="J5" s="322"/>
      <c r="K5" s="322"/>
      <c r="L5" s="322"/>
      <c r="M5" s="322"/>
      <c r="N5" s="322"/>
      <c r="O5" s="322"/>
      <c r="P5" s="322"/>
      <c r="Q5" s="322"/>
      <c r="R5" s="322"/>
      <c r="S5" s="323">
        <f t="shared" ref="S5:S11" si="0">SUM(E5:P5)</f>
        <v>358</v>
      </c>
      <c r="T5" s="324">
        <f>+S5+C5+D5</f>
        <v>1753</v>
      </c>
    </row>
    <row r="6" spans="1:22">
      <c r="A6" s="920"/>
      <c r="B6" s="348" t="s">
        <v>456</v>
      </c>
      <c r="C6" s="321"/>
      <c r="D6" s="321">
        <v>2</v>
      </c>
      <c r="E6" s="322"/>
      <c r="F6" s="322"/>
      <c r="G6" s="322"/>
      <c r="H6" s="322"/>
      <c r="I6" s="322"/>
      <c r="J6" s="322"/>
      <c r="K6" s="322"/>
      <c r="L6" s="322"/>
      <c r="M6" s="322"/>
      <c r="N6" s="322"/>
      <c r="O6" s="322"/>
      <c r="P6" s="322"/>
      <c r="Q6" s="322"/>
      <c r="R6" s="322"/>
      <c r="S6" s="323">
        <f t="shared" si="0"/>
        <v>0</v>
      </c>
      <c r="T6" s="324">
        <f>+S6+C6+D6</f>
        <v>2</v>
      </c>
      <c r="V6" s="331">
        <f>+U4+U7</f>
        <v>655</v>
      </c>
    </row>
    <row r="7" spans="1:22">
      <c r="A7" s="920" t="s">
        <v>457</v>
      </c>
      <c r="B7" s="348" t="s">
        <v>454</v>
      </c>
      <c r="C7" s="321"/>
      <c r="D7" s="321">
        <v>3162</v>
      </c>
      <c r="E7" s="322"/>
      <c r="F7" s="322">
        <v>94</v>
      </c>
      <c r="G7" s="322">
        <v>184</v>
      </c>
      <c r="H7" s="322"/>
      <c r="I7" s="322"/>
      <c r="J7" s="322"/>
      <c r="K7" s="322"/>
      <c r="L7" s="322"/>
      <c r="M7" s="322"/>
      <c r="N7" s="322"/>
      <c r="O7" s="322"/>
      <c r="P7" s="322"/>
      <c r="Q7" s="322"/>
      <c r="R7" s="322"/>
      <c r="S7" s="323">
        <f t="shared" si="0"/>
        <v>278</v>
      </c>
      <c r="T7" s="324">
        <f t="shared" ref="T7:T9" si="1">+S7+C7+D7</f>
        <v>3440</v>
      </c>
      <c r="U7" s="331">
        <f>SUM(E7:P11)</f>
        <v>297</v>
      </c>
    </row>
    <row r="8" spans="1:22">
      <c r="A8" s="920"/>
      <c r="B8" s="348" t="s">
        <v>458</v>
      </c>
      <c r="C8" s="321"/>
      <c r="D8" s="321">
        <v>0</v>
      </c>
      <c r="E8" s="322"/>
      <c r="F8" s="322">
        <v>19</v>
      </c>
      <c r="G8" s="322"/>
      <c r="H8" s="322"/>
      <c r="I8" s="322"/>
      <c r="J8" s="322"/>
      <c r="K8" s="322"/>
      <c r="L8" s="322"/>
      <c r="M8" s="322"/>
      <c r="N8" s="322"/>
      <c r="O8" s="322"/>
      <c r="P8" s="322"/>
      <c r="Q8" s="322"/>
      <c r="R8" s="322"/>
      <c r="S8" s="323">
        <f t="shared" si="0"/>
        <v>19</v>
      </c>
      <c r="T8" s="324">
        <f t="shared" si="1"/>
        <v>19</v>
      </c>
    </row>
    <row r="9" spans="1:22">
      <c r="A9" s="920"/>
      <c r="B9" s="348" t="s">
        <v>459</v>
      </c>
      <c r="C9" s="321"/>
      <c r="D9" s="321">
        <v>3</v>
      </c>
      <c r="E9" s="322"/>
      <c r="F9" s="322"/>
      <c r="G9" s="322"/>
      <c r="H9" s="322"/>
      <c r="I9" s="322"/>
      <c r="J9" s="322"/>
      <c r="K9" s="322"/>
      <c r="L9" s="322"/>
      <c r="M9" s="322"/>
      <c r="N9" s="322"/>
      <c r="O9" s="322"/>
      <c r="P9" s="322"/>
      <c r="Q9" s="322"/>
      <c r="R9" s="322"/>
      <c r="S9" s="323">
        <f t="shared" si="0"/>
        <v>0</v>
      </c>
      <c r="T9" s="324">
        <f t="shared" si="1"/>
        <v>3</v>
      </c>
    </row>
    <row r="10" spans="1:22">
      <c r="A10" s="920"/>
      <c r="B10" s="348" t="s">
        <v>455</v>
      </c>
      <c r="C10" s="321"/>
      <c r="D10" s="321">
        <v>114</v>
      </c>
      <c r="E10" s="322"/>
      <c r="F10" s="322"/>
      <c r="G10" s="322"/>
      <c r="H10" s="322"/>
      <c r="I10" s="322"/>
      <c r="J10" s="322"/>
      <c r="K10" s="322"/>
      <c r="L10" s="322"/>
      <c r="M10" s="322"/>
      <c r="N10" s="322"/>
      <c r="O10" s="322"/>
      <c r="P10" s="322"/>
      <c r="Q10" s="322"/>
      <c r="R10" s="322"/>
      <c r="S10" s="323">
        <f t="shared" si="0"/>
        <v>0</v>
      </c>
      <c r="T10" s="324">
        <f>+S10+C10+D10</f>
        <v>114</v>
      </c>
    </row>
    <row r="11" spans="1:22" ht="14.1" customHeight="1">
      <c r="A11" s="920"/>
      <c r="B11" s="348" t="s">
        <v>456</v>
      </c>
      <c r="C11" s="321"/>
      <c r="D11" s="321">
        <v>4</v>
      </c>
      <c r="E11" s="322"/>
      <c r="F11" s="322"/>
      <c r="G11" s="322"/>
      <c r="H11" s="322"/>
      <c r="I11" s="322"/>
      <c r="J11" s="322"/>
      <c r="K11" s="322"/>
      <c r="L11" s="322"/>
      <c r="M11" s="322"/>
      <c r="N11" s="322"/>
      <c r="O11" s="322"/>
      <c r="P11" s="322"/>
      <c r="Q11" s="322"/>
      <c r="R11" s="322"/>
      <c r="S11" s="323">
        <f t="shared" si="0"/>
        <v>0</v>
      </c>
      <c r="T11" s="324">
        <f>+S11+C11+D11</f>
        <v>4</v>
      </c>
    </row>
    <row r="12" spans="1:22">
      <c r="A12" s="913" t="s">
        <v>460</v>
      </c>
      <c r="B12" s="914"/>
      <c r="C12" s="914"/>
      <c r="D12" s="914"/>
      <c r="E12" s="914"/>
      <c r="F12" s="914"/>
      <c r="G12" s="914"/>
      <c r="H12" s="914"/>
      <c r="I12" s="914"/>
      <c r="J12" s="914"/>
      <c r="K12" s="914"/>
      <c r="L12" s="914"/>
      <c r="M12" s="914"/>
      <c r="N12" s="914"/>
      <c r="O12" s="914"/>
      <c r="P12" s="915"/>
      <c r="Q12" s="352"/>
      <c r="R12" s="352"/>
      <c r="S12" s="352"/>
      <c r="T12" s="352"/>
    </row>
    <row r="13" spans="1:22">
      <c r="A13" s="317"/>
      <c r="B13" s="317"/>
      <c r="C13" s="321"/>
      <c r="D13" s="321"/>
      <c r="E13" s="322"/>
      <c r="F13" s="325"/>
      <c r="G13" s="322"/>
      <c r="H13" s="322"/>
      <c r="I13" s="322"/>
      <c r="J13" s="322"/>
      <c r="K13" s="322"/>
      <c r="L13" s="322"/>
      <c r="M13" s="322"/>
      <c r="N13" s="322"/>
      <c r="O13" s="322"/>
      <c r="P13" s="322"/>
      <c r="Q13" s="322"/>
      <c r="R13" s="322"/>
      <c r="S13" s="323"/>
      <c r="T13" s="324"/>
    </row>
    <row r="14" spans="1:22">
      <c r="A14" s="317"/>
      <c r="B14" s="317"/>
      <c r="C14" s="321"/>
      <c r="D14" s="321"/>
      <c r="E14" s="322"/>
      <c r="F14" s="325"/>
      <c r="G14" s="322"/>
      <c r="H14" s="322"/>
      <c r="I14" s="322"/>
      <c r="J14" s="322"/>
      <c r="K14" s="322"/>
      <c r="L14" s="322"/>
      <c r="M14" s="322"/>
      <c r="N14" s="322"/>
      <c r="O14" s="322"/>
      <c r="P14" s="322"/>
      <c r="Q14" s="322"/>
      <c r="R14" s="322"/>
      <c r="S14" s="323"/>
      <c r="T14" s="324"/>
    </row>
    <row r="15" spans="1:22">
      <c r="A15" s="317"/>
      <c r="B15" s="317"/>
      <c r="C15" s="321"/>
      <c r="D15" s="321"/>
      <c r="E15" s="322"/>
      <c r="F15" s="325"/>
      <c r="G15" s="322"/>
      <c r="H15" s="322"/>
      <c r="I15" s="322"/>
      <c r="J15" s="322"/>
      <c r="K15" s="322"/>
      <c r="L15" s="322"/>
      <c r="M15" s="322"/>
      <c r="N15" s="322"/>
      <c r="O15" s="322"/>
      <c r="P15" s="322"/>
      <c r="Q15" s="322"/>
      <c r="R15" s="322"/>
      <c r="S15" s="323"/>
      <c r="T15" s="324"/>
    </row>
    <row r="16" spans="1:22">
      <c r="A16" s="318" t="s">
        <v>461</v>
      </c>
      <c r="B16" s="318"/>
      <c r="C16" s="327">
        <f>SUM(C4:C7)</f>
        <v>0</v>
      </c>
      <c r="D16" s="327">
        <f>SUM(D4:D7)</f>
        <v>5002</v>
      </c>
      <c r="E16" s="328">
        <f>SUM(E4:E7)</f>
        <v>0</v>
      </c>
      <c r="F16" s="328">
        <f>SUM(F4:F8)</f>
        <v>181</v>
      </c>
      <c r="G16" s="328">
        <f t="shared" ref="G16:P16" si="2">SUM(G4:G7)</f>
        <v>474</v>
      </c>
      <c r="H16" s="328">
        <f t="shared" si="2"/>
        <v>0</v>
      </c>
      <c r="I16" s="328">
        <f t="shared" si="2"/>
        <v>0</v>
      </c>
      <c r="J16" s="328">
        <f t="shared" si="2"/>
        <v>0</v>
      </c>
      <c r="K16" s="328">
        <f t="shared" si="2"/>
        <v>0</v>
      </c>
      <c r="L16" s="328">
        <f t="shared" si="2"/>
        <v>0</v>
      </c>
      <c r="M16" s="328">
        <f t="shared" si="2"/>
        <v>0</v>
      </c>
      <c r="N16" s="328">
        <f t="shared" si="2"/>
        <v>0</v>
      </c>
      <c r="O16" s="328">
        <f t="shared" si="2"/>
        <v>0</v>
      </c>
      <c r="P16" s="328">
        <f t="shared" si="2"/>
        <v>0</v>
      </c>
      <c r="Q16" s="328"/>
      <c r="R16" s="328"/>
      <c r="S16" s="329">
        <f>SUM(E16:P16)</f>
        <v>655</v>
      </c>
      <c r="T16" s="330">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38"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922" t="s">
        <v>57</v>
      </c>
      <c r="B1" s="742"/>
      <c r="C1" s="264"/>
      <c r="D1" s="264"/>
      <c r="E1" s="264"/>
      <c r="F1" s="264"/>
      <c r="G1" s="264"/>
      <c r="H1" s="264"/>
      <c r="I1" s="264"/>
      <c r="J1" s="264"/>
      <c r="K1" s="264"/>
    </row>
    <row r="2" spans="1:11" ht="25.5" customHeight="1">
      <c r="A2" s="923" t="s">
        <v>462</v>
      </c>
      <c r="B2" s="742"/>
      <c r="C2" s="264"/>
      <c r="D2" s="264"/>
      <c r="E2" s="264"/>
      <c r="F2" s="264"/>
      <c r="G2" s="264"/>
      <c r="H2" s="264"/>
      <c r="I2" s="264"/>
      <c r="J2" s="264"/>
      <c r="K2" s="264"/>
    </row>
    <row r="3" spans="1:11" ht="13.5" customHeight="1">
      <c r="A3" s="265" t="s">
        <v>463</v>
      </c>
      <c r="B3" s="265" t="s">
        <v>464</v>
      </c>
      <c r="C3" s="264"/>
      <c r="D3" s="264"/>
      <c r="E3" s="264"/>
      <c r="F3" s="264"/>
      <c r="G3" s="264"/>
      <c r="H3" s="264"/>
      <c r="I3" s="264"/>
      <c r="J3" s="264"/>
      <c r="K3" s="264"/>
    </row>
    <row r="4" spans="1:11" ht="13.5" customHeight="1">
      <c r="A4" s="266" t="s">
        <v>65</v>
      </c>
      <c r="B4" s="267" t="s">
        <v>465</v>
      </c>
      <c r="C4" s="264"/>
      <c r="D4" s="264"/>
      <c r="E4" s="264"/>
      <c r="F4" s="264"/>
      <c r="G4" s="264"/>
      <c r="H4" s="264"/>
      <c r="I4" s="264"/>
      <c r="J4" s="264"/>
      <c r="K4" s="264"/>
    </row>
    <row r="5" spans="1:11" ht="97.5" customHeight="1">
      <c r="A5" s="266" t="s">
        <v>66</v>
      </c>
      <c r="B5" s="268" t="s">
        <v>466</v>
      </c>
      <c r="C5" s="264"/>
      <c r="D5" s="264"/>
      <c r="E5" s="264"/>
      <c r="F5" s="264"/>
      <c r="G5" s="264"/>
      <c r="H5" s="264"/>
      <c r="I5" s="264"/>
      <c r="J5" s="264"/>
      <c r="K5" s="264"/>
    </row>
    <row r="6" spans="1:11" ht="13.5" customHeight="1">
      <c r="A6" s="266" t="s">
        <v>162</v>
      </c>
      <c r="B6" s="924" t="s">
        <v>467</v>
      </c>
      <c r="C6" s="264"/>
      <c r="D6" s="264"/>
      <c r="E6" s="264"/>
      <c r="F6" s="264"/>
      <c r="G6" s="264"/>
      <c r="H6" s="264"/>
      <c r="I6" s="264"/>
      <c r="J6" s="264"/>
      <c r="K6" s="264"/>
    </row>
    <row r="7" spans="1:11" ht="13.5" customHeight="1">
      <c r="A7" s="266" t="s">
        <v>164</v>
      </c>
      <c r="B7" s="707"/>
      <c r="C7" s="264"/>
      <c r="D7" s="264"/>
      <c r="E7" s="264"/>
      <c r="F7" s="264"/>
      <c r="G7" s="264"/>
      <c r="H7" s="264"/>
      <c r="I7" s="264"/>
      <c r="J7" s="264"/>
      <c r="K7" s="264"/>
    </row>
    <row r="8" spans="1:11" ht="13.5" customHeight="1">
      <c r="A8" s="266" t="s">
        <v>166</v>
      </c>
      <c r="B8" s="707"/>
      <c r="C8" s="264"/>
      <c r="D8" s="264"/>
      <c r="E8" s="264"/>
      <c r="F8" s="264"/>
      <c r="G8" s="264"/>
      <c r="H8" s="264"/>
      <c r="I8" s="264"/>
      <c r="J8" s="264"/>
      <c r="K8" s="264"/>
    </row>
    <row r="9" spans="1:11" ht="13.5" customHeight="1">
      <c r="A9" s="266" t="s">
        <v>468</v>
      </c>
      <c r="B9" s="678"/>
      <c r="C9" s="264"/>
      <c r="D9" s="264"/>
      <c r="E9" s="264"/>
      <c r="F9" s="264"/>
      <c r="G9" s="264"/>
      <c r="H9" s="264"/>
      <c r="I9" s="264"/>
      <c r="J9" s="264"/>
      <c r="K9" s="264"/>
    </row>
    <row r="10" spans="1:11" ht="27.75" customHeight="1">
      <c r="A10" s="266" t="s">
        <v>161</v>
      </c>
      <c r="B10" s="269" t="s">
        <v>469</v>
      </c>
      <c r="C10" s="264"/>
      <c r="D10" s="264"/>
      <c r="E10" s="264"/>
      <c r="F10" s="264"/>
      <c r="G10" s="264"/>
      <c r="H10" s="264"/>
      <c r="I10" s="264"/>
      <c r="J10" s="264"/>
      <c r="K10" s="264"/>
    </row>
    <row r="11" spans="1:11" ht="27.75" customHeight="1">
      <c r="A11" s="266" t="s">
        <v>174</v>
      </c>
      <c r="B11" s="269" t="s">
        <v>470</v>
      </c>
      <c r="C11" s="264"/>
      <c r="D11" s="264"/>
      <c r="E11" s="264"/>
      <c r="F11" s="264"/>
      <c r="G11" s="264"/>
      <c r="H11" s="264"/>
      <c r="I11" s="264"/>
      <c r="J11" s="264"/>
      <c r="K11" s="264"/>
    </row>
    <row r="12" spans="1:11" ht="55.5" customHeight="1">
      <c r="A12" s="266" t="s">
        <v>173</v>
      </c>
      <c r="B12" s="89" t="s">
        <v>471</v>
      </c>
      <c r="C12" s="264"/>
      <c r="D12" s="264"/>
      <c r="E12" s="264"/>
      <c r="F12" s="264"/>
      <c r="G12" s="264"/>
      <c r="H12" s="264"/>
      <c r="I12" s="264"/>
      <c r="J12" s="264"/>
      <c r="K12" s="264"/>
    </row>
    <row r="13" spans="1:11" ht="27.75" customHeight="1">
      <c r="A13" s="266" t="s">
        <v>472</v>
      </c>
      <c r="B13" s="89" t="s">
        <v>473</v>
      </c>
      <c r="C13" s="264"/>
      <c r="D13" s="264"/>
      <c r="E13" s="264"/>
      <c r="F13" s="264"/>
      <c r="G13" s="264"/>
      <c r="H13" s="264"/>
      <c r="I13" s="264"/>
      <c r="J13" s="264"/>
      <c r="K13" s="264"/>
    </row>
    <row r="14" spans="1:11" ht="27.75" customHeight="1">
      <c r="A14" s="266" t="s">
        <v>474</v>
      </c>
      <c r="B14" s="89" t="s">
        <v>475</v>
      </c>
      <c r="C14" s="264"/>
      <c r="D14" s="264"/>
      <c r="E14" s="264"/>
      <c r="F14" s="264"/>
      <c r="G14" s="264"/>
      <c r="H14" s="264"/>
      <c r="I14" s="264"/>
      <c r="J14" s="264"/>
      <c r="K14" s="264"/>
    </row>
    <row r="15" spans="1:11" ht="72" customHeight="1">
      <c r="A15" s="270" t="s">
        <v>476</v>
      </c>
      <c r="B15" s="271" t="s">
        <v>477</v>
      </c>
      <c r="C15" s="264"/>
      <c r="D15" s="264"/>
      <c r="E15" s="264"/>
      <c r="F15" s="264"/>
      <c r="G15" s="264"/>
      <c r="H15" s="264"/>
      <c r="I15" s="264"/>
      <c r="J15" s="264"/>
      <c r="K15" s="264"/>
    </row>
    <row r="16" spans="1:11" ht="168" customHeight="1">
      <c r="A16" s="270" t="s">
        <v>478</v>
      </c>
      <c r="B16" s="272" t="s">
        <v>479</v>
      </c>
      <c r="C16" s="264"/>
      <c r="D16" s="264"/>
      <c r="E16" s="264"/>
      <c r="F16" s="264"/>
      <c r="G16" s="264"/>
      <c r="H16" s="264"/>
      <c r="I16" s="264"/>
      <c r="J16" s="264"/>
      <c r="K16" s="264"/>
    </row>
    <row r="17" spans="1:11" ht="25.5" customHeight="1">
      <c r="A17" s="923" t="s">
        <v>480</v>
      </c>
      <c r="B17" s="742"/>
      <c r="C17" s="264"/>
      <c r="D17" s="264"/>
      <c r="E17" s="264"/>
      <c r="F17" s="264"/>
      <c r="G17" s="264"/>
      <c r="H17" s="264"/>
      <c r="I17" s="264"/>
      <c r="J17" s="264"/>
      <c r="K17" s="264"/>
    </row>
    <row r="18" spans="1:11" ht="13.5" customHeight="1">
      <c r="A18" s="265" t="s">
        <v>463</v>
      </c>
      <c r="B18" s="265" t="s">
        <v>464</v>
      </c>
      <c r="C18" s="264"/>
      <c r="D18" s="264"/>
      <c r="E18" s="264"/>
      <c r="F18" s="264"/>
      <c r="G18" s="264"/>
      <c r="H18" s="264"/>
      <c r="I18" s="264"/>
      <c r="J18" s="264"/>
      <c r="K18" s="264"/>
    </row>
    <row r="19" spans="1:11" ht="13.5" customHeight="1">
      <c r="A19" s="266" t="s">
        <v>65</v>
      </c>
      <c r="B19" s="267" t="s">
        <v>465</v>
      </c>
      <c r="C19" s="264"/>
      <c r="D19" s="264"/>
      <c r="E19" s="264"/>
      <c r="F19" s="264"/>
      <c r="G19" s="264"/>
      <c r="H19" s="264"/>
      <c r="I19" s="264"/>
      <c r="J19" s="264"/>
      <c r="K19" s="264"/>
    </row>
    <row r="20" spans="1:11" ht="97.5" customHeight="1">
      <c r="A20" s="266" t="s">
        <v>66</v>
      </c>
      <c r="B20" s="268" t="s">
        <v>466</v>
      </c>
      <c r="C20" s="264"/>
      <c r="D20" s="264"/>
      <c r="E20" s="264"/>
      <c r="F20" s="264"/>
      <c r="G20" s="264"/>
      <c r="H20" s="264"/>
      <c r="I20" s="264"/>
      <c r="J20" s="264"/>
      <c r="K20" s="264"/>
    </row>
    <row r="21" spans="1:11" ht="27.75" customHeight="1">
      <c r="A21" s="266" t="s">
        <v>481</v>
      </c>
      <c r="B21" s="89" t="s">
        <v>482</v>
      </c>
      <c r="C21" s="264"/>
      <c r="D21" s="264"/>
      <c r="E21" s="264"/>
      <c r="F21" s="264"/>
      <c r="G21" s="264"/>
      <c r="H21" s="264"/>
      <c r="I21" s="264"/>
      <c r="J21" s="264"/>
      <c r="K21" s="264"/>
    </row>
    <row r="22" spans="1:11" ht="42" customHeight="1">
      <c r="A22" s="266" t="s">
        <v>483</v>
      </c>
      <c r="B22" s="89" t="s">
        <v>484</v>
      </c>
      <c r="C22" s="264"/>
      <c r="D22" s="264"/>
      <c r="E22" s="264"/>
      <c r="F22" s="264"/>
      <c r="G22" s="264"/>
      <c r="H22" s="264"/>
      <c r="I22" s="264"/>
      <c r="J22" s="264"/>
      <c r="K22" s="264"/>
    </row>
    <row r="23" spans="1:11" ht="55.5" customHeight="1">
      <c r="A23" s="266" t="s">
        <v>485</v>
      </c>
      <c r="B23" s="89" t="s">
        <v>486</v>
      </c>
      <c r="C23" s="264"/>
      <c r="D23" s="264"/>
      <c r="E23" s="264"/>
      <c r="F23" s="264"/>
      <c r="G23" s="264"/>
      <c r="H23" s="264"/>
      <c r="I23" s="264"/>
      <c r="J23" s="264"/>
      <c r="K23" s="264"/>
    </row>
    <row r="24" spans="1:11" ht="27.75" customHeight="1">
      <c r="A24" s="266" t="s">
        <v>487</v>
      </c>
      <c r="B24" s="89" t="s">
        <v>488</v>
      </c>
      <c r="C24" s="264"/>
      <c r="D24" s="264"/>
      <c r="E24" s="264"/>
      <c r="F24" s="264"/>
      <c r="G24" s="264"/>
      <c r="H24" s="264"/>
      <c r="I24" s="264"/>
      <c r="J24" s="264"/>
      <c r="K24" s="264"/>
    </row>
    <row r="25" spans="1:11" ht="27.75" customHeight="1">
      <c r="A25" s="266" t="s">
        <v>489</v>
      </c>
      <c r="B25" s="89" t="s">
        <v>490</v>
      </c>
      <c r="C25" s="264"/>
      <c r="D25" s="264"/>
      <c r="E25" s="264"/>
      <c r="F25" s="264"/>
      <c r="G25" s="264"/>
      <c r="H25" s="264"/>
      <c r="I25" s="264"/>
      <c r="J25" s="264"/>
      <c r="K25" s="264"/>
    </row>
    <row r="26" spans="1:11" ht="45.75" customHeight="1">
      <c r="A26" s="266" t="s">
        <v>491</v>
      </c>
      <c r="B26" s="89" t="s">
        <v>492</v>
      </c>
      <c r="C26" s="264"/>
      <c r="D26" s="264"/>
      <c r="E26" s="264"/>
      <c r="F26" s="264"/>
      <c r="G26" s="264"/>
      <c r="H26" s="264"/>
      <c r="I26" s="264"/>
      <c r="J26" s="264"/>
      <c r="K26" s="264"/>
    </row>
    <row r="27" spans="1:11" ht="55.5" customHeight="1">
      <c r="A27" s="266" t="s">
        <v>78</v>
      </c>
      <c r="B27" s="89" t="s">
        <v>493</v>
      </c>
      <c r="C27" s="264"/>
      <c r="D27" s="264"/>
      <c r="E27" s="264"/>
      <c r="F27" s="264"/>
      <c r="G27" s="264"/>
      <c r="H27" s="264"/>
      <c r="I27" s="264"/>
      <c r="J27" s="264"/>
      <c r="K27" s="264"/>
    </row>
    <row r="28" spans="1:11" ht="42" customHeight="1">
      <c r="A28" s="266" t="s">
        <v>494</v>
      </c>
      <c r="B28" s="89" t="s">
        <v>495</v>
      </c>
      <c r="C28" s="264"/>
      <c r="D28" s="264"/>
      <c r="E28" s="264"/>
      <c r="F28" s="264"/>
      <c r="G28" s="264"/>
      <c r="H28" s="264"/>
      <c r="I28" s="264"/>
      <c r="J28" s="264"/>
      <c r="K28" s="264"/>
    </row>
    <row r="29" spans="1:11" ht="42" customHeight="1">
      <c r="A29" s="266" t="s">
        <v>496</v>
      </c>
      <c r="B29" s="89" t="s">
        <v>497</v>
      </c>
      <c r="C29" s="264"/>
      <c r="D29" s="264"/>
      <c r="E29" s="264"/>
      <c r="F29" s="264"/>
      <c r="G29" s="264"/>
      <c r="H29" s="264"/>
      <c r="I29" s="264"/>
      <c r="J29" s="264"/>
      <c r="K29" s="264"/>
    </row>
    <row r="30" spans="1:11" ht="42" customHeight="1">
      <c r="A30" s="266" t="s">
        <v>498</v>
      </c>
      <c r="B30" s="89" t="s">
        <v>499</v>
      </c>
      <c r="C30" s="264"/>
      <c r="D30" s="264"/>
      <c r="E30" s="264"/>
      <c r="F30" s="264"/>
      <c r="G30" s="264"/>
      <c r="H30" s="264"/>
      <c r="I30" s="264"/>
      <c r="J30" s="264"/>
      <c r="K30" s="264"/>
    </row>
    <row r="31" spans="1:11" ht="144" customHeight="1">
      <c r="A31" s="266" t="s">
        <v>500</v>
      </c>
      <c r="B31" s="89" t="s">
        <v>501</v>
      </c>
      <c r="C31" s="264"/>
      <c r="D31" s="264"/>
      <c r="E31" s="264"/>
      <c r="F31" s="264"/>
      <c r="G31" s="264"/>
      <c r="H31" s="264"/>
      <c r="I31" s="264"/>
      <c r="J31" s="264"/>
      <c r="K31" s="264"/>
    </row>
    <row r="32" spans="1:11" ht="27.75" customHeight="1">
      <c r="A32" s="266" t="s">
        <v>502</v>
      </c>
      <c r="B32" s="89" t="s">
        <v>503</v>
      </c>
      <c r="C32" s="264"/>
      <c r="D32" s="264"/>
      <c r="E32" s="264"/>
      <c r="F32" s="264"/>
      <c r="G32" s="264"/>
      <c r="H32" s="264"/>
      <c r="I32" s="264"/>
      <c r="J32" s="264"/>
      <c r="K32" s="264"/>
    </row>
    <row r="33" spans="1:11" ht="27.75" customHeight="1">
      <c r="A33" s="266" t="s">
        <v>504</v>
      </c>
      <c r="B33" s="89" t="s">
        <v>505</v>
      </c>
      <c r="C33" s="264"/>
      <c r="D33" s="264"/>
      <c r="E33" s="264"/>
      <c r="F33" s="264"/>
      <c r="G33" s="264"/>
      <c r="H33" s="264"/>
      <c r="I33" s="264"/>
      <c r="J33" s="264"/>
      <c r="K33" s="264"/>
    </row>
    <row r="34" spans="1:11" ht="27.75" customHeight="1">
      <c r="A34" s="266" t="s">
        <v>506</v>
      </c>
      <c r="B34" s="89" t="s">
        <v>507</v>
      </c>
      <c r="C34" s="264"/>
      <c r="D34" s="264"/>
      <c r="E34" s="264"/>
      <c r="F34" s="264"/>
      <c r="G34" s="264"/>
      <c r="H34" s="264"/>
      <c r="I34" s="264"/>
      <c r="J34" s="264"/>
      <c r="K34" s="264"/>
    </row>
    <row r="35" spans="1:11" ht="27.75" customHeight="1">
      <c r="A35" s="266" t="s">
        <v>508</v>
      </c>
      <c r="B35" s="89" t="s">
        <v>509</v>
      </c>
      <c r="C35" s="264"/>
      <c r="D35" s="264"/>
      <c r="E35" s="264"/>
      <c r="F35" s="264"/>
      <c r="G35" s="264"/>
      <c r="H35" s="264"/>
      <c r="I35" s="264"/>
      <c r="J35" s="264"/>
      <c r="K35" s="264"/>
    </row>
    <row r="36" spans="1:11" ht="84" customHeight="1">
      <c r="A36" s="266" t="s">
        <v>62</v>
      </c>
      <c r="B36" s="89" t="s">
        <v>510</v>
      </c>
      <c r="C36" s="264"/>
      <c r="D36" s="264"/>
      <c r="E36" s="264"/>
      <c r="F36" s="264"/>
      <c r="G36" s="264"/>
      <c r="H36" s="264"/>
      <c r="I36" s="264"/>
      <c r="J36" s="264"/>
      <c r="K36" s="264"/>
    </row>
    <row r="37" spans="1:11" ht="42" customHeight="1">
      <c r="A37" s="266" t="s">
        <v>511</v>
      </c>
      <c r="B37" s="89" t="s">
        <v>512</v>
      </c>
      <c r="C37" s="264"/>
      <c r="D37" s="264"/>
      <c r="E37" s="264"/>
      <c r="F37" s="264"/>
      <c r="G37" s="264"/>
      <c r="H37" s="264"/>
      <c r="I37" s="264"/>
      <c r="J37" s="264"/>
      <c r="K37" s="264"/>
    </row>
    <row r="38" spans="1:11" ht="42" customHeight="1">
      <c r="A38" s="270" t="s">
        <v>64</v>
      </c>
      <c r="B38" s="89" t="s">
        <v>513</v>
      </c>
      <c r="C38" s="264"/>
      <c r="D38" s="264"/>
      <c r="E38" s="264"/>
      <c r="F38" s="264"/>
      <c r="G38" s="264"/>
      <c r="H38" s="264"/>
      <c r="I38" s="264"/>
      <c r="J38" s="264"/>
      <c r="K38" s="264"/>
    </row>
    <row r="39" spans="1:11" ht="25.5" customHeight="1">
      <c r="A39" s="923" t="s">
        <v>514</v>
      </c>
      <c r="B39" s="742"/>
      <c r="C39" s="264"/>
      <c r="D39" s="264"/>
      <c r="E39" s="264"/>
      <c r="F39" s="264"/>
      <c r="G39" s="264"/>
      <c r="H39" s="264"/>
      <c r="I39" s="264"/>
      <c r="J39" s="264"/>
      <c r="K39" s="264"/>
    </row>
    <row r="40" spans="1:11" ht="13.5" customHeight="1">
      <c r="A40" s="922" t="s">
        <v>515</v>
      </c>
      <c r="B40" s="742"/>
      <c r="C40" s="264"/>
      <c r="D40" s="264"/>
      <c r="E40" s="264"/>
      <c r="F40" s="264"/>
      <c r="G40" s="264"/>
      <c r="H40" s="264"/>
      <c r="I40" s="264"/>
      <c r="J40" s="264"/>
      <c r="K40" s="264"/>
    </row>
    <row r="41" spans="1:11" ht="72" customHeight="1">
      <c r="A41" s="739" t="s">
        <v>516</v>
      </c>
      <c r="B41" s="742"/>
      <c r="C41" s="264"/>
      <c r="D41" s="264"/>
      <c r="E41" s="264"/>
      <c r="F41" s="264"/>
      <c r="G41" s="264"/>
      <c r="H41" s="264"/>
      <c r="I41" s="264"/>
      <c r="J41" s="264"/>
      <c r="K41" s="264"/>
    </row>
    <row r="42" spans="1:11" ht="13.5" customHeight="1">
      <c r="A42" s="264"/>
      <c r="B42" s="264"/>
      <c r="C42" s="264"/>
      <c r="D42" s="264"/>
      <c r="E42" s="264"/>
      <c r="F42" s="264"/>
      <c r="G42" s="264"/>
      <c r="H42" s="264"/>
      <c r="I42" s="264"/>
      <c r="J42" s="264"/>
      <c r="K42" s="264"/>
    </row>
    <row r="43" spans="1:11" ht="13.5" customHeight="1">
      <c r="A43" s="264"/>
      <c r="B43" s="264"/>
      <c r="C43" s="264"/>
      <c r="D43" s="264"/>
      <c r="E43" s="264"/>
      <c r="F43" s="264"/>
      <c r="G43" s="264"/>
      <c r="H43" s="264"/>
      <c r="I43" s="264"/>
      <c r="J43" s="264"/>
      <c r="K43" s="264"/>
    </row>
    <row r="44" spans="1:11" ht="13.5" customHeight="1">
      <c r="A44" s="264"/>
      <c r="B44" s="264"/>
      <c r="C44" s="264"/>
      <c r="D44" s="264"/>
      <c r="E44" s="264"/>
      <c r="F44" s="264"/>
      <c r="G44" s="264"/>
      <c r="H44" s="264"/>
      <c r="I44" s="264"/>
      <c r="J44" s="264"/>
      <c r="K44" s="264"/>
    </row>
    <row r="45" spans="1:11" ht="13.5" customHeight="1">
      <c r="A45" s="264"/>
      <c r="B45" s="264"/>
      <c r="C45" s="264"/>
      <c r="D45" s="264"/>
      <c r="E45" s="264"/>
      <c r="F45" s="264"/>
      <c r="G45" s="264"/>
      <c r="H45" s="264"/>
      <c r="I45" s="264"/>
      <c r="J45" s="264"/>
      <c r="K45" s="264"/>
    </row>
    <row r="46" spans="1:11" ht="13.5" customHeight="1">
      <c r="A46" s="264"/>
      <c r="B46" s="264"/>
      <c r="C46" s="264"/>
      <c r="D46" s="264"/>
      <c r="E46" s="264"/>
      <c r="F46" s="264"/>
      <c r="G46" s="264"/>
      <c r="H46" s="264"/>
      <c r="I46" s="264"/>
      <c r="J46" s="264"/>
      <c r="K46" s="264"/>
    </row>
    <row r="47" spans="1:11" ht="13.5" customHeight="1">
      <c r="A47" s="264"/>
      <c r="B47" s="264"/>
      <c r="C47" s="264"/>
      <c r="D47" s="264"/>
      <c r="E47" s="264"/>
      <c r="F47" s="264"/>
      <c r="G47" s="264"/>
      <c r="H47" s="264"/>
      <c r="I47" s="264"/>
      <c r="J47" s="264"/>
      <c r="K47" s="264"/>
    </row>
    <row r="48" spans="1:11" ht="13.5" customHeight="1">
      <c r="A48" s="264"/>
      <c r="B48" s="264"/>
      <c r="C48" s="264"/>
      <c r="D48" s="264"/>
      <c r="E48" s="264"/>
      <c r="F48" s="264"/>
      <c r="G48" s="264"/>
      <c r="H48" s="264"/>
      <c r="I48" s="264"/>
      <c r="J48" s="264"/>
      <c r="K48" s="264"/>
    </row>
    <row r="49" spans="1:11" ht="13.5" customHeight="1">
      <c r="A49" s="264"/>
      <c r="B49" s="264"/>
      <c r="C49" s="264"/>
      <c r="D49" s="264"/>
      <c r="E49" s="264"/>
      <c r="F49" s="264"/>
      <c r="G49" s="264"/>
      <c r="H49" s="264"/>
      <c r="I49" s="264"/>
      <c r="J49" s="264"/>
      <c r="K49" s="264"/>
    </row>
    <row r="50" spans="1:11" ht="13.5" customHeight="1">
      <c r="A50" s="264"/>
      <c r="B50" s="264"/>
      <c r="C50" s="264"/>
      <c r="D50" s="264"/>
      <c r="E50" s="264"/>
      <c r="F50" s="264"/>
      <c r="G50" s="264"/>
      <c r="H50" s="264"/>
      <c r="I50" s="264"/>
      <c r="J50" s="264"/>
      <c r="K50" s="264"/>
    </row>
    <row r="51" spans="1:11" ht="13.5" customHeight="1">
      <c r="A51" s="264"/>
      <c r="B51" s="264"/>
      <c r="C51" s="264"/>
      <c r="D51" s="264"/>
      <c r="E51" s="264"/>
      <c r="F51" s="264"/>
      <c r="G51" s="264"/>
      <c r="H51" s="264"/>
      <c r="I51" s="264"/>
      <c r="J51" s="264"/>
      <c r="K51" s="264"/>
    </row>
    <row r="52" spans="1:11" ht="13.5" customHeight="1">
      <c r="A52" s="264"/>
      <c r="B52" s="264"/>
      <c r="C52" s="264"/>
      <c r="D52" s="264"/>
      <c r="E52" s="264"/>
      <c r="F52" s="264"/>
      <c r="G52" s="264"/>
      <c r="H52" s="264"/>
      <c r="I52" s="264"/>
      <c r="J52" s="264"/>
      <c r="K52" s="264"/>
    </row>
    <row r="53" spans="1:11" ht="13.5" customHeight="1">
      <c r="A53" s="264"/>
      <c r="B53" s="264"/>
      <c r="C53" s="264"/>
      <c r="D53" s="264"/>
      <c r="E53" s="264"/>
      <c r="F53" s="264"/>
      <c r="G53" s="264"/>
      <c r="H53" s="264"/>
      <c r="I53" s="264"/>
      <c r="J53" s="264"/>
      <c r="K53" s="264"/>
    </row>
    <row r="54" spans="1:11" ht="13.5" customHeight="1">
      <c r="A54" s="264"/>
      <c r="B54" s="264"/>
      <c r="C54" s="264"/>
      <c r="D54" s="264"/>
      <c r="E54" s="264"/>
      <c r="F54" s="264"/>
      <c r="G54" s="264"/>
      <c r="H54" s="264"/>
      <c r="I54" s="264"/>
      <c r="J54" s="264"/>
      <c r="K54" s="264"/>
    </row>
    <row r="55" spans="1:11" ht="13.5" customHeight="1">
      <c r="A55" s="264"/>
      <c r="B55" s="264"/>
      <c r="C55" s="264"/>
      <c r="D55" s="264"/>
      <c r="E55" s="264"/>
      <c r="F55" s="264"/>
      <c r="G55" s="264"/>
      <c r="H55" s="264"/>
      <c r="I55" s="264"/>
      <c r="J55" s="264"/>
      <c r="K55" s="264"/>
    </row>
    <row r="56" spans="1:11" ht="13.5" customHeight="1">
      <c r="A56" s="264"/>
      <c r="B56" s="264"/>
      <c r="C56" s="264"/>
      <c r="D56" s="264"/>
      <c r="E56" s="264"/>
      <c r="F56" s="264"/>
      <c r="G56" s="264"/>
      <c r="H56" s="264"/>
      <c r="I56" s="264"/>
      <c r="J56" s="264"/>
      <c r="K56" s="264"/>
    </row>
    <row r="57" spans="1:11" ht="13.5" customHeight="1">
      <c r="A57" s="264"/>
      <c r="B57" s="264"/>
      <c r="C57" s="264"/>
      <c r="D57" s="264"/>
      <c r="E57" s="264"/>
      <c r="F57" s="264"/>
      <c r="G57" s="264"/>
      <c r="H57" s="264"/>
      <c r="I57" s="264"/>
      <c r="J57" s="264"/>
      <c r="K57" s="264"/>
    </row>
    <row r="58" spans="1:11" ht="13.5" customHeight="1">
      <c r="A58" s="264"/>
      <c r="B58" s="264"/>
      <c r="C58" s="264"/>
      <c r="D58" s="264"/>
      <c r="E58" s="264"/>
      <c r="F58" s="264"/>
      <c r="G58" s="264"/>
      <c r="H58" s="264"/>
      <c r="I58" s="264"/>
      <c r="J58" s="264"/>
      <c r="K58" s="264"/>
    </row>
    <row r="59" spans="1:11" ht="13.5" customHeight="1">
      <c r="A59" s="264"/>
      <c r="B59" s="264"/>
      <c r="C59" s="264"/>
      <c r="D59" s="264"/>
      <c r="E59" s="264"/>
      <c r="F59" s="264"/>
      <c r="G59" s="264"/>
      <c r="H59" s="264"/>
      <c r="I59" s="264"/>
      <c r="J59" s="264"/>
      <c r="K59" s="264"/>
    </row>
    <row r="60" spans="1:11" ht="13.5" customHeight="1">
      <c r="A60" s="264"/>
      <c r="B60" s="264"/>
      <c r="C60" s="264"/>
      <c r="D60" s="264"/>
      <c r="E60" s="264"/>
      <c r="F60" s="264"/>
      <c r="G60" s="264"/>
      <c r="H60" s="264"/>
      <c r="I60" s="264"/>
      <c r="J60" s="264"/>
      <c r="K60" s="264"/>
    </row>
    <row r="61" spans="1:11" ht="13.5" customHeight="1">
      <c r="A61" s="264"/>
      <c r="B61" s="264"/>
      <c r="C61" s="264"/>
      <c r="D61" s="264"/>
      <c r="E61" s="264"/>
      <c r="F61" s="264"/>
      <c r="G61" s="264"/>
      <c r="H61" s="264"/>
      <c r="I61" s="264"/>
      <c r="J61" s="264"/>
      <c r="K61" s="264"/>
    </row>
    <row r="62" spans="1:11" ht="13.5" customHeight="1">
      <c r="A62" s="264"/>
      <c r="B62" s="264"/>
      <c r="C62" s="264"/>
      <c r="D62" s="264"/>
      <c r="E62" s="264"/>
      <c r="F62" s="264"/>
      <c r="G62" s="264"/>
      <c r="H62" s="264"/>
      <c r="I62" s="264"/>
      <c r="J62" s="264"/>
      <c r="K62" s="264"/>
    </row>
    <row r="63" spans="1:11" ht="13.5" customHeight="1">
      <c r="A63" s="264"/>
      <c r="B63" s="264"/>
      <c r="C63" s="264"/>
      <c r="D63" s="264"/>
      <c r="E63" s="264"/>
      <c r="F63" s="264"/>
      <c r="G63" s="264"/>
      <c r="H63" s="264"/>
      <c r="I63" s="264"/>
      <c r="J63" s="264"/>
      <c r="K63" s="264"/>
    </row>
    <row r="64" spans="1:11" ht="13.5" customHeight="1">
      <c r="A64" s="264"/>
      <c r="B64" s="264"/>
      <c r="C64" s="264"/>
      <c r="D64" s="264"/>
      <c r="E64" s="264"/>
      <c r="F64" s="264"/>
      <c r="G64" s="264"/>
      <c r="H64" s="264"/>
      <c r="I64" s="264"/>
      <c r="J64" s="264"/>
      <c r="K64" s="264"/>
    </row>
    <row r="65" spans="1:11" ht="13.5" customHeight="1">
      <c r="A65" s="264"/>
      <c r="B65" s="264"/>
      <c r="C65" s="264"/>
      <c r="D65" s="264"/>
      <c r="E65" s="264"/>
      <c r="F65" s="264"/>
      <c r="G65" s="264"/>
      <c r="H65" s="264"/>
      <c r="I65" s="264"/>
      <c r="J65" s="264"/>
      <c r="K65" s="264"/>
    </row>
    <row r="66" spans="1:11" ht="13.5" customHeight="1">
      <c r="A66" s="264"/>
      <c r="B66" s="264"/>
      <c r="C66" s="264"/>
      <c r="D66" s="264"/>
      <c r="E66" s="264"/>
      <c r="F66" s="264"/>
      <c r="G66" s="264"/>
      <c r="H66" s="264"/>
      <c r="I66" s="264"/>
      <c r="J66" s="264"/>
      <c r="K66" s="264"/>
    </row>
    <row r="67" spans="1:11" ht="13.5" customHeight="1">
      <c r="A67" s="264"/>
      <c r="B67" s="264"/>
      <c r="C67" s="264"/>
      <c r="D67" s="264"/>
      <c r="E67" s="264"/>
      <c r="F67" s="264"/>
      <c r="G67" s="264"/>
      <c r="H67" s="264"/>
      <c r="I67" s="264"/>
      <c r="J67" s="264"/>
      <c r="K67" s="264"/>
    </row>
    <row r="68" spans="1:11" ht="13.5" customHeight="1">
      <c r="A68" s="264"/>
      <c r="B68" s="264"/>
      <c r="C68" s="264"/>
      <c r="D68" s="264"/>
      <c r="E68" s="264"/>
      <c r="F68" s="264"/>
      <c r="G68" s="264"/>
      <c r="H68" s="264"/>
      <c r="I68" s="264"/>
      <c r="J68" s="264"/>
      <c r="K68" s="264"/>
    </row>
    <row r="69" spans="1:11" ht="13.5" customHeight="1">
      <c r="A69" s="264"/>
      <c r="B69" s="264"/>
      <c r="C69" s="264"/>
      <c r="D69" s="264"/>
      <c r="E69" s="264"/>
      <c r="F69" s="264"/>
      <c r="G69" s="264"/>
      <c r="H69" s="264"/>
      <c r="I69" s="264"/>
      <c r="J69" s="264"/>
      <c r="K69" s="264"/>
    </row>
    <row r="70" spans="1:11" ht="13.5" customHeight="1">
      <c r="A70" s="264"/>
      <c r="B70" s="264"/>
      <c r="C70" s="264"/>
      <c r="D70" s="264"/>
      <c r="E70" s="264"/>
      <c r="F70" s="264"/>
      <c r="G70" s="264"/>
      <c r="H70" s="264"/>
      <c r="I70" s="264"/>
      <c r="J70" s="264"/>
      <c r="K70" s="264"/>
    </row>
    <row r="71" spans="1:11" ht="13.5" customHeight="1">
      <c r="A71" s="264"/>
      <c r="B71" s="264"/>
      <c r="C71" s="264"/>
      <c r="D71" s="264"/>
      <c r="E71" s="264"/>
      <c r="F71" s="264"/>
      <c r="G71" s="264"/>
      <c r="H71" s="264"/>
      <c r="I71" s="264"/>
      <c r="J71" s="264"/>
      <c r="K71" s="264"/>
    </row>
    <row r="72" spans="1:11" ht="13.5" customHeight="1">
      <c r="A72" s="264"/>
      <c r="B72" s="264"/>
      <c r="C72" s="264"/>
      <c r="D72" s="264"/>
      <c r="E72" s="264"/>
      <c r="F72" s="264"/>
      <c r="G72" s="264"/>
      <c r="H72" s="264"/>
      <c r="I72" s="264"/>
      <c r="J72" s="264"/>
      <c r="K72" s="264"/>
    </row>
    <row r="73" spans="1:11" ht="13.5" customHeight="1">
      <c r="A73" s="264"/>
      <c r="B73" s="264"/>
      <c r="C73" s="264"/>
      <c r="D73" s="264"/>
      <c r="E73" s="264"/>
      <c r="F73" s="264"/>
      <c r="G73" s="264"/>
      <c r="H73" s="264"/>
      <c r="I73" s="264"/>
      <c r="J73" s="264"/>
      <c r="K73" s="264"/>
    </row>
    <row r="74" spans="1:11" ht="13.5" customHeight="1">
      <c r="A74" s="264"/>
      <c r="B74" s="264"/>
      <c r="C74" s="264"/>
      <c r="D74" s="264"/>
      <c r="E74" s="264"/>
      <c r="F74" s="264"/>
      <c r="G74" s="264"/>
      <c r="H74" s="264"/>
      <c r="I74" s="264"/>
      <c r="J74" s="264"/>
      <c r="K74" s="264"/>
    </row>
    <row r="75" spans="1:11" ht="13.5" customHeight="1">
      <c r="A75" s="264"/>
      <c r="B75" s="264"/>
      <c r="C75" s="264"/>
      <c r="D75" s="264"/>
      <c r="E75" s="264"/>
      <c r="F75" s="264"/>
      <c r="G75" s="264"/>
      <c r="H75" s="264"/>
      <c r="I75" s="264"/>
      <c r="J75" s="264"/>
      <c r="K75" s="264"/>
    </row>
    <row r="76" spans="1:11" ht="13.5" customHeight="1">
      <c r="A76" s="264"/>
      <c r="B76" s="264"/>
      <c r="C76" s="264"/>
      <c r="D76" s="264"/>
      <c r="E76" s="264"/>
      <c r="F76" s="264"/>
      <c r="G76" s="264"/>
      <c r="H76" s="264"/>
      <c r="I76" s="264"/>
      <c r="J76" s="264"/>
      <c r="K76" s="264"/>
    </row>
    <row r="77" spans="1:11" ht="13.5" customHeight="1">
      <c r="A77" s="264"/>
      <c r="B77" s="264"/>
      <c r="C77" s="264"/>
      <c r="D77" s="264"/>
      <c r="E77" s="264"/>
      <c r="F77" s="264"/>
      <c r="G77" s="264"/>
      <c r="H77" s="264"/>
      <c r="I77" s="264"/>
      <c r="J77" s="264"/>
      <c r="K77" s="264"/>
    </row>
    <row r="78" spans="1:11" ht="13.5" customHeight="1">
      <c r="A78" s="264"/>
      <c r="B78" s="264"/>
      <c r="C78" s="264"/>
      <c r="D78" s="264"/>
      <c r="E78" s="264"/>
      <c r="F78" s="264"/>
      <c r="G78" s="264"/>
      <c r="H78" s="264"/>
      <c r="I78" s="264"/>
      <c r="J78" s="264"/>
      <c r="K78" s="264"/>
    </row>
    <row r="79" spans="1:11" ht="13.5" customHeight="1">
      <c r="A79" s="264"/>
      <c r="B79" s="264"/>
      <c r="C79" s="264"/>
      <c r="D79" s="264"/>
      <c r="E79" s="264"/>
      <c r="F79" s="264"/>
      <c r="G79" s="264"/>
      <c r="H79" s="264"/>
      <c r="I79" s="264"/>
      <c r="J79" s="264"/>
      <c r="K79" s="264"/>
    </row>
    <row r="80" spans="1:11" ht="13.5" customHeight="1">
      <c r="A80" s="264"/>
      <c r="B80" s="264"/>
      <c r="C80" s="264"/>
      <c r="D80" s="264"/>
      <c r="E80" s="264"/>
      <c r="F80" s="264"/>
      <c r="G80" s="264"/>
      <c r="H80" s="264"/>
      <c r="I80" s="264"/>
      <c r="J80" s="264"/>
      <c r="K80" s="264"/>
    </row>
    <row r="81" spans="1:11" ht="13.5" customHeight="1">
      <c r="A81" s="264"/>
      <c r="B81" s="264"/>
      <c r="C81" s="264"/>
      <c r="D81" s="264"/>
      <c r="E81" s="264"/>
      <c r="F81" s="264"/>
      <c r="G81" s="264"/>
      <c r="H81" s="264"/>
      <c r="I81" s="264"/>
      <c r="J81" s="264"/>
      <c r="K81" s="264"/>
    </row>
    <row r="82" spans="1:11" ht="13.5" customHeight="1">
      <c r="A82" s="264"/>
      <c r="B82" s="264"/>
      <c r="C82" s="264"/>
      <c r="D82" s="264"/>
      <c r="E82" s="264"/>
      <c r="F82" s="264"/>
      <c r="G82" s="264"/>
      <c r="H82" s="264"/>
      <c r="I82" s="264"/>
      <c r="J82" s="264"/>
      <c r="K82" s="264"/>
    </row>
    <row r="83" spans="1:11" ht="13.5" customHeight="1">
      <c r="A83" s="264"/>
      <c r="B83" s="264"/>
      <c r="C83" s="264"/>
      <c r="D83" s="264"/>
      <c r="E83" s="264"/>
      <c r="F83" s="264"/>
      <c r="G83" s="264"/>
      <c r="H83" s="264"/>
      <c r="I83" s="264"/>
      <c r="J83" s="264"/>
      <c r="K83" s="264"/>
    </row>
    <row r="84" spans="1:11" ht="13.5" customHeight="1">
      <c r="A84" s="264"/>
      <c r="B84" s="264"/>
      <c r="C84" s="264"/>
      <c r="D84" s="264"/>
      <c r="E84" s="264"/>
      <c r="F84" s="264"/>
      <c r="G84" s="264"/>
      <c r="H84" s="264"/>
      <c r="I84" s="264"/>
      <c r="J84" s="264"/>
      <c r="K84" s="264"/>
    </row>
    <row r="85" spans="1:11" ht="13.5" customHeight="1">
      <c r="A85" s="264"/>
      <c r="B85" s="264"/>
      <c r="C85" s="264"/>
      <c r="D85" s="264"/>
      <c r="E85" s="264"/>
      <c r="F85" s="264"/>
      <c r="G85" s="264"/>
      <c r="H85" s="264"/>
      <c r="I85" s="264"/>
      <c r="J85" s="264"/>
      <c r="K85" s="264"/>
    </row>
    <row r="86" spans="1:11" ht="13.5" customHeight="1">
      <c r="A86" s="264"/>
      <c r="B86" s="264"/>
      <c r="C86" s="264"/>
      <c r="D86" s="264"/>
      <c r="E86" s="264"/>
      <c r="F86" s="264"/>
      <c r="G86" s="264"/>
      <c r="H86" s="264"/>
      <c r="I86" s="264"/>
      <c r="J86" s="264"/>
      <c r="K86" s="264"/>
    </row>
    <row r="87" spans="1:11" ht="13.5" customHeight="1">
      <c r="A87" s="264"/>
      <c r="B87" s="264"/>
      <c r="C87" s="264"/>
      <c r="D87" s="264"/>
      <c r="E87" s="264"/>
      <c r="F87" s="264"/>
      <c r="G87" s="264"/>
      <c r="H87" s="264"/>
      <c r="I87" s="264"/>
      <c r="J87" s="264"/>
      <c r="K87" s="264"/>
    </row>
    <row r="88" spans="1:11" ht="13.5" customHeight="1">
      <c r="A88" s="264"/>
      <c r="B88" s="264"/>
      <c r="C88" s="264"/>
      <c r="D88" s="264"/>
      <c r="E88" s="264"/>
      <c r="F88" s="264"/>
      <c r="G88" s="264"/>
      <c r="H88" s="264"/>
      <c r="I88" s="264"/>
      <c r="J88" s="264"/>
      <c r="K88" s="264"/>
    </row>
    <row r="89" spans="1:11" ht="13.5" customHeight="1">
      <c r="A89" s="264"/>
      <c r="B89" s="264"/>
      <c r="C89" s="264"/>
      <c r="D89" s="264"/>
      <c r="E89" s="264"/>
      <c r="F89" s="264"/>
      <c r="G89" s="264"/>
      <c r="H89" s="264"/>
      <c r="I89" s="264"/>
      <c r="J89" s="264"/>
      <c r="K89" s="264"/>
    </row>
    <row r="90" spans="1:11" ht="13.5" customHeight="1">
      <c r="A90" s="264"/>
      <c r="B90" s="264"/>
      <c r="C90" s="264"/>
      <c r="D90" s="264"/>
      <c r="E90" s="264"/>
      <c r="F90" s="264"/>
      <c r="G90" s="264"/>
      <c r="H90" s="264"/>
      <c r="I90" s="264"/>
      <c r="J90" s="264"/>
      <c r="K90" s="264"/>
    </row>
    <row r="91" spans="1:11" ht="13.5" customHeight="1">
      <c r="A91" s="264"/>
      <c r="B91" s="264"/>
      <c r="C91" s="264"/>
      <c r="D91" s="264"/>
      <c r="E91" s="264"/>
      <c r="F91" s="264"/>
      <c r="G91" s="264"/>
      <c r="H91" s="264"/>
      <c r="I91" s="264"/>
      <c r="J91" s="264"/>
      <c r="K91" s="264"/>
    </row>
    <row r="92" spans="1:11" ht="13.5" customHeight="1">
      <c r="A92" s="264"/>
      <c r="B92" s="264"/>
      <c r="C92" s="264"/>
      <c r="D92" s="264"/>
      <c r="E92" s="264"/>
      <c r="F92" s="264"/>
      <c r="G92" s="264"/>
      <c r="H92" s="264"/>
      <c r="I92" s="264"/>
      <c r="J92" s="264"/>
      <c r="K92" s="264"/>
    </row>
    <row r="93" spans="1:11" ht="13.5" customHeight="1">
      <c r="A93" s="264"/>
      <c r="B93" s="264"/>
      <c r="C93" s="264"/>
      <c r="D93" s="264"/>
      <c r="E93" s="264"/>
      <c r="F93" s="264"/>
      <c r="G93" s="264"/>
      <c r="H93" s="264"/>
      <c r="I93" s="264"/>
      <c r="J93" s="264"/>
      <c r="K93" s="264"/>
    </row>
    <row r="94" spans="1:11" ht="13.5" customHeight="1">
      <c r="A94" s="264"/>
      <c r="B94" s="264"/>
      <c r="C94" s="264"/>
      <c r="D94" s="264"/>
      <c r="E94" s="264"/>
      <c r="F94" s="264"/>
      <c r="G94" s="264"/>
      <c r="H94" s="264"/>
      <c r="I94" s="264"/>
      <c r="J94" s="264"/>
      <c r="K94" s="264"/>
    </row>
    <row r="95" spans="1:11" ht="13.5" customHeight="1">
      <c r="A95" s="264"/>
      <c r="B95" s="264"/>
      <c r="C95" s="264"/>
      <c r="D95" s="264"/>
      <c r="E95" s="264"/>
      <c r="F95" s="264"/>
      <c r="G95" s="264"/>
      <c r="H95" s="264"/>
      <c r="I95" s="264"/>
      <c r="J95" s="264"/>
      <c r="K95" s="264"/>
    </row>
    <row r="96" spans="1:11" ht="13.5" customHeight="1">
      <c r="A96" s="264"/>
      <c r="B96" s="264"/>
      <c r="C96" s="264"/>
      <c r="D96" s="264"/>
      <c r="E96" s="264"/>
      <c r="F96" s="264"/>
      <c r="G96" s="264"/>
      <c r="H96" s="264"/>
      <c r="I96" s="264"/>
      <c r="J96" s="264"/>
      <c r="K96" s="264"/>
    </row>
    <row r="97" spans="1:11" ht="13.5" customHeight="1">
      <c r="A97" s="264"/>
      <c r="B97" s="264"/>
      <c r="C97" s="264"/>
      <c r="D97" s="264"/>
      <c r="E97" s="264"/>
      <c r="F97" s="264"/>
      <c r="G97" s="264"/>
      <c r="H97" s="264"/>
      <c r="I97" s="264"/>
      <c r="J97" s="264"/>
      <c r="K97" s="264"/>
    </row>
    <row r="98" spans="1:11" ht="13.5" customHeight="1">
      <c r="A98" s="264"/>
      <c r="B98" s="264"/>
      <c r="C98" s="264"/>
      <c r="D98" s="264"/>
      <c r="E98" s="264"/>
      <c r="F98" s="264"/>
      <c r="G98" s="264"/>
      <c r="H98" s="264"/>
      <c r="I98" s="264"/>
      <c r="J98" s="264"/>
      <c r="K98" s="264"/>
    </row>
    <row r="99" spans="1:11" ht="13.5" customHeight="1">
      <c r="A99" s="264"/>
      <c r="B99" s="264"/>
      <c r="C99" s="264"/>
      <c r="D99" s="264"/>
      <c r="E99" s="264"/>
      <c r="F99" s="264"/>
      <c r="G99" s="264"/>
      <c r="H99" s="264"/>
      <c r="I99" s="264"/>
      <c r="J99" s="264"/>
      <c r="K99" s="264"/>
    </row>
    <row r="100" spans="1:11" ht="13.5" customHeight="1">
      <c r="A100" s="264"/>
      <c r="B100" s="264"/>
      <c r="C100" s="264"/>
      <c r="D100" s="264"/>
      <c r="E100" s="264"/>
      <c r="F100" s="264"/>
      <c r="G100" s="264"/>
      <c r="H100" s="264"/>
      <c r="I100" s="264"/>
      <c r="J100" s="264"/>
      <c r="K100" s="264"/>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517</v>
      </c>
      <c r="B1" s="90" t="s">
        <v>518</v>
      </c>
      <c r="C1" s="90" t="s">
        <v>519</v>
      </c>
      <c r="D1" s="90" t="s">
        <v>520</v>
      </c>
      <c r="E1" s="90" t="s">
        <v>498</v>
      </c>
      <c r="F1" s="90" t="s">
        <v>521</v>
      </c>
      <c r="G1" s="90" t="s">
        <v>522</v>
      </c>
      <c r="H1" s="90" t="s">
        <v>523</v>
      </c>
      <c r="I1" s="90" t="s">
        <v>489</v>
      </c>
      <c r="J1" s="273"/>
      <c r="K1" s="273"/>
    </row>
    <row r="2" spans="1:11" ht="13.5" customHeight="1">
      <c r="A2" s="88" t="s">
        <v>524</v>
      </c>
      <c r="B2" s="274" t="s">
        <v>525</v>
      </c>
      <c r="C2" s="88" t="s">
        <v>526</v>
      </c>
      <c r="D2" s="91" t="s">
        <v>527</v>
      </c>
      <c r="E2" s="275" t="s">
        <v>528</v>
      </c>
      <c r="F2" s="276" t="s">
        <v>529</v>
      </c>
      <c r="G2" s="277" t="s">
        <v>530</v>
      </c>
      <c r="H2" s="277" t="s">
        <v>531</v>
      </c>
      <c r="I2" s="276" t="s">
        <v>532</v>
      </c>
      <c r="J2" s="273"/>
      <c r="K2" s="273"/>
    </row>
    <row r="3" spans="1:11" ht="13.5" customHeight="1">
      <c r="A3" s="88" t="s">
        <v>533</v>
      </c>
      <c r="B3" s="274" t="s">
        <v>534</v>
      </c>
      <c r="C3" s="88" t="s">
        <v>535</v>
      </c>
      <c r="D3" s="278" t="s">
        <v>536</v>
      </c>
      <c r="E3" s="275" t="s">
        <v>537</v>
      </c>
      <c r="F3" s="276" t="s">
        <v>538</v>
      </c>
      <c r="G3" s="277" t="s">
        <v>539</v>
      </c>
      <c r="H3" s="277" t="s">
        <v>540</v>
      </c>
      <c r="I3" s="276" t="s">
        <v>541</v>
      </c>
      <c r="J3" s="263"/>
      <c r="K3" s="263"/>
    </row>
    <row r="4" spans="1:11" ht="13.5" customHeight="1">
      <c r="A4" s="88" t="s">
        <v>542</v>
      </c>
      <c r="B4" s="274" t="s">
        <v>543</v>
      </c>
      <c r="C4" s="88" t="s">
        <v>544</v>
      </c>
      <c r="D4" s="278" t="s">
        <v>545</v>
      </c>
      <c r="E4" s="275" t="s">
        <v>546</v>
      </c>
      <c r="F4" s="276" t="s">
        <v>547</v>
      </c>
      <c r="G4" s="277" t="s">
        <v>548</v>
      </c>
      <c r="H4" s="277" t="s">
        <v>549</v>
      </c>
      <c r="I4" s="276" t="s">
        <v>550</v>
      </c>
      <c r="J4" s="263"/>
      <c r="K4" s="263"/>
    </row>
    <row r="5" spans="1:11" ht="13.5" customHeight="1">
      <c r="A5" s="88" t="s">
        <v>551</v>
      </c>
      <c r="B5" s="274" t="s">
        <v>552</v>
      </c>
      <c r="C5" s="88" t="s">
        <v>553</v>
      </c>
      <c r="D5" s="278" t="s">
        <v>554</v>
      </c>
      <c r="E5" s="275" t="s">
        <v>555</v>
      </c>
      <c r="F5" s="276" t="s">
        <v>556</v>
      </c>
      <c r="G5" s="277" t="s">
        <v>557</v>
      </c>
      <c r="H5" s="277" t="s">
        <v>558</v>
      </c>
      <c r="I5" s="276" t="s">
        <v>559</v>
      </c>
      <c r="J5" s="263"/>
      <c r="K5" s="263"/>
    </row>
    <row r="6" spans="1:11" ht="27.75" customHeight="1">
      <c r="A6" s="88" t="s">
        <v>71</v>
      </c>
      <c r="B6" s="274" t="s">
        <v>560</v>
      </c>
      <c r="C6" s="88" t="s">
        <v>561</v>
      </c>
      <c r="D6" s="278" t="s">
        <v>562</v>
      </c>
      <c r="E6" s="275" t="s">
        <v>563</v>
      </c>
      <c r="F6" s="263"/>
      <c r="G6" s="277" t="s">
        <v>564</v>
      </c>
      <c r="H6" s="277" t="s">
        <v>565</v>
      </c>
      <c r="I6" s="276" t="s">
        <v>566</v>
      </c>
      <c r="J6" s="263"/>
      <c r="K6" s="263"/>
    </row>
    <row r="7" spans="1:11" ht="13.5" customHeight="1">
      <c r="A7" s="263"/>
      <c r="B7" s="274" t="s">
        <v>567</v>
      </c>
      <c r="C7" s="88" t="s">
        <v>568</v>
      </c>
      <c r="D7" s="278" t="s">
        <v>569</v>
      </c>
      <c r="E7" s="276" t="s">
        <v>570</v>
      </c>
      <c r="F7" s="263"/>
      <c r="G7" s="275" t="s">
        <v>571</v>
      </c>
      <c r="H7" s="277" t="s">
        <v>572</v>
      </c>
      <c r="I7" s="276" t="s">
        <v>573</v>
      </c>
      <c r="J7" s="263"/>
      <c r="K7" s="263"/>
    </row>
    <row r="8" spans="1:11" ht="27.75" customHeight="1">
      <c r="A8" s="92"/>
      <c r="B8" s="274" t="s">
        <v>574</v>
      </c>
      <c r="C8" s="88" t="s">
        <v>575</v>
      </c>
      <c r="D8" s="278" t="s">
        <v>576</v>
      </c>
      <c r="E8" s="276" t="s">
        <v>577</v>
      </c>
      <c r="F8" s="263"/>
      <c r="G8" s="263"/>
      <c r="H8" s="263"/>
      <c r="I8" s="276" t="s">
        <v>578</v>
      </c>
      <c r="J8" s="263"/>
      <c r="K8" s="263"/>
    </row>
    <row r="9" spans="1:11" ht="31.5" customHeight="1">
      <c r="A9" s="92"/>
      <c r="B9" s="274" t="s">
        <v>579</v>
      </c>
      <c r="C9" s="88" t="s">
        <v>580</v>
      </c>
      <c r="D9" s="278" t="s">
        <v>581</v>
      </c>
      <c r="E9" s="276" t="s">
        <v>582</v>
      </c>
      <c r="F9" s="263"/>
      <c r="G9" s="263"/>
      <c r="H9" s="263"/>
      <c r="I9" s="276" t="s">
        <v>583</v>
      </c>
      <c r="J9" s="263"/>
      <c r="K9" s="263"/>
    </row>
    <row r="10" spans="1:11" ht="13.5" customHeight="1">
      <c r="A10" s="92"/>
      <c r="B10" s="274" t="s">
        <v>584</v>
      </c>
      <c r="C10" s="88" t="s">
        <v>585</v>
      </c>
      <c r="D10" s="278" t="s">
        <v>586</v>
      </c>
      <c r="E10" s="276" t="s">
        <v>587</v>
      </c>
      <c r="F10" s="263"/>
      <c r="G10" s="263"/>
      <c r="H10" s="263"/>
      <c r="I10" s="276" t="s">
        <v>588</v>
      </c>
      <c r="J10" s="263"/>
      <c r="K10" s="263"/>
    </row>
    <row r="11" spans="1:11" ht="13.5" customHeight="1">
      <c r="A11" s="92"/>
      <c r="B11" s="274" t="s">
        <v>589</v>
      </c>
      <c r="C11" s="88" t="s">
        <v>590</v>
      </c>
      <c r="D11" s="278" t="s">
        <v>591</v>
      </c>
      <c r="E11" s="276" t="s">
        <v>592</v>
      </c>
      <c r="F11" s="263"/>
      <c r="G11" s="263"/>
      <c r="H11" s="263"/>
      <c r="I11" s="276" t="s">
        <v>593</v>
      </c>
      <c r="J11" s="263"/>
      <c r="K11" s="263"/>
    </row>
    <row r="12" spans="1:11" ht="27.75" customHeight="1">
      <c r="A12" s="92"/>
      <c r="B12" s="274" t="s">
        <v>594</v>
      </c>
      <c r="C12" s="88" t="s">
        <v>595</v>
      </c>
      <c r="D12" s="278" t="s">
        <v>596</v>
      </c>
      <c r="E12" s="276" t="s">
        <v>597</v>
      </c>
      <c r="F12" s="263"/>
      <c r="G12" s="263"/>
      <c r="H12" s="263"/>
      <c r="I12" s="276" t="s">
        <v>598</v>
      </c>
      <c r="J12" s="263"/>
      <c r="K12" s="263"/>
    </row>
    <row r="13" spans="1:11" ht="13.5" customHeight="1">
      <c r="A13" s="92"/>
      <c r="B13" s="93" t="s">
        <v>599</v>
      </c>
      <c r="C13" s="263"/>
      <c r="D13" s="278" t="s">
        <v>600</v>
      </c>
      <c r="E13" s="276" t="s">
        <v>601</v>
      </c>
      <c r="F13" s="263"/>
      <c r="G13" s="263"/>
      <c r="H13" s="263"/>
      <c r="I13" s="276" t="s">
        <v>602</v>
      </c>
      <c r="J13" s="263"/>
      <c r="K13" s="263"/>
    </row>
    <row r="14" spans="1:11" ht="13.5" customHeight="1">
      <c r="A14" s="92"/>
      <c r="B14" s="274" t="s">
        <v>603</v>
      </c>
      <c r="C14" s="92"/>
      <c r="D14" s="278" t="s">
        <v>604</v>
      </c>
      <c r="E14" s="276" t="s">
        <v>605</v>
      </c>
      <c r="F14" s="263"/>
      <c r="G14" s="263"/>
      <c r="H14" s="263"/>
      <c r="I14" s="263"/>
      <c r="J14" s="263"/>
      <c r="K14" s="263"/>
    </row>
    <row r="15" spans="1:11" ht="13.5" customHeight="1">
      <c r="A15" s="92"/>
      <c r="B15" s="274" t="s">
        <v>606</v>
      </c>
      <c r="C15" s="92"/>
      <c r="D15" s="278" t="s">
        <v>607</v>
      </c>
      <c r="E15" s="276" t="s">
        <v>608</v>
      </c>
      <c r="F15" s="263"/>
      <c r="G15" s="263"/>
      <c r="H15" s="263"/>
      <c r="I15" s="263"/>
      <c r="J15" s="263"/>
      <c r="K15" s="263"/>
    </row>
    <row r="16" spans="1:11" ht="13.5" customHeight="1">
      <c r="A16" s="92"/>
      <c r="B16" s="274" t="s">
        <v>609</v>
      </c>
      <c r="C16" s="92"/>
      <c r="D16" s="278" t="s">
        <v>610</v>
      </c>
      <c r="E16" s="279"/>
      <c r="F16" s="263"/>
      <c r="G16" s="263"/>
      <c r="H16" s="263"/>
      <c r="I16" s="263"/>
      <c r="J16" s="263"/>
      <c r="K16" s="263"/>
    </row>
    <row r="17" spans="1:11" ht="13.5" customHeight="1">
      <c r="A17" s="92"/>
      <c r="B17" s="274" t="s">
        <v>611</v>
      </c>
      <c r="C17" s="92"/>
      <c r="D17" s="278" t="s">
        <v>612</v>
      </c>
      <c r="E17" s="279"/>
      <c r="F17" s="263"/>
      <c r="G17" s="263"/>
      <c r="H17" s="263"/>
      <c r="I17" s="263"/>
      <c r="J17" s="263"/>
      <c r="K17" s="263"/>
    </row>
    <row r="18" spans="1:11" ht="13.5" customHeight="1">
      <c r="A18" s="92"/>
      <c r="B18" s="274" t="s">
        <v>613</v>
      </c>
      <c r="C18" s="92"/>
      <c r="D18" s="278" t="s">
        <v>614</v>
      </c>
      <c r="E18" s="279"/>
      <c r="F18" s="263"/>
      <c r="G18" s="263"/>
      <c r="H18" s="263"/>
      <c r="I18" s="263"/>
      <c r="J18" s="263"/>
      <c r="K18" s="263"/>
    </row>
    <row r="19" spans="1:11" ht="13.5" customHeight="1">
      <c r="A19" s="92"/>
      <c r="B19" s="274" t="s">
        <v>615</v>
      </c>
      <c r="C19" s="92"/>
      <c r="D19" s="278" t="s">
        <v>616</v>
      </c>
      <c r="E19" s="279"/>
      <c r="F19" s="263"/>
      <c r="G19" s="263"/>
      <c r="H19" s="263"/>
      <c r="I19" s="263"/>
      <c r="J19" s="263"/>
      <c r="K19" s="263"/>
    </row>
    <row r="20" spans="1:11" ht="13.5" customHeight="1">
      <c r="A20" s="92"/>
      <c r="B20" s="274" t="s">
        <v>617</v>
      </c>
      <c r="C20" s="92"/>
      <c r="D20" s="278" t="s">
        <v>618</v>
      </c>
      <c r="E20" s="279"/>
      <c r="F20" s="263"/>
      <c r="G20" s="263"/>
      <c r="H20" s="263"/>
      <c r="I20" s="263"/>
      <c r="J20" s="263"/>
      <c r="K20" s="263"/>
    </row>
    <row r="21" spans="1:11" ht="13.5" customHeight="1">
      <c r="A21" s="263"/>
      <c r="B21" s="274" t="s">
        <v>619</v>
      </c>
      <c r="C21" s="263"/>
      <c r="D21" s="278" t="s">
        <v>620</v>
      </c>
      <c r="E21" s="279"/>
      <c r="F21" s="263"/>
      <c r="G21" s="263"/>
      <c r="H21" s="263"/>
      <c r="I21" s="263"/>
      <c r="J21" s="263"/>
      <c r="K21" s="263"/>
    </row>
    <row r="22" spans="1:11" ht="13.5" customHeight="1">
      <c r="A22" s="263"/>
      <c r="B22" s="274" t="s">
        <v>621</v>
      </c>
      <c r="C22" s="263"/>
      <c r="D22" s="278" t="s">
        <v>622</v>
      </c>
      <c r="E22" s="279"/>
      <c r="F22" s="263"/>
      <c r="G22" s="263"/>
      <c r="H22" s="263"/>
      <c r="I22" s="263"/>
      <c r="J22" s="263"/>
      <c r="K22" s="263"/>
    </row>
    <row r="23" spans="1:11" ht="13.5" customHeight="1">
      <c r="A23" s="263"/>
      <c r="B23" s="274" t="s">
        <v>623</v>
      </c>
      <c r="C23" s="263"/>
      <c r="D23" s="278" t="s">
        <v>624</v>
      </c>
      <c r="E23" s="279"/>
      <c r="F23" s="263"/>
      <c r="G23" s="263"/>
      <c r="H23" s="263"/>
      <c r="I23" s="263"/>
      <c r="J23" s="263"/>
      <c r="K23" s="263"/>
    </row>
    <row r="24" spans="1:11" ht="13.5" customHeight="1">
      <c r="A24" s="263"/>
      <c r="B24" s="263"/>
      <c r="C24" s="263"/>
      <c r="D24" s="280" t="s">
        <v>625</v>
      </c>
      <c r="E24" s="280" t="s">
        <v>626</v>
      </c>
      <c r="F24" s="263"/>
      <c r="G24" s="263"/>
      <c r="H24" s="263"/>
      <c r="I24" s="263"/>
      <c r="J24" s="263"/>
      <c r="K24" s="263"/>
    </row>
    <row r="25" spans="1:11" ht="13.5" customHeight="1">
      <c r="A25" s="263"/>
      <c r="B25" s="263"/>
      <c r="C25" s="263"/>
      <c r="D25" s="281" t="s">
        <v>627</v>
      </c>
      <c r="E25" s="276" t="s">
        <v>628</v>
      </c>
      <c r="F25" s="263"/>
      <c r="G25" s="263"/>
      <c r="H25" s="263"/>
      <c r="I25" s="263"/>
      <c r="J25" s="263"/>
      <c r="K25" s="263"/>
    </row>
    <row r="26" spans="1:11" ht="13.5" customHeight="1">
      <c r="A26" s="263"/>
      <c r="B26" s="263"/>
      <c r="C26" s="263"/>
      <c r="D26" s="281" t="s">
        <v>629</v>
      </c>
      <c r="E26" s="276" t="s">
        <v>630</v>
      </c>
      <c r="F26" s="263"/>
      <c r="G26" s="263"/>
      <c r="H26" s="263"/>
      <c r="I26" s="263"/>
      <c r="J26" s="263"/>
      <c r="K26" s="263"/>
    </row>
    <row r="27" spans="1:11" ht="13.5" customHeight="1">
      <c r="A27" s="263"/>
      <c r="B27" s="263"/>
      <c r="C27" s="263"/>
      <c r="D27" s="925" t="s">
        <v>631</v>
      </c>
      <c r="E27" s="276" t="s">
        <v>632</v>
      </c>
      <c r="F27" s="263"/>
      <c r="G27" s="263"/>
      <c r="H27" s="263"/>
      <c r="I27" s="263"/>
      <c r="J27" s="263"/>
      <c r="K27" s="263"/>
    </row>
    <row r="28" spans="1:11" ht="13.5" customHeight="1">
      <c r="A28" s="263"/>
      <c r="B28" s="263"/>
      <c r="C28" s="263"/>
      <c r="D28" s="804"/>
      <c r="E28" s="276" t="s">
        <v>633</v>
      </c>
      <c r="F28" s="263"/>
      <c r="G28" s="263"/>
      <c r="H28" s="263"/>
      <c r="I28" s="263"/>
      <c r="J28" s="263"/>
      <c r="K28" s="263"/>
    </row>
    <row r="29" spans="1:11" ht="13.5" customHeight="1">
      <c r="A29" s="263"/>
      <c r="B29" s="263"/>
      <c r="C29" s="263"/>
      <c r="D29" s="804"/>
      <c r="E29" s="276" t="s">
        <v>634</v>
      </c>
      <c r="F29" s="263"/>
      <c r="G29" s="263"/>
      <c r="H29" s="263"/>
      <c r="I29" s="263"/>
      <c r="J29" s="263"/>
      <c r="K29" s="263"/>
    </row>
    <row r="30" spans="1:11" ht="13.5" customHeight="1">
      <c r="A30" s="263"/>
      <c r="B30" s="263"/>
      <c r="C30" s="263"/>
      <c r="D30" s="712"/>
      <c r="E30" s="276" t="s">
        <v>635</v>
      </c>
      <c r="F30" s="263"/>
      <c r="G30" s="263"/>
      <c r="H30" s="263"/>
      <c r="I30" s="263"/>
      <c r="J30" s="263"/>
      <c r="K30" s="263"/>
    </row>
    <row r="31" spans="1:11" ht="13.5" customHeight="1">
      <c r="A31" s="263"/>
      <c r="B31" s="263"/>
      <c r="C31" s="263"/>
      <c r="D31" s="281" t="s">
        <v>636</v>
      </c>
      <c r="E31" s="276" t="s">
        <v>637</v>
      </c>
      <c r="F31" s="263"/>
      <c r="G31" s="263"/>
      <c r="H31" s="263"/>
      <c r="I31" s="263"/>
      <c r="J31" s="263"/>
      <c r="K31" s="263"/>
    </row>
    <row r="32" spans="1:11" ht="13.5" customHeight="1">
      <c r="A32" s="263"/>
      <c r="B32" s="263"/>
      <c r="C32" s="263"/>
      <c r="D32" s="281" t="s">
        <v>638</v>
      </c>
      <c r="E32" s="276" t="s">
        <v>639</v>
      </c>
      <c r="F32" s="263"/>
      <c r="G32" s="263"/>
      <c r="H32" s="263"/>
      <c r="I32" s="263"/>
      <c r="J32" s="263"/>
      <c r="K32" s="263"/>
    </row>
    <row r="33" spans="1:11" ht="13.5" customHeight="1">
      <c r="A33" s="263"/>
      <c r="B33" s="263"/>
      <c r="C33" s="263"/>
      <c r="D33" s="281" t="s">
        <v>640</v>
      </c>
      <c r="E33" s="276" t="s">
        <v>641</v>
      </c>
      <c r="F33" s="263"/>
      <c r="G33" s="263"/>
      <c r="H33" s="263"/>
      <c r="I33" s="263"/>
      <c r="J33" s="263"/>
      <c r="K33" s="263"/>
    </row>
    <row r="34" spans="1:11" ht="13.5" customHeight="1">
      <c r="A34" s="263"/>
      <c r="B34" s="263"/>
      <c r="C34" s="263"/>
      <c r="D34" s="281" t="s">
        <v>642</v>
      </c>
      <c r="E34" s="276" t="s">
        <v>643</v>
      </c>
      <c r="F34" s="263"/>
      <c r="G34" s="263"/>
      <c r="H34" s="263"/>
      <c r="I34" s="263"/>
      <c r="J34" s="263"/>
      <c r="K34" s="263"/>
    </row>
    <row r="35" spans="1:11" ht="13.5" customHeight="1">
      <c r="A35" s="263"/>
      <c r="B35" s="263"/>
      <c r="C35" s="263"/>
      <c r="D35" s="281" t="s">
        <v>644</v>
      </c>
      <c r="E35" s="276" t="s">
        <v>645</v>
      </c>
      <c r="F35" s="263"/>
      <c r="G35" s="263"/>
      <c r="H35" s="263"/>
      <c r="I35" s="263"/>
      <c r="J35" s="263"/>
      <c r="K35" s="263"/>
    </row>
    <row r="36" spans="1:11" ht="13.5" customHeight="1">
      <c r="A36" s="263"/>
      <c r="B36" s="263"/>
      <c r="C36" s="263"/>
      <c r="D36" s="281" t="s">
        <v>646</v>
      </c>
      <c r="E36" s="276" t="s">
        <v>647</v>
      </c>
      <c r="F36" s="263"/>
      <c r="G36" s="263"/>
      <c r="H36" s="263"/>
      <c r="I36" s="263"/>
      <c r="J36" s="263"/>
      <c r="K36" s="263"/>
    </row>
    <row r="37" spans="1:11" ht="13.5" customHeight="1">
      <c r="A37" s="263"/>
      <c r="B37" s="263"/>
      <c r="C37" s="263"/>
      <c r="D37" s="281" t="s">
        <v>648</v>
      </c>
      <c r="E37" s="276" t="s">
        <v>649</v>
      </c>
      <c r="F37" s="263"/>
      <c r="G37" s="263"/>
      <c r="H37" s="263"/>
      <c r="I37" s="263"/>
      <c r="J37" s="263"/>
      <c r="K37" s="263"/>
    </row>
    <row r="38" spans="1:11" ht="13.5" customHeight="1">
      <c r="A38" s="263"/>
      <c r="B38" s="263"/>
      <c r="C38" s="263"/>
      <c r="D38" s="281" t="s">
        <v>650</v>
      </c>
      <c r="E38" s="276" t="s">
        <v>651</v>
      </c>
      <c r="F38" s="263"/>
      <c r="G38" s="263"/>
      <c r="H38" s="263"/>
      <c r="I38" s="263"/>
      <c r="J38" s="263"/>
      <c r="K38" s="263"/>
    </row>
    <row r="39" spans="1:11" ht="13.5" customHeight="1">
      <c r="A39" s="263"/>
      <c r="B39" s="263"/>
      <c r="C39" s="263"/>
      <c r="D39" s="282" t="s">
        <v>652</v>
      </c>
      <c r="E39" s="276" t="s">
        <v>653</v>
      </c>
      <c r="F39" s="263"/>
      <c r="G39" s="263"/>
      <c r="H39" s="263"/>
      <c r="I39" s="263"/>
      <c r="J39" s="263"/>
      <c r="K39" s="263"/>
    </row>
    <row r="40" spans="1:11" ht="13.5" customHeight="1">
      <c r="A40" s="263"/>
      <c r="B40" s="263"/>
      <c r="C40" s="263"/>
      <c r="D40" s="282" t="s">
        <v>654</v>
      </c>
      <c r="E40" s="276" t="s">
        <v>655</v>
      </c>
      <c r="F40" s="263"/>
      <c r="G40" s="263"/>
      <c r="H40" s="263"/>
      <c r="I40" s="263"/>
      <c r="J40" s="263"/>
      <c r="K40" s="263"/>
    </row>
    <row r="41" spans="1:11" ht="13.5" customHeight="1">
      <c r="A41" s="263"/>
      <c r="B41" s="263"/>
      <c r="C41" s="263"/>
      <c r="D41" s="281" t="s">
        <v>656</v>
      </c>
      <c r="E41" s="276" t="s">
        <v>657</v>
      </c>
      <c r="F41" s="263"/>
      <c r="G41" s="263"/>
      <c r="H41" s="263"/>
      <c r="I41" s="263"/>
      <c r="J41" s="263"/>
      <c r="K41" s="263"/>
    </row>
    <row r="42" spans="1:11" ht="13.5" customHeight="1">
      <c r="A42" s="263"/>
      <c r="B42" s="263"/>
      <c r="C42" s="263"/>
      <c r="D42" s="281" t="s">
        <v>658</v>
      </c>
      <c r="E42" s="276" t="s">
        <v>659</v>
      </c>
      <c r="F42" s="263"/>
      <c r="G42" s="263"/>
      <c r="H42" s="263"/>
      <c r="I42" s="263"/>
      <c r="J42" s="263"/>
      <c r="K42" s="263"/>
    </row>
    <row r="43" spans="1:11" ht="13.5" customHeight="1">
      <c r="A43" s="263"/>
      <c r="B43" s="263"/>
      <c r="C43" s="263"/>
      <c r="D43" s="282" t="s">
        <v>660</v>
      </c>
      <c r="E43" s="276" t="s">
        <v>661</v>
      </c>
      <c r="F43" s="263"/>
      <c r="G43" s="263"/>
      <c r="H43" s="263"/>
      <c r="I43" s="263"/>
      <c r="J43" s="263"/>
      <c r="K43" s="263"/>
    </row>
    <row r="44" spans="1:11" ht="13.5" customHeight="1">
      <c r="A44" s="263"/>
      <c r="B44" s="263"/>
      <c r="C44" s="263"/>
      <c r="D44" s="283" t="s">
        <v>662</v>
      </c>
      <c r="E44" s="276" t="s">
        <v>663</v>
      </c>
      <c r="F44" s="263"/>
      <c r="G44" s="263"/>
      <c r="H44" s="263"/>
      <c r="I44" s="263"/>
      <c r="J44" s="263"/>
      <c r="K44" s="263"/>
    </row>
    <row r="45" spans="1:11" ht="13.5" customHeight="1">
      <c r="A45" s="263"/>
      <c r="B45" s="263"/>
      <c r="C45" s="263"/>
      <c r="D45" s="278" t="s">
        <v>664</v>
      </c>
      <c r="E45" s="276" t="s">
        <v>665</v>
      </c>
      <c r="F45" s="263"/>
      <c r="G45" s="263"/>
      <c r="H45" s="263"/>
      <c r="I45" s="263"/>
      <c r="J45" s="263"/>
      <c r="K45" s="263"/>
    </row>
    <row r="46" spans="1:11" ht="13.5" customHeight="1">
      <c r="A46" s="263"/>
      <c r="B46" s="263"/>
      <c r="C46" s="263"/>
      <c r="D46" s="278" t="s">
        <v>666</v>
      </c>
      <c r="E46" s="276" t="s">
        <v>667</v>
      </c>
      <c r="F46" s="263"/>
      <c r="G46" s="263"/>
      <c r="H46" s="263"/>
      <c r="I46" s="263"/>
      <c r="J46" s="263"/>
      <c r="K46" s="263"/>
    </row>
    <row r="47" spans="1:11" ht="13.5" customHeight="1">
      <c r="A47" s="263"/>
      <c r="B47" s="263"/>
      <c r="C47" s="263"/>
      <c r="D47" s="278" t="s">
        <v>668</v>
      </c>
      <c r="E47" s="276" t="s">
        <v>669</v>
      </c>
      <c r="F47" s="263"/>
      <c r="G47" s="263"/>
      <c r="H47" s="263"/>
      <c r="I47" s="263"/>
      <c r="J47" s="263"/>
      <c r="K47" s="263"/>
    </row>
    <row r="48" spans="1:11" ht="13.5" customHeight="1">
      <c r="A48" s="263"/>
      <c r="B48" s="263"/>
      <c r="C48" s="263"/>
      <c r="D48" s="278" t="s">
        <v>670</v>
      </c>
      <c r="E48" s="276" t="s">
        <v>671</v>
      </c>
      <c r="F48" s="263"/>
      <c r="G48" s="263"/>
      <c r="H48" s="263"/>
      <c r="I48" s="263"/>
      <c r="J48" s="263"/>
      <c r="K48" s="263"/>
    </row>
    <row r="49" spans="1:11" ht="13.5" customHeight="1">
      <c r="A49" s="263"/>
      <c r="B49" s="263"/>
      <c r="C49" s="263"/>
      <c r="D49" s="280" t="s">
        <v>672</v>
      </c>
      <c r="E49" s="264"/>
      <c r="F49" s="263"/>
      <c r="G49" s="263"/>
      <c r="H49" s="263"/>
      <c r="I49" s="263"/>
      <c r="J49" s="263"/>
      <c r="K49" s="263"/>
    </row>
    <row r="50" spans="1:11" ht="13.5" customHeight="1">
      <c r="A50" s="263"/>
      <c r="B50" s="263"/>
      <c r="C50" s="263"/>
      <c r="D50" s="278" t="s">
        <v>673</v>
      </c>
      <c r="E50" s="264"/>
      <c r="F50" s="263"/>
      <c r="G50" s="263"/>
      <c r="H50" s="263"/>
      <c r="I50" s="263"/>
      <c r="J50" s="263"/>
      <c r="K50" s="263"/>
    </row>
    <row r="51" spans="1:11" ht="13.5" customHeight="1">
      <c r="A51" s="263"/>
      <c r="B51" s="263"/>
      <c r="C51" s="263"/>
      <c r="D51" s="278" t="s">
        <v>674</v>
      </c>
      <c r="E51" s="264"/>
      <c r="F51" s="263"/>
      <c r="G51" s="263"/>
      <c r="H51" s="263"/>
      <c r="I51" s="263"/>
      <c r="J51" s="263"/>
      <c r="K51" s="263"/>
    </row>
    <row r="52" spans="1:11" ht="13.5" customHeight="1">
      <c r="A52" s="263"/>
      <c r="B52" s="263"/>
      <c r="C52" s="263"/>
      <c r="D52" s="280" t="s">
        <v>675</v>
      </c>
      <c r="E52" s="264"/>
      <c r="F52" s="263"/>
      <c r="G52" s="263"/>
      <c r="H52" s="263"/>
      <c r="I52" s="263"/>
      <c r="J52" s="263"/>
      <c r="K52" s="263"/>
    </row>
    <row r="53" spans="1:11" ht="13.5" customHeight="1">
      <c r="A53" s="263"/>
      <c r="B53" s="263"/>
      <c r="C53" s="263"/>
      <c r="D53" s="283" t="s">
        <v>676</v>
      </c>
      <c r="E53" s="264"/>
      <c r="F53" s="263"/>
      <c r="G53" s="263"/>
      <c r="H53" s="263"/>
      <c r="I53" s="263"/>
      <c r="J53" s="263"/>
      <c r="K53" s="263"/>
    </row>
    <row r="54" spans="1:11" ht="13.5" customHeight="1">
      <c r="A54" s="263"/>
      <c r="B54" s="263"/>
      <c r="C54" s="263"/>
      <c r="D54" s="283" t="s">
        <v>677</v>
      </c>
      <c r="E54" s="264"/>
      <c r="F54" s="263"/>
      <c r="G54" s="263"/>
      <c r="H54" s="263"/>
      <c r="I54" s="263"/>
      <c r="J54" s="263"/>
      <c r="K54" s="263"/>
    </row>
    <row r="55" spans="1:11" ht="13.5" customHeight="1">
      <c r="A55" s="263"/>
      <c r="B55" s="263"/>
      <c r="C55" s="263"/>
      <c r="D55" s="283" t="s">
        <v>678</v>
      </c>
      <c r="E55" s="264"/>
      <c r="F55" s="263"/>
      <c r="G55" s="263"/>
      <c r="H55" s="263"/>
      <c r="I55" s="263"/>
      <c r="J55" s="263"/>
      <c r="K55" s="263"/>
    </row>
    <row r="56" spans="1:11" ht="13.5" customHeight="1">
      <c r="A56" s="263"/>
      <c r="B56" s="263"/>
      <c r="C56" s="263"/>
      <c r="D56" s="283" t="s">
        <v>679</v>
      </c>
      <c r="E56" s="264"/>
      <c r="F56" s="263"/>
      <c r="G56" s="263"/>
      <c r="H56" s="263"/>
      <c r="I56" s="263"/>
      <c r="J56" s="263"/>
      <c r="K56" s="263"/>
    </row>
    <row r="57" spans="1:11" ht="13.5" customHeight="1">
      <c r="A57" s="263"/>
      <c r="B57" s="263"/>
      <c r="C57" s="263"/>
      <c r="D57" s="263"/>
      <c r="E57" s="264"/>
      <c r="F57" s="263"/>
      <c r="G57" s="263"/>
      <c r="H57" s="263"/>
      <c r="I57" s="263"/>
      <c r="J57" s="263"/>
      <c r="K57" s="263"/>
    </row>
    <row r="58" spans="1:11" ht="13.5" customHeight="1">
      <c r="A58" s="263"/>
      <c r="B58" s="263"/>
      <c r="C58" s="263"/>
      <c r="D58" s="263"/>
      <c r="E58" s="264"/>
      <c r="F58" s="263"/>
      <c r="G58" s="263"/>
      <c r="H58" s="263"/>
      <c r="I58" s="263"/>
      <c r="J58" s="263"/>
      <c r="K58" s="263"/>
    </row>
    <row r="59" spans="1:11" ht="13.5" customHeight="1">
      <c r="A59" s="263"/>
      <c r="B59" s="263"/>
      <c r="C59" s="263"/>
      <c r="D59" s="263"/>
      <c r="E59" s="264"/>
      <c r="F59" s="263"/>
      <c r="G59" s="263"/>
      <c r="H59" s="263"/>
      <c r="I59" s="263"/>
      <c r="J59" s="263"/>
      <c r="K59" s="263"/>
    </row>
    <row r="60" spans="1:11" ht="13.5" customHeight="1">
      <c r="A60" s="263"/>
      <c r="B60" s="263"/>
      <c r="C60" s="263"/>
      <c r="D60" s="263"/>
      <c r="E60" s="264"/>
      <c r="F60" s="263"/>
      <c r="G60" s="263"/>
      <c r="H60" s="263"/>
      <c r="I60" s="263"/>
      <c r="J60" s="263"/>
      <c r="K60" s="263"/>
    </row>
    <row r="61" spans="1:11" ht="13.5" customHeight="1">
      <c r="A61" s="263"/>
      <c r="B61" s="263"/>
      <c r="C61" s="263"/>
      <c r="D61" s="263"/>
      <c r="E61" s="264"/>
      <c r="F61" s="263"/>
      <c r="G61" s="263"/>
      <c r="H61" s="263"/>
      <c r="I61" s="263"/>
      <c r="J61" s="263"/>
      <c r="K61" s="263"/>
    </row>
    <row r="62" spans="1:11" ht="13.5" customHeight="1">
      <c r="A62" s="263"/>
      <c r="B62" s="263"/>
      <c r="C62" s="263"/>
      <c r="D62" s="263"/>
      <c r="E62" s="264"/>
      <c r="F62" s="263"/>
      <c r="G62" s="263"/>
      <c r="H62" s="263"/>
      <c r="I62" s="263"/>
      <c r="J62" s="263"/>
      <c r="K62" s="263"/>
    </row>
    <row r="63" spans="1:11" ht="13.5" customHeight="1">
      <c r="A63" s="263"/>
      <c r="B63" s="263"/>
      <c r="C63" s="263"/>
      <c r="D63" s="263"/>
      <c r="E63" s="264"/>
      <c r="F63" s="263"/>
      <c r="G63" s="263"/>
      <c r="H63" s="263"/>
      <c r="I63" s="263"/>
      <c r="J63" s="263"/>
      <c r="K63" s="263"/>
    </row>
    <row r="64" spans="1:11" ht="13.5" customHeight="1">
      <c r="A64" s="263"/>
      <c r="B64" s="263"/>
      <c r="C64" s="263"/>
      <c r="D64" s="263"/>
      <c r="E64" s="264"/>
      <c r="F64" s="263"/>
      <c r="G64" s="263"/>
      <c r="H64" s="263"/>
      <c r="I64" s="263"/>
      <c r="J64" s="263"/>
      <c r="K64" s="263"/>
    </row>
    <row r="65" spans="1:11" ht="13.5" customHeight="1">
      <c r="A65" s="263"/>
      <c r="B65" s="263"/>
      <c r="C65" s="263"/>
      <c r="D65" s="263"/>
      <c r="E65" s="264"/>
      <c r="F65" s="263"/>
      <c r="G65" s="263"/>
      <c r="H65" s="263"/>
      <c r="I65" s="263"/>
      <c r="J65" s="263"/>
      <c r="K65" s="263"/>
    </row>
    <row r="66" spans="1:11" ht="13.5" customHeight="1">
      <c r="A66" s="263"/>
      <c r="B66" s="263"/>
      <c r="C66" s="263"/>
      <c r="D66" s="263"/>
      <c r="E66" s="264"/>
      <c r="F66" s="263"/>
      <c r="G66" s="263"/>
      <c r="H66" s="263"/>
      <c r="I66" s="263"/>
      <c r="J66" s="263"/>
      <c r="K66" s="263"/>
    </row>
    <row r="67" spans="1:11" ht="13.5" customHeight="1">
      <c r="A67" s="263"/>
      <c r="B67" s="263"/>
      <c r="C67" s="263"/>
      <c r="D67" s="263"/>
      <c r="E67" s="264"/>
      <c r="F67" s="263"/>
      <c r="G67" s="263"/>
      <c r="H67" s="263"/>
      <c r="I67" s="263"/>
      <c r="J67" s="263"/>
      <c r="K67" s="263"/>
    </row>
    <row r="68" spans="1:11" ht="13.5" customHeight="1">
      <c r="A68" s="263"/>
      <c r="B68" s="263"/>
      <c r="C68" s="263"/>
      <c r="D68" s="263"/>
      <c r="E68" s="264"/>
      <c r="F68" s="263"/>
      <c r="G68" s="263"/>
      <c r="H68" s="263"/>
      <c r="I68" s="263"/>
      <c r="J68" s="263"/>
      <c r="K68" s="263"/>
    </row>
    <row r="69" spans="1:11" ht="13.5" customHeight="1">
      <c r="A69" s="263"/>
      <c r="B69" s="263"/>
      <c r="C69" s="263"/>
      <c r="D69" s="263"/>
      <c r="E69" s="264"/>
      <c r="F69" s="263"/>
      <c r="G69" s="263"/>
      <c r="H69" s="263"/>
      <c r="I69" s="263"/>
      <c r="J69" s="263"/>
      <c r="K69" s="263"/>
    </row>
    <row r="70" spans="1:11" ht="13.5" customHeight="1">
      <c r="A70" s="263"/>
      <c r="B70" s="263"/>
      <c r="C70" s="263"/>
      <c r="D70" s="263"/>
      <c r="E70" s="264"/>
      <c r="F70" s="263"/>
      <c r="G70" s="263"/>
      <c r="H70" s="263"/>
      <c r="I70" s="263"/>
      <c r="J70" s="263"/>
      <c r="K70" s="263"/>
    </row>
    <row r="71" spans="1:11" ht="13.5" customHeight="1">
      <c r="A71" s="263"/>
      <c r="B71" s="263"/>
      <c r="C71" s="263"/>
      <c r="D71" s="263"/>
      <c r="E71" s="264"/>
      <c r="F71" s="263"/>
      <c r="G71" s="263"/>
      <c r="H71" s="263"/>
      <c r="I71" s="263"/>
      <c r="J71" s="263"/>
      <c r="K71" s="263"/>
    </row>
    <row r="72" spans="1:11" ht="13.5" customHeight="1">
      <c r="A72" s="263"/>
      <c r="B72" s="263"/>
      <c r="C72" s="263"/>
      <c r="D72" s="263"/>
      <c r="E72" s="264"/>
      <c r="F72" s="263"/>
      <c r="G72" s="263"/>
      <c r="H72" s="263"/>
      <c r="I72" s="263"/>
      <c r="J72" s="263"/>
      <c r="K72" s="263"/>
    </row>
    <row r="73" spans="1:11" ht="13.5" customHeight="1">
      <c r="A73" s="263"/>
      <c r="B73" s="263"/>
      <c r="C73" s="263"/>
      <c r="D73" s="263"/>
      <c r="E73" s="264"/>
      <c r="F73" s="263"/>
      <c r="G73" s="263"/>
      <c r="H73" s="263"/>
      <c r="I73" s="263"/>
      <c r="J73" s="263"/>
      <c r="K73" s="263"/>
    </row>
    <row r="74" spans="1:11" ht="13.5" customHeight="1">
      <c r="A74" s="263"/>
      <c r="B74" s="263"/>
      <c r="C74" s="263"/>
      <c r="D74" s="263"/>
      <c r="E74" s="264"/>
      <c r="F74" s="263"/>
      <c r="G74" s="263"/>
      <c r="H74" s="263"/>
      <c r="I74" s="263"/>
      <c r="J74" s="263"/>
      <c r="K74" s="263"/>
    </row>
    <row r="75" spans="1:11" ht="13.5" customHeight="1">
      <c r="A75" s="263"/>
      <c r="B75" s="263"/>
      <c r="C75" s="263"/>
      <c r="D75" s="263"/>
      <c r="E75" s="264"/>
      <c r="F75" s="263"/>
      <c r="G75" s="263"/>
      <c r="H75" s="263"/>
      <c r="I75" s="263"/>
      <c r="J75" s="263"/>
      <c r="K75" s="263"/>
    </row>
    <row r="76" spans="1:11" ht="13.5" customHeight="1">
      <c r="A76" s="263"/>
      <c r="B76" s="263"/>
      <c r="C76" s="263"/>
      <c r="D76" s="263"/>
      <c r="E76" s="264"/>
      <c r="F76" s="263"/>
      <c r="G76" s="263"/>
      <c r="H76" s="263"/>
      <c r="I76" s="263"/>
      <c r="J76" s="263"/>
      <c r="K76" s="263"/>
    </row>
    <row r="77" spans="1:11" ht="13.5" customHeight="1">
      <c r="A77" s="263"/>
      <c r="B77" s="263"/>
      <c r="C77" s="263"/>
      <c r="D77" s="263"/>
      <c r="E77" s="264"/>
      <c r="F77" s="263"/>
      <c r="G77" s="263"/>
      <c r="H77" s="263"/>
      <c r="I77" s="263"/>
      <c r="J77" s="263"/>
      <c r="K77" s="263"/>
    </row>
    <row r="78" spans="1:11" ht="13.5" customHeight="1">
      <c r="A78" s="263"/>
      <c r="B78" s="263"/>
      <c r="C78" s="263"/>
      <c r="D78" s="263"/>
      <c r="E78" s="264"/>
      <c r="F78" s="263"/>
      <c r="G78" s="263"/>
      <c r="H78" s="263"/>
      <c r="I78" s="263"/>
      <c r="J78" s="263"/>
      <c r="K78" s="263"/>
    </row>
    <row r="79" spans="1:11" ht="13.5" customHeight="1">
      <c r="A79" s="263"/>
      <c r="B79" s="263"/>
      <c r="C79" s="263"/>
      <c r="D79" s="263"/>
      <c r="E79" s="264"/>
      <c r="F79" s="263"/>
      <c r="G79" s="263"/>
      <c r="H79" s="263"/>
      <c r="I79" s="263"/>
      <c r="J79" s="263"/>
      <c r="K79" s="263"/>
    </row>
    <row r="80" spans="1:11" ht="13.5" customHeight="1">
      <c r="A80" s="263"/>
      <c r="B80" s="263"/>
      <c r="C80" s="263"/>
      <c r="D80" s="263"/>
      <c r="E80" s="264"/>
      <c r="F80" s="263"/>
      <c r="G80" s="263"/>
      <c r="H80" s="263"/>
      <c r="I80" s="263"/>
      <c r="J80" s="263"/>
      <c r="K80" s="263"/>
    </row>
    <row r="81" spans="1:11" ht="13.5" customHeight="1">
      <c r="A81" s="263"/>
      <c r="B81" s="263"/>
      <c r="C81" s="263"/>
      <c r="D81" s="263"/>
      <c r="E81" s="264"/>
      <c r="F81" s="263"/>
      <c r="G81" s="263"/>
      <c r="H81" s="263"/>
      <c r="I81" s="263"/>
      <c r="J81" s="263"/>
      <c r="K81" s="263"/>
    </row>
    <row r="82" spans="1:11" ht="13.5" customHeight="1">
      <c r="A82" s="263"/>
      <c r="B82" s="263"/>
      <c r="C82" s="263"/>
      <c r="D82" s="263"/>
      <c r="E82" s="264"/>
      <c r="F82" s="263"/>
      <c r="G82" s="263"/>
      <c r="H82" s="263"/>
      <c r="I82" s="263"/>
      <c r="J82" s="263"/>
      <c r="K82" s="263"/>
    </row>
    <row r="83" spans="1:11" ht="13.5" customHeight="1">
      <c r="A83" s="263"/>
      <c r="B83" s="263"/>
      <c r="C83" s="263"/>
      <c r="D83" s="263"/>
      <c r="E83" s="264"/>
      <c r="F83" s="263"/>
      <c r="G83" s="263"/>
      <c r="H83" s="263"/>
      <c r="I83" s="263"/>
      <c r="J83" s="263"/>
      <c r="K83" s="263"/>
    </row>
    <row r="84" spans="1:11" ht="13.5" customHeight="1">
      <c r="A84" s="263"/>
      <c r="B84" s="263"/>
      <c r="C84" s="263"/>
      <c r="D84" s="263"/>
      <c r="E84" s="264"/>
      <c r="F84" s="263"/>
      <c r="G84" s="263"/>
      <c r="H84" s="263"/>
      <c r="I84" s="263"/>
      <c r="J84" s="263"/>
      <c r="K84" s="263"/>
    </row>
    <row r="85" spans="1:11" ht="13.5" customHeight="1">
      <c r="A85" s="263"/>
      <c r="B85" s="263"/>
      <c r="C85" s="263"/>
      <c r="D85" s="263"/>
      <c r="E85" s="264"/>
      <c r="F85" s="263"/>
      <c r="G85" s="263"/>
      <c r="H85" s="263"/>
      <c r="I85" s="263"/>
      <c r="J85" s="263"/>
      <c r="K85" s="263"/>
    </row>
    <row r="86" spans="1:11" ht="13.5" customHeight="1">
      <c r="A86" s="263"/>
      <c r="B86" s="263"/>
      <c r="C86" s="263"/>
      <c r="D86" s="263"/>
      <c r="E86" s="264"/>
      <c r="F86" s="263"/>
      <c r="G86" s="263"/>
      <c r="H86" s="263"/>
      <c r="I86" s="263"/>
      <c r="J86" s="263"/>
      <c r="K86" s="263"/>
    </row>
    <row r="87" spans="1:11" ht="13.5" customHeight="1">
      <c r="A87" s="263"/>
      <c r="B87" s="263"/>
      <c r="C87" s="263"/>
      <c r="D87" s="263"/>
      <c r="E87" s="264"/>
      <c r="F87" s="263"/>
      <c r="G87" s="263"/>
      <c r="H87" s="263"/>
      <c r="I87" s="263"/>
      <c r="J87" s="263"/>
      <c r="K87" s="263"/>
    </row>
    <row r="88" spans="1:11" ht="13.5" customHeight="1">
      <c r="A88" s="263"/>
      <c r="B88" s="263"/>
      <c r="C88" s="263"/>
      <c r="D88" s="263"/>
      <c r="E88" s="264"/>
      <c r="F88" s="263"/>
      <c r="G88" s="263"/>
      <c r="H88" s="263"/>
      <c r="I88" s="263"/>
      <c r="J88" s="263"/>
      <c r="K88" s="263"/>
    </row>
    <row r="89" spans="1:11" ht="13.5" customHeight="1">
      <c r="A89" s="263"/>
      <c r="B89" s="263"/>
      <c r="C89" s="263"/>
      <c r="D89" s="263"/>
      <c r="E89" s="264"/>
      <c r="F89" s="263"/>
      <c r="G89" s="263"/>
      <c r="H89" s="263"/>
      <c r="I89" s="263"/>
      <c r="J89" s="263"/>
      <c r="K89" s="263"/>
    </row>
    <row r="90" spans="1:11" ht="13.5" customHeight="1">
      <c r="A90" s="263"/>
      <c r="B90" s="263"/>
      <c r="C90" s="263"/>
      <c r="D90" s="263"/>
      <c r="E90" s="264"/>
      <c r="F90" s="263"/>
      <c r="G90" s="263"/>
      <c r="H90" s="263"/>
      <c r="I90" s="263"/>
      <c r="J90" s="263"/>
      <c r="K90" s="263"/>
    </row>
    <row r="91" spans="1:11" ht="13.5" customHeight="1">
      <c r="A91" s="263"/>
      <c r="B91" s="263"/>
      <c r="C91" s="263"/>
      <c r="D91" s="263"/>
      <c r="E91" s="264"/>
      <c r="F91" s="263"/>
      <c r="G91" s="263"/>
      <c r="H91" s="263"/>
      <c r="I91" s="263"/>
      <c r="J91" s="263"/>
      <c r="K91" s="263"/>
    </row>
    <row r="92" spans="1:11" ht="13.5" customHeight="1">
      <c r="A92" s="263"/>
      <c r="B92" s="263"/>
      <c r="C92" s="263"/>
      <c r="D92" s="263"/>
      <c r="E92" s="264"/>
      <c r="F92" s="263"/>
      <c r="G92" s="263"/>
      <c r="H92" s="263"/>
      <c r="I92" s="263"/>
      <c r="J92" s="263"/>
      <c r="K92" s="263"/>
    </row>
    <row r="93" spans="1:11" ht="13.5" customHeight="1">
      <c r="A93" s="263"/>
      <c r="B93" s="263"/>
      <c r="C93" s="263"/>
      <c r="D93" s="263"/>
      <c r="E93" s="264"/>
      <c r="F93" s="263"/>
      <c r="G93" s="263"/>
      <c r="H93" s="263"/>
      <c r="I93" s="263"/>
      <c r="J93" s="263"/>
      <c r="K93" s="263"/>
    </row>
    <row r="94" spans="1:11" ht="13.5" customHeight="1">
      <c r="A94" s="263"/>
      <c r="B94" s="263"/>
      <c r="C94" s="263"/>
      <c r="D94" s="263"/>
      <c r="E94" s="264"/>
      <c r="F94" s="263"/>
      <c r="G94" s="263"/>
      <c r="H94" s="263"/>
      <c r="I94" s="263"/>
      <c r="J94" s="263"/>
      <c r="K94" s="263"/>
    </row>
    <row r="95" spans="1:11" ht="13.5" customHeight="1">
      <c r="A95" s="263"/>
      <c r="B95" s="263"/>
      <c r="C95" s="263"/>
      <c r="D95" s="263"/>
      <c r="E95" s="264"/>
      <c r="F95" s="263"/>
      <c r="G95" s="263"/>
      <c r="H95" s="263"/>
      <c r="I95" s="263"/>
      <c r="J95" s="263"/>
      <c r="K95" s="263"/>
    </row>
    <row r="96" spans="1:11" ht="13.5" customHeight="1">
      <c r="A96" s="263"/>
      <c r="B96" s="263"/>
      <c r="C96" s="263"/>
      <c r="D96" s="263"/>
      <c r="E96" s="264"/>
      <c r="F96" s="263"/>
      <c r="G96" s="263"/>
      <c r="H96" s="263"/>
      <c r="I96" s="263"/>
      <c r="J96" s="263"/>
      <c r="K96" s="263"/>
    </row>
    <row r="97" spans="1:11" ht="13.5" customHeight="1">
      <c r="A97" s="263"/>
      <c r="B97" s="263"/>
      <c r="C97" s="263"/>
      <c r="D97" s="263"/>
      <c r="E97" s="264"/>
      <c r="F97" s="263"/>
      <c r="G97" s="263"/>
      <c r="H97" s="263"/>
      <c r="I97" s="263"/>
      <c r="J97" s="263"/>
      <c r="K97" s="263"/>
    </row>
    <row r="98" spans="1:11" ht="13.5" customHeight="1">
      <c r="A98" s="263"/>
      <c r="B98" s="263"/>
      <c r="C98" s="263"/>
      <c r="D98" s="263"/>
      <c r="E98" s="264"/>
      <c r="F98" s="263"/>
      <c r="G98" s="263"/>
      <c r="H98" s="263"/>
      <c r="I98" s="263"/>
      <c r="J98" s="263"/>
      <c r="K98" s="263"/>
    </row>
    <row r="99" spans="1:11" ht="13.5" customHeight="1">
      <c r="A99" s="263"/>
      <c r="B99" s="263"/>
      <c r="C99" s="263"/>
      <c r="D99" s="263"/>
      <c r="E99" s="264"/>
      <c r="F99" s="263"/>
      <c r="G99" s="263"/>
      <c r="H99" s="263"/>
      <c r="I99" s="263"/>
      <c r="J99" s="263"/>
      <c r="K99" s="263"/>
    </row>
    <row r="100" spans="1:11" ht="13.5" customHeight="1">
      <c r="A100" s="263"/>
      <c r="B100" s="263"/>
      <c r="C100" s="263"/>
      <c r="D100" s="263"/>
      <c r="E100" s="264"/>
      <c r="F100" s="263"/>
      <c r="G100" s="263"/>
      <c r="H100" s="263"/>
      <c r="I100" s="263"/>
      <c r="J100" s="263"/>
      <c r="K100" s="263"/>
    </row>
  </sheetData>
  <mergeCells count="1">
    <mergeCell ref="D27:D30"/>
  </mergeCells>
  <pageMargins left="0.7" right="0.7" top="0.75" bottom="0.75" header="0" footer="0"/>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680</v>
      </c>
      <c r="C1" s="930" t="s">
        <v>681</v>
      </c>
      <c r="D1" s="685"/>
      <c r="E1" s="685"/>
      <c r="F1" s="685"/>
      <c r="G1" s="931" t="s">
        <v>682</v>
      </c>
      <c r="H1" s="752"/>
      <c r="I1" s="752"/>
      <c r="J1" s="639"/>
      <c r="K1" s="929" t="s">
        <v>683</v>
      </c>
      <c r="L1" s="753"/>
      <c r="M1" s="753"/>
      <c r="N1" s="753"/>
    </row>
    <row r="2" spans="1:14" ht="14.25" customHeight="1">
      <c r="C2" s="284"/>
      <c r="D2" s="284"/>
      <c r="E2" s="284"/>
      <c r="F2" s="284" t="s">
        <v>684</v>
      </c>
      <c r="G2" s="94"/>
      <c r="H2" s="284"/>
      <c r="I2" s="284"/>
      <c r="J2" s="285" t="s">
        <v>684</v>
      </c>
      <c r="K2" s="284"/>
      <c r="L2" s="284"/>
      <c r="M2" s="284"/>
      <c r="N2" s="284" t="s">
        <v>684</v>
      </c>
    </row>
    <row r="3" spans="1:14" ht="14.25" customHeight="1">
      <c r="A3" s="926" t="s">
        <v>685</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6">
        <f t="shared" ref="N3:N4" si="2">K3+L3+M3</f>
        <v>0.30000000000000004</v>
      </c>
    </row>
    <row r="4" spans="1:14" ht="14.25" customHeight="1">
      <c r="A4" s="875"/>
      <c r="B4" s="95">
        <v>2</v>
      </c>
      <c r="C4" s="96">
        <v>0.05</v>
      </c>
      <c r="D4" s="96">
        <v>0.05</v>
      </c>
      <c r="E4" s="96">
        <v>0.1</v>
      </c>
      <c r="F4" s="97">
        <f t="shared" si="0"/>
        <v>0.2</v>
      </c>
      <c r="G4" s="98">
        <v>0.1</v>
      </c>
      <c r="H4" s="96">
        <v>0.1</v>
      </c>
      <c r="I4" s="96">
        <v>0.1</v>
      </c>
      <c r="J4" s="99">
        <f t="shared" si="1"/>
        <v>0.30000000000000004</v>
      </c>
      <c r="K4" s="100">
        <v>0.1</v>
      </c>
      <c r="L4" s="100">
        <v>0.1</v>
      </c>
      <c r="M4" s="100">
        <v>0.1</v>
      </c>
      <c r="N4" s="286">
        <f t="shared" si="2"/>
        <v>0.30000000000000004</v>
      </c>
    </row>
    <row r="5" spans="1:14" ht="14.25" customHeight="1">
      <c r="A5" s="875"/>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875"/>
      <c r="B6" s="95">
        <v>4</v>
      </c>
      <c r="C6" s="96">
        <v>0.1</v>
      </c>
      <c r="D6" s="96">
        <v>0.1</v>
      </c>
      <c r="E6" s="96">
        <v>0.2</v>
      </c>
      <c r="F6" s="97">
        <f t="shared" si="0"/>
        <v>0.4</v>
      </c>
      <c r="G6" s="98">
        <v>0</v>
      </c>
      <c r="H6" s="96">
        <v>0</v>
      </c>
      <c r="I6" s="96">
        <v>0.1</v>
      </c>
      <c r="J6" s="99">
        <f t="shared" si="1"/>
        <v>0.1</v>
      </c>
      <c r="K6" s="101"/>
      <c r="L6" s="95"/>
      <c r="M6" s="95"/>
      <c r="N6" s="95"/>
    </row>
    <row r="7" spans="1:14" ht="14.25" customHeight="1">
      <c r="A7" s="875"/>
      <c r="B7" s="95">
        <v>5</v>
      </c>
      <c r="C7" s="96">
        <v>0</v>
      </c>
      <c r="D7" s="96">
        <v>0</v>
      </c>
      <c r="E7" s="96">
        <v>0</v>
      </c>
      <c r="F7" s="97">
        <f t="shared" si="0"/>
        <v>0</v>
      </c>
      <c r="G7" s="98">
        <v>0</v>
      </c>
      <c r="H7" s="96">
        <v>0</v>
      </c>
      <c r="I7" s="96">
        <v>0</v>
      </c>
      <c r="J7" s="99">
        <f t="shared" si="1"/>
        <v>0</v>
      </c>
      <c r="K7" s="101"/>
      <c r="L7" s="95"/>
      <c r="M7" s="95"/>
      <c r="N7" s="95"/>
    </row>
    <row r="8" spans="1:14" ht="14.25" customHeight="1">
      <c r="A8" s="926" t="s">
        <v>686</v>
      </c>
      <c r="B8" s="102">
        <v>6</v>
      </c>
      <c r="C8" s="103">
        <v>0.1</v>
      </c>
      <c r="D8" s="103">
        <v>0.1</v>
      </c>
      <c r="E8" s="103">
        <v>0.1</v>
      </c>
      <c r="F8" s="104">
        <f>C8+D8+E8</f>
        <v>0.30000000000000004</v>
      </c>
      <c r="G8" s="105"/>
      <c r="H8" s="102"/>
      <c r="I8" s="102"/>
      <c r="J8" s="106"/>
      <c r="K8" s="107"/>
      <c r="L8" s="102"/>
      <c r="M8" s="102"/>
      <c r="N8" s="102"/>
    </row>
    <row r="9" spans="1:14" ht="14.25" customHeight="1">
      <c r="A9" s="875"/>
      <c r="B9" s="102">
        <v>7</v>
      </c>
      <c r="C9" s="102"/>
      <c r="D9" s="102"/>
      <c r="E9" s="102"/>
      <c r="F9" s="108"/>
      <c r="G9" s="109"/>
      <c r="H9" s="102"/>
      <c r="I9" s="102"/>
      <c r="J9" s="106"/>
      <c r="K9" s="107"/>
      <c r="L9" s="102"/>
      <c r="M9" s="102"/>
      <c r="N9" s="102"/>
    </row>
    <row r="10" spans="1:14" ht="14.25" customHeight="1">
      <c r="A10" s="875"/>
      <c r="B10" s="102">
        <v>8</v>
      </c>
      <c r="C10" s="102"/>
      <c r="D10" s="102"/>
      <c r="E10" s="102"/>
      <c r="F10" s="108"/>
      <c r="G10" s="109"/>
      <c r="H10" s="102"/>
      <c r="I10" s="102"/>
      <c r="J10" s="106"/>
      <c r="K10" s="107"/>
      <c r="L10" s="102"/>
      <c r="M10" s="102"/>
      <c r="N10" s="102"/>
    </row>
    <row r="11" spans="1:14" ht="14.25" customHeight="1">
      <c r="A11" s="875"/>
      <c r="B11" s="102">
        <v>9</v>
      </c>
      <c r="C11" s="102"/>
      <c r="D11" s="102"/>
      <c r="E11" s="102"/>
      <c r="F11" s="108"/>
      <c r="G11" s="109"/>
      <c r="H11" s="102"/>
      <c r="I11" s="102"/>
      <c r="J11" s="106"/>
      <c r="K11" s="107"/>
      <c r="L11" s="102"/>
      <c r="M11" s="102"/>
      <c r="N11" s="102"/>
    </row>
    <row r="12" spans="1:14" ht="14.25" customHeight="1">
      <c r="A12" s="926" t="s">
        <v>687</v>
      </c>
      <c r="B12" s="110">
        <v>10</v>
      </c>
      <c r="C12" s="110"/>
      <c r="D12" s="110"/>
      <c r="E12" s="110"/>
      <c r="F12" s="111"/>
      <c r="G12" s="112"/>
      <c r="H12" s="110"/>
      <c r="I12" s="110"/>
      <c r="J12" s="113"/>
      <c r="K12" s="114"/>
      <c r="L12" s="110"/>
      <c r="M12" s="110"/>
      <c r="N12" s="110"/>
    </row>
    <row r="13" spans="1:14" ht="14.25" customHeight="1">
      <c r="A13" s="875"/>
      <c r="B13" s="110">
        <v>11</v>
      </c>
      <c r="C13" s="110"/>
      <c r="D13" s="110"/>
      <c r="E13" s="110"/>
      <c r="F13" s="111"/>
      <c r="G13" s="112"/>
      <c r="H13" s="110"/>
      <c r="I13" s="110"/>
      <c r="J13" s="113"/>
      <c r="K13" s="114"/>
      <c r="L13" s="110"/>
      <c r="M13" s="110"/>
      <c r="N13" s="110"/>
    </row>
    <row r="14" spans="1:14" ht="14.25" customHeight="1">
      <c r="A14" s="875"/>
      <c r="B14" s="110">
        <v>12</v>
      </c>
      <c r="C14" s="110"/>
      <c r="D14" s="110"/>
      <c r="E14" s="110"/>
      <c r="F14" s="111"/>
      <c r="G14" s="112"/>
      <c r="H14" s="110"/>
      <c r="I14" s="110"/>
      <c r="J14" s="113"/>
      <c r="K14" s="114"/>
      <c r="L14" s="110"/>
      <c r="M14" s="110"/>
      <c r="N14" s="110"/>
    </row>
    <row r="15" spans="1:14" ht="14.25" customHeight="1">
      <c r="A15" s="875"/>
      <c r="B15" s="110">
        <v>13</v>
      </c>
      <c r="C15" s="110"/>
      <c r="D15" s="110"/>
      <c r="E15" s="110"/>
      <c r="F15" s="111"/>
      <c r="G15" s="112"/>
      <c r="H15" s="110"/>
      <c r="I15" s="110"/>
      <c r="J15" s="113"/>
      <c r="K15" s="114"/>
      <c r="L15" s="110"/>
      <c r="M15" s="110"/>
      <c r="N15" s="110"/>
    </row>
    <row r="16" spans="1:14" ht="14.25" customHeight="1">
      <c r="A16" s="926" t="s">
        <v>688</v>
      </c>
      <c r="B16" s="115">
        <v>14</v>
      </c>
      <c r="C16" s="115"/>
      <c r="D16" s="115"/>
      <c r="E16" s="115"/>
      <c r="F16" s="116"/>
      <c r="G16" s="117"/>
      <c r="H16" s="115"/>
      <c r="I16" s="115"/>
      <c r="J16" s="118"/>
      <c r="K16" s="119"/>
      <c r="L16" s="115"/>
      <c r="M16" s="115"/>
      <c r="N16" s="115"/>
    </row>
    <row r="17" spans="1:14" ht="14.25" customHeight="1">
      <c r="A17" s="875"/>
      <c r="B17" s="115">
        <v>15</v>
      </c>
      <c r="C17" s="115"/>
      <c r="D17" s="115"/>
      <c r="E17" s="115"/>
      <c r="F17" s="116"/>
      <c r="G17" s="117"/>
      <c r="H17" s="115"/>
      <c r="I17" s="115"/>
      <c r="J17" s="118"/>
      <c r="K17" s="119"/>
      <c r="L17" s="115"/>
      <c r="M17" s="115"/>
      <c r="N17" s="115"/>
    </row>
    <row r="18" spans="1:14" ht="14.25" customHeight="1">
      <c r="A18" s="875"/>
      <c r="B18" s="115">
        <v>16</v>
      </c>
      <c r="C18" s="115"/>
      <c r="D18" s="115"/>
      <c r="E18" s="115"/>
      <c r="F18" s="116"/>
      <c r="G18" s="117"/>
      <c r="H18" s="115"/>
      <c r="I18" s="115"/>
      <c r="J18" s="118"/>
      <c r="K18" s="119"/>
      <c r="L18" s="115"/>
      <c r="M18" s="115"/>
      <c r="N18" s="115"/>
    </row>
    <row r="19" spans="1:14" ht="14.25" customHeight="1">
      <c r="A19" s="926" t="s">
        <v>689</v>
      </c>
      <c r="B19" s="120">
        <v>17</v>
      </c>
      <c r="C19" s="120"/>
      <c r="D19" s="120"/>
      <c r="E19" s="120"/>
      <c r="F19" s="121"/>
      <c r="G19" s="122"/>
      <c r="H19" s="120"/>
      <c r="I19" s="120"/>
      <c r="J19" s="123"/>
      <c r="K19" s="124"/>
      <c r="L19" s="120"/>
      <c r="M19" s="120"/>
      <c r="N19" s="120"/>
    </row>
    <row r="20" spans="1:14" ht="14.25" customHeight="1">
      <c r="A20" s="875"/>
      <c r="B20" s="120">
        <v>18</v>
      </c>
      <c r="C20" s="120"/>
      <c r="D20" s="120"/>
      <c r="E20" s="120"/>
      <c r="F20" s="121"/>
      <c r="G20" s="122"/>
      <c r="H20" s="120"/>
      <c r="I20" s="120"/>
      <c r="J20" s="123"/>
      <c r="K20" s="124"/>
      <c r="L20" s="120"/>
      <c r="M20" s="120"/>
      <c r="N20" s="120"/>
    </row>
    <row r="21" spans="1:14" ht="14.25" customHeight="1">
      <c r="A21" s="875"/>
      <c r="B21" s="120">
        <v>19</v>
      </c>
      <c r="C21" s="120"/>
      <c r="D21" s="120"/>
      <c r="E21" s="120"/>
      <c r="F21" s="121"/>
      <c r="G21" s="122"/>
      <c r="H21" s="120"/>
      <c r="I21" s="120"/>
      <c r="J21" s="123"/>
      <c r="K21" s="124"/>
      <c r="L21" s="120"/>
      <c r="M21" s="120"/>
      <c r="N21" s="120"/>
    </row>
    <row r="22" spans="1:14" ht="14.25" customHeight="1">
      <c r="A22" s="875"/>
      <c r="B22" s="120">
        <v>20</v>
      </c>
      <c r="C22" s="120"/>
      <c r="D22" s="120"/>
      <c r="E22" s="120"/>
      <c r="F22" s="121"/>
      <c r="G22" s="122"/>
      <c r="H22" s="120"/>
      <c r="I22" s="120"/>
      <c r="J22" s="123"/>
      <c r="K22" s="124"/>
      <c r="L22" s="120"/>
      <c r="M22" s="120"/>
      <c r="N22" s="120"/>
    </row>
    <row r="23" spans="1:14" ht="14.25" customHeight="1">
      <c r="A23" s="926" t="s">
        <v>690</v>
      </c>
      <c r="B23" s="125">
        <v>21</v>
      </c>
      <c r="C23" s="125"/>
      <c r="D23" s="125"/>
      <c r="E23" s="125"/>
      <c r="F23" s="126"/>
      <c r="G23" s="127"/>
      <c r="H23" s="125"/>
      <c r="I23" s="125"/>
      <c r="J23" s="128"/>
      <c r="K23" s="129"/>
      <c r="L23" s="125"/>
      <c r="M23" s="125"/>
      <c r="N23" s="125"/>
    </row>
    <row r="24" spans="1:14" ht="14.25" customHeight="1">
      <c r="A24" s="875"/>
      <c r="B24" s="125">
        <v>22</v>
      </c>
      <c r="C24" s="125"/>
      <c r="D24" s="125"/>
      <c r="E24" s="125"/>
      <c r="F24" s="126"/>
      <c r="G24" s="127"/>
      <c r="H24" s="125"/>
      <c r="I24" s="125"/>
      <c r="J24" s="128"/>
      <c r="K24" s="129"/>
      <c r="L24" s="125"/>
      <c r="M24" s="125"/>
      <c r="N24" s="125"/>
    </row>
    <row r="25" spans="1:14" ht="14.25" customHeight="1">
      <c r="A25" s="875"/>
      <c r="B25" s="125">
        <v>23</v>
      </c>
      <c r="C25" s="125"/>
      <c r="D25" s="125"/>
      <c r="E25" s="125"/>
      <c r="F25" s="126"/>
      <c r="G25" s="127"/>
      <c r="H25" s="125"/>
      <c r="I25" s="125"/>
      <c r="J25" s="128"/>
      <c r="K25" s="129"/>
      <c r="L25" s="125"/>
      <c r="M25" s="125"/>
      <c r="N25" s="125"/>
    </row>
    <row r="26" spans="1:14" ht="14.25" customHeight="1">
      <c r="A26" s="875"/>
      <c r="B26" s="125">
        <v>24</v>
      </c>
      <c r="C26" s="125"/>
      <c r="D26" s="125"/>
      <c r="E26" s="125"/>
      <c r="F26" s="126"/>
      <c r="G26" s="127"/>
      <c r="H26" s="125"/>
      <c r="I26" s="125"/>
      <c r="J26" s="128"/>
      <c r="K26" s="129"/>
      <c r="L26" s="125"/>
      <c r="M26" s="125"/>
      <c r="N26" s="125"/>
    </row>
    <row r="27" spans="1:14" ht="14.25" customHeight="1">
      <c r="A27" s="926" t="s">
        <v>691</v>
      </c>
      <c r="B27" s="102">
        <v>25</v>
      </c>
      <c r="C27" s="102"/>
      <c r="D27" s="102"/>
      <c r="E27" s="102"/>
      <c r="F27" s="102"/>
      <c r="G27" s="102"/>
      <c r="H27" s="102"/>
      <c r="I27" s="102"/>
      <c r="J27" s="102"/>
      <c r="K27" s="102"/>
      <c r="L27" s="102"/>
      <c r="M27" s="102"/>
      <c r="N27" s="102"/>
    </row>
    <row r="28" spans="1:14" ht="14.25" customHeight="1">
      <c r="A28" s="875"/>
      <c r="B28" s="102">
        <v>26</v>
      </c>
      <c r="C28" s="102"/>
      <c r="D28" s="102"/>
      <c r="E28" s="102"/>
      <c r="F28" s="102"/>
      <c r="G28" s="102"/>
      <c r="H28" s="102"/>
      <c r="I28" s="102"/>
      <c r="J28" s="102"/>
      <c r="K28" s="102"/>
      <c r="L28" s="102"/>
      <c r="M28" s="102"/>
      <c r="N28" s="102"/>
    </row>
    <row r="29" spans="1:14" ht="14.25" customHeight="1">
      <c r="A29" s="875"/>
      <c r="B29" s="102">
        <v>27</v>
      </c>
      <c r="C29" s="102"/>
      <c r="D29" s="102"/>
      <c r="E29" s="102"/>
      <c r="F29" s="102"/>
      <c r="G29" s="102"/>
      <c r="H29" s="102"/>
      <c r="I29" s="102"/>
      <c r="J29" s="102"/>
      <c r="K29" s="102"/>
      <c r="L29" s="102"/>
      <c r="M29" s="102"/>
      <c r="N29" s="102"/>
    </row>
    <row r="30" spans="1:14" ht="14.25" customHeight="1">
      <c r="A30" s="875"/>
      <c r="B30" s="102">
        <v>28</v>
      </c>
      <c r="C30" s="102"/>
      <c r="D30" s="102"/>
      <c r="E30" s="102"/>
      <c r="F30" s="102"/>
      <c r="G30" s="102"/>
      <c r="H30" s="102"/>
      <c r="I30" s="102"/>
      <c r="J30" s="102"/>
      <c r="K30" s="102"/>
      <c r="L30" s="102"/>
      <c r="M30" s="102"/>
      <c r="N30" s="102"/>
    </row>
    <row r="31" spans="1:14" ht="14.25" customHeight="1">
      <c r="A31" s="875"/>
      <c r="B31" s="102">
        <v>29</v>
      </c>
      <c r="C31" s="102"/>
      <c r="D31" s="102"/>
      <c r="E31" s="102"/>
      <c r="F31" s="102"/>
      <c r="G31" s="102"/>
      <c r="H31" s="102"/>
      <c r="I31" s="102"/>
      <c r="J31" s="102"/>
      <c r="K31" s="102"/>
      <c r="L31" s="102"/>
      <c r="M31" s="102"/>
      <c r="N31" s="102"/>
    </row>
    <row r="32" spans="1:14" ht="14.25" customHeight="1">
      <c r="A32" s="926" t="s">
        <v>692</v>
      </c>
      <c r="B32" s="130">
        <v>30</v>
      </c>
      <c r="C32" s="130"/>
      <c r="D32" s="130"/>
      <c r="E32" s="130"/>
      <c r="F32" s="130"/>
      <c r="G32" s="130"/>
      <c r="H32" s="130"/>
      <c r="I32" s="130"/>
      <c r="J32" s="130"/>
      <c r="K32" s="130"/>
      <c r="L32" s="130"/>
      <c r="M32" s="130"/>
      <c r="N32" s="130"/>
    </row>
    <row r="33" spans="1:14" ht="14.25" customHeight="1">
      <c r="A33" s="875"/>
      <c r="B33" s="130">
        <v>31</v>
      </c>
      <c r="C33" s="130"/>
      <c r="D33" s="130"/>
      <c r="E33" s="130"/>
      <c r="F33" s="130"/>
      <c r="G33" s="130"/>
      <c r="H33" s="130"/>
      <c r="I33" s="130"/>
      <c r="J33" s="130"/>
      <c r="K33" s="130"/>
      <c r="L33" s="130"/>
      <c r="M33" s="130"/>
      <c r="N33" s="130"/>
    </row>
    <row r="34" spans="1:14" ht="14.25" customHeight="1">
      <c r="A34" s="875"/>
      <c r="B34" s="130">
        <v>32</v>
      </c>
      <c r="C34" s="130"/>
      <c r="D34" s="130"/>
      <c r="E34" s="130"/>
      <c r="F34" s="130"/>
      <c r="G34" s="130"/>
      <c r="H34" s="130"/>
      <c r="I34" s="130"/>
      <c r="J34" s="130"/>
      <c r="K34" s="130"/>
      <c r="L34" s="130"/>
      <c r="M34" s="130"/>
      <c r="N34" s="130"/>
    </row>
    <row r="35" spans="1:14" ht="14.25" customHeight="1">
      <c r="A35" s="926" t="s">
        <v>693</v>
      </c>
      <c r="B35" s="131">
        <v>33</v>
      </c>
      <c r="C35" s="110"/>
      <c r="D35" s="110"/>
      <c r="E35" s="110"/>
      <c r="F35" s="110"/>
      <c r="G35" s="110"/>
      <c r="H35" s="110"/>
      <c r="I35" s="110"/>
      <c r="J35" s="110"/>
      <c r="K35" s="110"/>
      <c r="L35" s="110"/>
      <c r="M35" s="110"/>
      <c r="N35" s="110"/>
    </row>
    <row r="36" spans="1:14" ht="14.25" customHeight="1">
      <c r="A36" s="875"/>
      <c r="B36" s="110">
        <v>34</v>
      </c>
      <c r="C36" s="110"/>
      <c r="D36" s="110"/>
      <c r="E36" s="110"/>
      <c r="F36" s="110"/>
      <c r="G36" s="110"/>
      <c r="H36" s="110"/>
      <c r="I36" s="110"/>
      <c r="J36" s="110"/>
      <c r="K36" s="110"/>
      <c r="L36" s="110"/>
      <c r="M36" s="110"/>
      <c r="N36" s="110"/>
    </row>
    <row r="37" spans="1:14" ht="14.25" customHeight="1">
      <c r="A37" s="875"/>
      <c r="B37" s="132">
        <v>35</v>
      </c>
      <c r="C37" s="110"/>
      <c r="D37" s="110"/>
      <c r="E37" s="110"/>
      <c r="F37" s="110"/>
      <c r="G37" s="110"/>
      <c r="H37" s="110"/>
      <c r="I37" s="110"/>
      <c r="J37" s="110"/>
      <c r="K37" s="110"/>
      <c r="L37" s="110"/>
      <c r="M37" s="110"/>
      <c r="N37" s="110"/>
    </row>
    <row r="38" spans="1:14" ht="14.25" customHeight="1">
      <c r="A38" s="926" t="s">
        <v>694</v>
      </c>
      <c r="B38" s="133">
        <v>36</v>
      </c>
      <c r="C38" s="133"/>
      <c r="D38" s="133"/>
      <c r="E38" s="133"/>
      <c r="F38" s="133"/>
      <c r="G38" s="133"/>
      <c r="H38" s="133"/>
      <c r="I38" s="133"/>
      <c r="J38" s="133"/>
      <c r="K38" s="133"/>
      <c r="L38" s="133"/>
      <c r="M38" s="133"/>
      <c r="N38" s="133"/>
    </row>
    <row r="39" spans="1:14" ht="14.25" customHeight="1">
      <c r="A39" s="875"/>
      <c r="B39" s="133">
        <v>37</v>
      </c>
      <c r="C39" s="133"/>
      <c r="D39" s="133"/>
      <c r="E39" s="133"/>
      <c r="F39" s="133"/>
      <c r="G39" s="133"/>
      <c r="H39" s="133"/>
      <c r="I39" s="133"/>
      <c r="J39" s="133"/>
      <c r="K39" s="133"/>
      <c r="L39" s="133"/>
      <c r="M39" s="133"/>
      <c r="N39" s="133"/>
    </row>
    <row r="40" spans="1:14" ht="14.25" customHeight="1">
      <c r="A40" s="875"/>
      <c r="B40" s="133">
        <v>38</v>
      </c>
      <c r="C40" s="133"/>
      <c r="D40" s="133"/>
      <c r="E40" s="133"/>
      <c r="F40" s="133"/>
      <c r="G40" s="133"/>
      <c r="H40" s="133"/>
      <c r="I40" s="133"/>
      <c r="J40" s="133"/>
      <c r="K40" s="133"/>
      <c r="L40" s="133"/>
      <c r="M40" s="133"/>
      <c r="N40" s="133"/>
    </row>
    <row r="41" spans="1:14" ht="14.25" customHeight="1">
      <c r="A41" s="927" t="s">
        <v>695</v>
      </c>
      <c r="B41" s="134">
        <v>39</v>
      </c>
      <c r="C41" s="135"/>
      <c r="D41" s="135"/>
      <c r="E41" s="135"/>
      <c r="F41" s="135"/>
      <c r="G41" s="135"/>
      <c r="H41" s="135"/>
      <c r="I41" s="135"/>
      <c r="J41" s="135"/>
      <c r="K41" s="135"/>
      <c r="L41" s="135"/>
      <c r="M41" s="135"/>
      <c r="N41" s="135"/>
    </row>
    <row r="42" spans="1:14" ht="14.25" customHeight="1">
      <c r="A42" s="875"/>
      <c r="B42" s="135">
        <v>40</v>
      </c>
      <c r="C42" s="135"/>
      <c r="D42" s="135"/>
      <c r="E42" s="135"/>
      <c r="F42" s="135"/>
      <c r="G42" s="135"/>
      <c r="H42" s="135"/>
      <c r="I42" s="135"/>
      <c r="J42" s="135"/>
      <c r="K42" s="135"/>
      <c r="L42" s="135"/>
      <c r="M42" s="135"/>
      <c r="N42" s="135"/>
    </row>
    <row r="43" spans="1:14" ht="14.25" customHeight="1">
      <c r="A43" s="875"/>
      <c r="B43" s="135">
        <v>41</v>
      </c>
      <c r="C43" s="135"/>
      <c r="D43" s="135"/>
      <c r="E43" s="135"/>
      <c r="F43" s="135"/>
      <c r="G43" s="135"/>
      <c r="H43" s="135"/>
      <c r="I43" s="135"/>
      <c r="J43" s="135"/>
      <c r="K43" s="135"/>
      <c r="L43" s="135"/>
      <c r="M43" s="135"/>
      <c r="N43" s="135"/>
    </row>
    <row r="44" spans="1:14" ht="14.25" customHeight="1">
      <c r="A44" s="875"/>
      <c r="B44" s="136">
        <v>42</v>
      </c>
      <c r="C44" s="135"/>
      <c r="D44" s="135"/>
      <c r="E44" s="135"/>
      <c r="F44" s="135"/>
      <c r="G44" s="135"/>
      <c r="H44" s="135"/>
      <c r="I44" s="135"/>
      <c r="J44" s="135"/>
      <c r="K44" s="135"/>
      <c r="L44" s="135"/>
      <c r="M44" s="135"/>
      <c r="N44" s="135"/>
    </row>
    <row r="45" spans="1:14" ht="14.25" customHeight="1">
      <c r="A45" s="928" t="s">
        <v>696</v>
      </c>
      <c r="B45" s="137">
        <v>43</v>
      </c>
      <c r="C45" s="137"/>
      <c r="D45" s="137"/>
      <c r="E45" s="137"/>
      <c r="F45" s="137"/>
      <c r="G45" s="137"/>
      <c r="H45" s="137"/>
      <c r="I45" s="137"/>
      <c r="J45" s="137"/>
      <c r="K45" s="137"/>
      <c r="L45" s="137"/>
      <c r="M45" s="137"/>
      <c r="N45" s="137"/>
    </row>
    <row r="46" spans="1:14" ht="14.25" customHeight="1">
      <c r="A46" s="678"/>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pageSetUpPr fitToPage="1"/>
  </sheetPr>
  <dimension ref="A1:BZ100"/>
  <sheetViews>
    <sheetView view="pageBreakPreview" topLeftCell="A14" zoomScale="60" zoomScaleNormal="70" workbookViewId="0">
      <selection activeCell="BA27" sqref="BA27"/>
    </sheetView>
  </sheetViews>
  <sheetFormatPr baseColWidth="10" defaultColWidth="14.42578125" defaultRowHeight="15" customHeight="1"/>
  <cols>
    <col min="1" max="1" width="37.28515625" style="184" customWidth="1"/>
    <col min="2" max="25" width="11" style="184" hidden="1" customWidth="1"/>
    <col min="26" max="27" width="12.28515625" style="184" hidden="1" customWidth="1"/>
    <col min="28" max="31" width="8.28515625" style="184" hidden="1" customWidth="1"/>
    <col min="32" max="32" width="9.42578125" style="184" hidden="1" customWidth="1"/>
    <col min="33" max="33" width="8.28515625" style="184" hidden="1" customWidth="1"/>
    <col min="34" max="38" width="7.7109375" style="184" hidden="1" customWidth="1"/>
    <col min="39" max="39" width="11.42578125" style="184" hidden="1" customWidth="1"/>
    <col min="40" max="40" width="2.42578125" style="184" hidden="1" customWidth="1"/>
    <col min="41" max="54" width="8.5703125" style="184" customWidth="1"/>
    <col min="55" max="55" width="8.140625" style="184" customWidth="1"/>
    <col min="56" max="56" width="6.85546875" style="184" customWidth="1"/>
    <col min="57" max="57" width="8.85546875" style="184" customWidth="1"/>
    <col min="58" max="58" width="7.5703125" style="184" customWidth="1"/>
    <col min="59" max="59" width="9.140625" style="184" customWidth="1"/>
    <col min="60" max="60" width="9.5703125" style="184" customWidth="1"/>
    <col min="61" max="63" width="11.42578125" style="184" customWidth="1"/>
    <col min="64" max="64" width="10.42578125" style="184" customWidth="1"/>
    <col min="65" max="65" width="14.42578125" style="184" customWidth="1"/>
    <col min="66" max="66" width="11.42578125" style="184" customWidth="1"/>
    <col min="67" max="78" width="8.7109375" style="184" customWidth="1"/>
    <col min="79" max="16384" width="14.42578125" style="184"/>
  </cols>
  <sheetData>
    <row r="1" spans="1:78" ht="15.75" customHeight="1">
      <c r="A1" s="621" t="s">
        <v>53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2"/>
      <c r="AX1" s="622"/>
      <c r="AY1" s="622"/>
      <c r="AZ1" s="622"/>
      <c r="BA1" s="622"/>
      <c r="BB1" s="622"/>
      <c r="BC1" s="622"/>
      <c r="BD1" s="622"/>
      <c r="BE1" s="622"/>
      <c r="BF1" s="622"/>
      <c r="BG1" s="622"/>
      <c r="BH1" s="622"/>
      <c r="BI1" s="622"/>
      <c r="BJ1" s="622"/>
      <c r="BK1" s="622"/>
      <c r="BL1" s="622"/>
      <c r="BM1" s="622"/>
      <c r="BN1" s="622"/>
      <c r="BO1" s="622"/>
      <c r="BP1" s="622"/>
      <c r="BQ1" s="622"/>
      <c r="BR1" s="622"/>
      <c r="BS1" s="622"/>
      <c r="BT1" s="622"/>
      <c r="BU1" s="622"/>
      <c r="BV1" s="622"/>
      <c r="BW1" s="623"/>
      <c r="BX1" s="932" t="s">
        <v>54</v>
      </c>
      <c r="BY1" s="622"/>
      <c r="BZ1" s="623"/>
    </row>
    <row r="2" spans="1:78" ht="15.75" customHeight="1">
      <c r="A2" s="621" t="s">
        <v>55</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c r="BR2" s="622"/>
      <c r="BS2" s="622"/>
      <c r="BT2" s="622"/>
      <c r="BU2" s="622"/>
      <c r="BV2" s="622"/>
      <c r="BW2" s="623"/>
      <c r="BX2" s="932" t="s">
        <v>56</v>
      </c>
      <c r="BY2" s="622"/>
      <c r="BZ2" s="623"/>
    </row>
    <row r="3" spans="1:78" ht="25.5" customHeight="1">
      <c r="A3" s="621" t="s">
        <v>697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3"/>
      <c r="BX3" s="932" t="s">
        <v>58</v>
      </c>
      <c r="BY3" s="622"/>
      <c r="BZ3" s="623"/>
    </row>
    <row r="4" spans="1:78" ht="15.75" customHeight="1">
      <c r="A4" s="621" t="s">
        <v>698</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3"/>
      <c r="BX4" s="933" t="s">
        <v>699</v>
      </c>
      <c r="BY4" s="626"/>
      <c r="BZ4" s="627"/>
    </row>
    <row r="5" spans="1:78" ht="25.5" customHeight="1">
      <c r="A5" s="934" t="s">
        <v>700</v>
      </c>
      <c r="B5" s="617"/>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8"/>
      <c r="AN5" s="205"/>
      <c r="AO5" s="935" t="s">
        <v>701</v>
      </c>
      <c r="AP5" s="936"/>
      <c r="AQ5" s="936"/>
      <c r="AR5" s="936"/>
      <c r="AS5" s="936"/>
      <c r="AT5" s="936"/>
      <c r="AU5" s="936"/>
      <c r="AV5" s="936"/>
      <c r="AW5" s="936"/>
      <c r="AX5" s="936"/>
      <c r="AY5" s="936"/>
      <c r="AZ5" s="936"/>
      <c r="BA5" s="936"/>
      <c r="BB5" s="936"/>
      <c r="BC5" s="936"/>
      <c r="BD5" s="936"/>
      <c r="BE5" s="936"/>
      <c r="BF5" s="936"/>
      <c r="BG5" s="936"/>
      <c r="BH5" s="936"/>
      <c r="BI5" s="936"/>
      <c r="BJ5" s="936"/>
      <c r="BK5" s="936"/>
      <c r="BL5" s="936"/>
      <c r="BM5" s="936"/>
      <c r="BN5" s="936"/>
      <c r="BO5" s="936"/>
      <c r="BP5" s="936"/>
      <c r="BQ5" s="936"/>
      <c r="BR5" s="936"/>
      <c r="BS5" s="936"/>
      <c r="BT5" s="936"/>
      <c r="BU5" s="936"/>
      <c r="BV5" s="936"/>
      <c r="BW5" s="936"/>
      <c r="BX5" s="936"/>
      <c r="BY5" s="936"/>
      <c r="BZ5" s="936"/>
    </row>
    <row r="6" spans="1:78" ht="27.75" customHeight="1">
      <c r="A6" s="355" t="s">
        <v>702</v>
      </c>
      <c r="B6" s="647" t="s">
        <v>703</v>
      </c>
      <c r="C6" s="937"/>
      <c r="D6" s="937"/>
      <c r="E6" s="937"/>
      <c r="F6" s="937"/>
      <c r="G6" s="937"/>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7"/>
      <c r="AY6" s="937"/>
      <c r="AZ6" s="937"/>
      <c r="BA6" s="937"/>
      <c r="BB6" s="937"/>
      <c r="BC6" s="937"/>
      <c r="BD6" s="937"/>
      <c r="BE6" s="937"/>
      <c r="BF6" s="937"/>
      <c r="BG6" s="937"/>
      <c r="BH6" s="937"/>
      <c r="BI6" s="937"/>
      <c r="BJ6" s="937"/>
      <c r="BK6" s="937"/>
      <c r="BL6" s="937"/>
      <c r="BM6" s="937"/>
      <c r="BN6" s="937"/>
      <c r="BO6" s="937"/>
      <c r="BP6" s="937"/>
      <c r="BQ6" s="937"/>
      <c r="BR6" s="937"/>
      <c r="BS6" s="937"/>
      <c r="BT6" s="937"/>
      <c r="BU6" s="937"/>
      <c r="BV6" s="937"/>
      <c r="BW6" s="937"/>
      <c r="BX6" s="937"/>
      <c r="BY6" s="937"/>
      <c r="BZ6" s="938"/>
    </row>
    <row r="7" spans="1:78" ht="28.5" customHeight="1">
      <c r="A7" s="356" t="s">
        <v>704</v>
      </c>
      <c r="B7" s="939" t="str">
        <f>+'[4]Indicadores PA'!J18</f>
        <v>Número de mujeres formadas en cuidados, en el marco de la estrategia cuidado a cuidadoras</v>
      </c>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8"/>
    </row>
    <row r="8" spans="1:78" ht="6" customHeight="1">
      <c r="A8" s="357"/>
      <c r="B8" s="357"/>
      <c r="C8" s="357"/>
      <c r="D8" s="357"/>
      <c r="E8" s="357"/>
      <c r="F8" s="357"/>
      <c r="G8" s="357"/>
      <c r="H8" s="357"/>
      <c r="I8" s="357"/>
      <c r="J8" s="357"/>
      <c r="K8" s="357"/>
      <c r="L8" s="357"/>
      <c r="M8" s="357"/>
      <c r="N8" s="357"/>
      <c r="O8" s="358"/>
      <c r="P8" s="358"/>
      <c r="Q8" s="358"/>
      <c r="R8" s="358"/>
      <c r="S8" s="358"/>
      <c r="T8" s="358"/>
      <c r="U8" s="358"/>
      <c r="V8" s="358"/>
      <c r="W8" s="358"/>
      <c r="X8" s="358"/>
      <c r="Y8" s="358"/>
      <c r="Z8" s="358"/>
      <c r="AA8" s="358"/>
      <c r="AB8" s="358"/>
      <c r="AC8" s="358"/>
      <c r="AD8" s="358"/>
      <c r="AE8" s="358"/>
      <c r="AF8" s="358"/>
      <c r="AG8" s="358"/>
      <c r="AH8" s="358"/>
      <c r="AI8" s="358"/>
      <c r="AJ8" s="358"/>
      <c r="AK8" s="358"/>
      <c r="AL8" s="358"/>
      <c r="AM8" s="358"/>
      <c r="AN8" s="205"/>
      <c r="AO8" s="358"/>
      <c r="AP8" s="358"/>
      <c r="AQ8" s="358"/>
      <c r="AR8" s="358"/>
      <c r="AS8" s="358"/>
      <c r="AT8" s="358"/>
      <c r="AU8" s="358"/>
      <c r="AV8" s="358"/>
      <c r="AW8" s="358"/>
      <c r="AX8" s="358"/>
      <c r="AY8" s="358"/>
      <c r="AZ8" s="358"/>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row>
    <row r="9" spans="1:78" ht="30" customHeight="1">
      <c r="A9" s="635" t="s">
        <v>705</v>
      </c>
      <c r="B9" s="649" t="s">
        <v>3</v>
      </c>
      <c r="C9" s="623"/>
      <c r="D9" s="649" t="s">
        <v>4</v>
      </c>
      <c r="E9" s="623"/>
      <c r="F9" s="649" t="s">
        <v>5</v>
      </c>
      <c r="G9" s="623"/>
      <c r="H9" s="649" t="s">
        <v>6</v>
      </c>
      <c r="I9" s="623"/>
      <c r="J9" s="649" t="s">
        <v>7</v>
      </c>
      <c r="K9" s="623"/>
      <c r="L9" s="649" t="s">
        <v>8</v>
      </c>
      <c r="M9" s="623"/>
      <c r="N9" s="649" t="s">
        <v>9</v>
      </c>
      <c r="O9" s="623"/>
      <c r="P9" s="649" t="s">
        <v>10</v>
      </c>
      <c r="Q9" s="623"/>
      <c r="R9" s="649" t="s">
        <v>11</v>
      </c>
      <c r="S9" s="623"/>
      <c r="T9" s="649" t="s">
        <v>12</v>
      </c>
      <c r="U9" s="623"/>
      <c r="V9" s="649" t="s">
        <v>13</v>
      </c>
      <c r="W9" s="623"/>
      <c r="X9" s="649" t="s">
        <v>14</v>
      </c>
      <c r="Y9" s="623"/>
      <c r="Z9" s="649" t="s">
        <v>706</v>
      </c>
      <c r="AA9" s="623"/>
      <c r="AB9" s="649" t="s">
        <v>523</v>
      </c>
      <c r="AC9" s="622"/>
      <c r="AD9" s="622"/>
      <c r="AE9" s="622"/>
      <c r="AF9" s="622"/>
      <c r="AG9" s="623"/>
      <c r="AH9" s="649" t="s">
        <v>707</v>
      </c>
      <c r="AI9" s="622"/>
      <c r="AJ9" s="622"/>
      <c r="AK9" s="622"/>
      <c r="AL9" s="622"/>
      <c r="AM9" s="623"/>
      <c r="AN9" s="205"/>
      <c r="AO9" s="649" t="s">
        <v>3</v>
      </c>
      <c r="AP9" s="623"/>
      <c r="AQ9" s="649" t="s">
        <v>4</v>
      </c>
      <c r="AR9" s="623"/>
      <c r="AS9" s="649" t="s">
        <v>5</v>
      </c>
      <c r="AT9" s="623"/>
      <c r="AU9" s="649" t="s">
        <v>6</v>
      </c>
      <c r="AV9" s="623"/>
      <c r="AW9" s="649" t="s">
        <v>7</v>
      </c>
      <c r="AX9" s="623"/>
      <c r="AY9" s="649" t="s">
        <v>8</v>
      </c>
      <c r="AZ9" s="623"/>
      <c r="BA9" s="649" t="s">
        <v>9</v>
      </c>
      <c r="BB9" s="623"/>
      <c r="BC9" s="649" t="s">
        <v>10</v>
      </c>
      <c r="BD9" s="623"/>
      <c r="BE9" s="649" t="s">
        <v>11</v>
      </c>
      <c r="BF9" s="623"/>
      <c r="BG9" s="649" t="s">
        <v>12</v>
      </c>
      <c r="BH9" s="623"/>
      <c r="BI9" s="649" t="s">
        <v>13</v>
      </c>
      <c r="BJ9" s="623"/>
      <c r="BK9" s="649" t="s">
        <v>14</v>
      </c>
      <c r="BL9" s="623"/>
      <c r="BM9" s="649" t="s">
        <v>706</v>
      </c>
      <c r="BN9" s="623"/>
      <c r="BO9" s="649" t="s">
        <v>523</v>
      </c>
      <c r="BP9" s="622"/>
      <c r="BQ9" s="622"/>
      <c r="BR9" s="622"/>
      <c r="BS9" s="622"/>
      <c r="BT9" s="623"/>
      <c r="BU9" s="649" t="s">
        <v>707</v>
      </c>
      <c r="BV9" s="622"/>
      <c r="BW9" s="622"/>
      <c r="BX9" s="622"/>
      <c r="BY9" s="622"/>
      <c r="BZ9" s="623"/>
    </row>
    <row r="10" spans="1:78" ht="36" customHeight="1">
      <c r="A10" s="637"/>
      <c r="B10" s="340" t="s">
        <v>708</v>
      </c>
      <c r="C10" s="340" t="s">
        <v>709</v>
      </c>
      <c r="D10" s="340" t="s">
        <v>708</v>
      </c>
      <c r="E10" s="340" t="s">
        <v>709</v>
      </c>
      <c r="F10" s="340" t="s">
        <v>708</v>
      </c>
      <c r="G10" s="340" t="s">
        <v>709</v>
      </c>
      <c r="H10" s="340" t="s">
        <v>708</v>
      </c>
      <c r="I10" s="340" t="s">
        <v>709</v>
      </c>
      <c r="J10" s="340" t="s">
        <v>708</v>
      </c>
      <c r="K10" s="340" t="s">
        <v>709</v>
      </c>
      <c r="L10" s="340" t="s">
        <v>708</v>
      </c>
      <c r="M10" s="340" t="s">
        <v>709</v>
      </c>
      <c r="N10" s="340" t="s">
        <v>708</v>
      </c>
      <c r="O10" s="340" t="s">
        <v>709</v>
      </c>
      <c r="P10" s="340" t="s">
        <v>708</v>
      </c>
      <c r="Q10" s="340" t="s">
        <v>709</v>
      </c>
      <c r="R10" s="340" t="s">
        <v>708</v>
      </c>
      <c r="S10" s="340" t="s">
        <v>709</v>
      </c>
      <c r="T10" s="340" t="s">
        <v>708</v>
      </c>
      <c r="U10" s="340" t="s">
        <v>709</v>
      </c>
      <c r="V10" s="340" t="s">
        <v>708</v>
      </c>
      <c r="W10" s="340" t="s">
        <v>709</v>
      </c>
      <c r="X10" s="340" t="s">
        <v>708</v>
      </c>
      <c r="Y10" s="340" t="s">
        <v>709</v>
      </c>
      <c r="Z10" s="340" t="s">
        <v>708</v>
      </c>
      <c r="AA10" s="340" t="s">
        <v>709</v>
      </c>
      <c r="AB10" s="359" t="s">
        <v>549</v>
      </c>
      <c r="AC10" s="359" t="s">
        <v>558</v>
      </c>
      <c r="AD10" s="359" t="s">
        <v>565</v>
      </c>
      <c r="AE10" s="359" t="s">
        <v>572</v>
      </c>
      <c r="AF10" s="360" t="s">
        <v>710</v>
      </c>
      <c r="AG10" s="359" t="s">
        <v>540</v>
      </c>
      <c r="AH10" s="340" t="s">
        <v>711</v>
      </c>
      <c r="AI10" s="361" t="s">
        <v>712</v>
      </c>
      <c r="AJ10" s="340" t="s">
        <v>713</v>
      </c>
      <c r="AK10" s="340" t="s">
        <v>714</v>
      </c>
      <c r="AL10" s="340" t="s">
        <v>715</v>
      </c>
      <c r="AM10" s="340" t="s">
        <v>571</v>
      </c>
      <c r="AN10" s="205"/>
      <c r="AO10" s="340" t="s">
        <v>708</v>
      </c>
      <c r="AP10" s="340" t="s">
        <v>709</v>
      </c>
      <c r="AQ10" s="340" t="s">
        <v>708</v>
      </c>
      <c r="AR10" s="340" t="s">
        <v>709</v>
      </c>
      <c r="AS10" s="340" t="s">
        <v>708</v>
      </c>
      <c r="AT10" s="340" t="s">
        <v>709</v>
      </c>
      <c r="AU10" s="340" t="s">
        <v>708</v>
      </c>
      <c r="AV10" s="340" t="s">
        <v>709</v>
      </c>
      <c r="AW10" s="340" t="s">
        <v>708</v>
      </c>
      <c r="AX10" s="340" t="s">
        <v>709</v>
      </c>
      <c r="AY10" s="340" t="s">
        <v>708</v>
      </c>
      <c r="AZ10" s="340" t="s">
        <v>709</v>
      </c>
      <c r="BA10" s="340" t="s">
        <v>708</v>
      </c>
      <c r="BB10" s="340" t="s">
        <v>709</v>
      </c>
      <c r="BC10" s="340" t="s">
        <v>708</v>
      </c>
      <c r="BD10" s="340" t="s">
        <v>709</v>
      </c>
      <c r="BE10" s="340" t="s">
        <v>708</v>
      </c>
      <c r="BF10" s="340" t="s">
        <v>709</v>
      </c>
      <c r="BG10" s="340" t="s">
        <v>708</v>
      </c>
      <c r="BH10" s="340" t="s">
        <v>709</v>
      </c>
      <c r="BI10" s="340" t="s">
        <v>708</v>
      </c>
      <c r="BJ10" s="340" t="s">
        <v>709</v>
      </c>
      <c r="BK10" s="340" t="s">
        <v>708</v>
      </c>
      <c r="BL10" s="340" t="s">
        <v>709</v>
      </c>
      <c r="BM10" s="340" t="s">
        <v>708</v>
      </c>
      <c r="BN10" s="340" t="s">
        <v>709</v>
      </c>
      <c r="BO10" s="359" t="s">
        <v>549</v>
      </c>
      <c r="BP10" s="359" t="s">
        <v>558</v>
      </c>
      <c r="BQ10" s="359" t="s">
        <v>565</v>
      </c>
      <c r="BR10" s="359" t="s">
        <v>572</v>
      </c>
      <c r="BS10" s="360" t="s">
        <v>710</v>
      </c>
      <c r="BT10" s="359" t="s">
        <v>540</v>
      </c>
      <c r="BU10" s="362" t="s">
        <v>711</v>
      </c>
      <c r="BV10" s="363" t="s">
        <v>712</v>
      </c>
      <c r="BW10" s="362" t="s">
        <v>713</v>
      </c>
      <c r="BX10" s="362" t="s">
        <v>714</v>
      </c>
      <c r="BY10" s="362" t="s">
        <v>715</v>
      </c>
      <c r="BZ10" s="362" t="s">
        <v>571</v>
      </c>
    </row>
    <row r="11" spans="1:78" ht="13.5" customHeight="1">
      <c r="A11" s="364" t="s">
        <v>716</v>
      </c>
      <c r="B11" s="364"/>
      <c r="C11" s="364"/>
      <c r="D11" s="364"/>
      <c r="E11" s="364"/>
      <c r="F11" s="364"/>
      <c r="G11" s="364"/>
      <c r="H11" s="364"/>
      <c r="I11" s="364"/>
      <c r="J11" s="364"/>
      <c r="K11" s="364"/>
      <c r="L11" s="364"/>
      <c r="M11" s="364"/>
      <c r="N11" s="364"/>
      <c r="O11" s="365"/>
      <c r="P11" s="365"/>
      <c r="Q11" s="365"/>
      <c r="R11" s="365"/>
      <c r="S11" s="365"/>
      <c r="T11" s="365"/>
      <c r="U11" s="365"/>
      <c r="V11" s="365"/>
      <c r="W11" s="365"/>
      <c r="X11" s="365"/>
      <c r="Y11" s="365"/>
      <c r="Z11" s="366">
        <f t="shared" ref="Z11:AA26" si="0">B11+D11+F11+H11+J11+L11+N11+P11+R11+T11+V11+X11</f>
        <v>0</v>
      </c>
      <c r="AA11" s="367">
        <f t="shared" si="0"/>
        <v>0</v>
      </c>
      <c r="AB11" s="368"/>
      <c r="AC11" s="368"/>
      <c r="AD11" s="368"/>
      <c r="AE11" s="368"/>
      <c r="AF11" s="368"/>
      <c r="AG11" s="369"/>
      <c r="AH11" s="369"/>
      <c r="AI11" s="369"/>
      <c r="AJ11" s="369"/>
      <c r="AK11" s="369"/>
      <c r="AL11" s="369"/>
      <c r="AM11" s="370"/>
      <c r="AN11" s="205"/>
      <c r="AO11" s="364"/>
      <c r="AP11" s="364"/>
      <c r="AQ11" s="371"/>
      <c r="AR11" s="364"/>
      <c r="AS11" s="364"/>
      <c r="AT11" s="364"/>
      <c r="AU11" s="364"/>
      <c r="AV11" s="364"/>
      <c r="AW11" s="364"/>
      <c r="AX11" s="364"/>
      <c r="AY11" s="364"/>
      <c r="AZ11" s="364"/>
      <c r="BA11" s="364">
        <v>31</v>
      </c>
      <c r="BB11" s="365"/>
      <c r="BC11" s="365">
        <v>106</v>
      </c>
      <c r="BD11" s="365"/>
      <c r="BE11" s="365">
        <v>249</v>
      </c>
      <c r="BF11" s="365"/>
      <c r="BG11" s="365">
        <v>27</v>
      </c>
      <c r="BH11" s="365"/>
      <c r="BI11" s="365"/>
      <c r="BJ11" s="365"/>
      <c r="BK11" s="365"/>
      <c r="BL11" s="365"/>
      <c r="BM11" s="366">
        <f>AO11+AQ11+AS11+AU11+AW11+AY11+BA11+BC11+BE11+BG11+BI11+BK11</f>
        <v>413</v>
      </c>
      <c r="BN11" s="367">
        <f t="shared" ref="BM11:BN26" si="1">AP11+AR11+AT11+AV11+AX11+AZ11+BB11+BD11+BF11+BH11+BJ11+BL11</f>
        <v>0</v>
      </c>
      <c r="BO11" s="369"/>
      <c r="BP11" s="369"/>
      <c r="BQ11" s="369"/>
      <c r="BR11" s="369"/>
      <c r="BS11" s="369"/>
      <c r="BT11" s="369"/>
      <c r="BU11" s="369"/>
      <c r="BV11" s="369"/>
      <c r="BW11" s="369"/>
      <c r="BX11" s="369"/>
      <c r="BY11" s="369"/>
      <c r="BZ11" s="370"/>
    </row>
    <row r="12" spans="1:78" ht="13.5" customHeight="1">
      <c r="A12" s="364" t="s">
        <v>717</v>
      </c>
      <c r="B12" s="364"/>
      <c r="C12" s="364"/>
      <c r="D12" s="364"/>
      <c r="E12" s="364"/>
      <c r="F12" s="364"/>
      <c r="G12" s="364"/>
      <c r="H12" s="364"/>
      <c r="I12" s="364"/>
      <c r="J12" s="364"/>
      <c r="K12" s="364"/>
      <c r="L12" s="364"/>
      <c r="M12" s="364"/>
      <c r="N12" s="364"/>
      <c r="O12" s="365"/>
      <c r="P12" s="365"/>
      <c r="Q12" s="365"/>
      <c r="R12" s="365"/>
      <c r="S12" s="365"/>
      <c r="T12" s="365"/>
      <c r="U12" s="365"/>
      <c r="V12" s="365"/>
      <c r="W12" s="365"/>
      <c r="X12" s="365"/>
      <c r="Y12" s="365"/>
      <c r="Z12" s="366">
        <f t="shared" si="0"/>
        <v>0</v>
      </c>
      <c r="AA12" s="367">
        <f t="shared" si="0"/>
        <v>0</v>
      </c>
      <c r="AB12" s="368"/>
      <c r="AC12" s="368"/>
      <c r="AD12" s="368"/>
      <c r="AE12" s="368"/>
      <c r="AF12" s="368"/>
      <c r="AG12" s="369"/>
      <c r="AH12" s="369"/>
      <c r="AI12" s="369"/>
      <c r="AJ12" s="369"/>
      <c r="AK12" s="369"/>
      <c r="AL12" s="369"/>
      <c r="AM12" s="369"/>
      <c r="AN12" s="205"/>
      <c r="AO12" s="364"/>
      <c r="AP12" s="364"/>
      <c r="AQ12" s="364">
        <v>21</v>
      </c>
      <c r="AR12" s="364"/>
      <c r="AS12" s="364">
        <v>17</v>
      </c>
      <c r="AT12" s="364"/>
      <c r="AU12" s="364">
        <v>33</v>
      </c>
      <c r="AV12" s="364"/>
      <c r="AW12" s="364">
        <v>24</v>
      </c>
      <c r="AX12" s="364"/>
      <c r="AY12" s="364">
        <v>19</v>
      </c>
      <c r="AZ12" s="364"/>
      <c r="BA12" s="364">
        <v>0</v>
      </c>
      <c r="BB12" s="365"/>
      <c r="BC12" s="365">
        <v>16</v>
      </c>
      <c r="BD12" s="365"/>
      <c r="BE12" s="365">
        <v>0</v>
      </c>
      <c r="BF12" s="365"/>
      <c r="BG12" s="365">
        <v>3</v>
      </c>
      <c r="BH12" s="365"/>
      <c r="BI12" s="365">
        <v>3</v>
      </c>
      <c r="BJ12" s="365"/>
      <c r="BK12" s="365"/>
      <c r="BL12" s="365"/>
      <c r="BM12" s="366">
        <f t="shared" si="1"/>
        <v>136</v>
      </c>
      <c r="BN12" s="367">
        <f t="shared" si="1"/>
        <v>0</v>
      </c>
      <c r="BO12" s="369"/>
      <c r="BP12" s="369"/>
      <c r="BQ12" s="369"/>
      <c r="BR12" s="369"/>
      <c r="BS12" s="369"/>
      <c r="BT12" s="369"/>
      <c r="BU12" s="369"/>
      <c r="BV12" s="369"/>
      <c r="BW12" s="369"/>
      <c r="BX12" s="369"/>
      <c r="BY12" s="369"/>
      <c r="BZ12" s="369"/>
    </row>
    <row r="13" spans="1:78" ht="13.5" customHeight="1">
      <c r="A13" s="364" t="s">
        <v>718</v>
      </c>
      <c r="B13" s="364"/>
      <c r="C13" s="364"/>
      <c r="D13" s="364"/>
      <c r="E13" s="364"/>
      <c r="F13" s="364"/>
      <c r="G13" s="364"/>
      <c r="H13" s="364"/>
      <c r="I13" s="364"/>
      <c r="J13" s="364"/>
      <c r="K13" s="364"/>
      <c r="L13" s="364"/>
      <c r="M13" s="364"/>
      <c r="N13" s="364"/>
      <c r="O13" s="365"/>
      <c r="P13" s="365"/>
      <c r="Q13" s="365"/>
      <c r="R13" s="365"/>
      <c r="S13" s="365"/>
      <c r="T13" s="365"/>
      <c r="U13" s="365"/>
      <c r="V13" s="365"/>
      <c r="W13" s="365"/>
      <c r="X13" s="365"/>
      <c r="Y13" s="365"/>
      <c r="Z13" s="366">
        <f t="shared" si="0"/>
        <v>0</v>
      </c>
      <c r="AA13" s="367">
        <f t="shared" si="0"/>
        <v>0</v>
      </c>
      <c r="AB13" s="368"/>
      <c r="AC13" s="368"/>
      <c r="AD13" s="368"/>
      <c r="AE13" s="368"/>
      <c r="AF13" s="368"/>
      <c r="AG13" s="369"/>
      <c r="AH13" s="369"/>
      <c r="AI13" s="369"/>
      <c r="AJ13" s="369"/>
      <c r="AK13" s="369"/>
      <c r="AL13" s="369"/>
      <c r="AM13" s="369"/>
      <c r="AN13" s="205"/>
      <c r="AO13" s="364"/>
      <c r="AP13" s="364"/>
      <c r="AQ13" s="371"/>
      <c r="AR13" s="364"/>
      <c r="AS13" s="364">
        <v>33</v>
      </c>
      <c r="AT13" s="364"/>
      <c r="AU13" s="364">
        <v>17</v>
      </c>
      <c r="AV13" s="364"/>
      <c r="AW13" s="364">
        <v>33</v>
      </c>
      <c r="AX13" s="364"/>
      <c r="AY13" s="364">
        <v>24</v>
      </c>
      <c r="AZ13" s="364"/>
      <c r="BA13" s="364">
        <v>23</v>
      </c>
      <c r="BB13" s="365"/>
      <c r="BC13" s="365">
        <v>10</v>
      </c>
      <c r="BD13" s="365"/>
      <c r="BE13" s="365">
        <v>0</v>
      </c>
      <c r="BF13" s="365"/>
      <c r="BG13" s="365"/>
      <c r="BH13" s="365"/>
      <c r="BI13" s="365">
        <v>15</v>
      </c>
      <c r="BJ13" s="365"/>
      <c r="BK13" s="365"/>
      <c r="BL13" s="365"/>
      <c r="BM13" s="366">
        <f t="shared" si="1"/>
        <v>155</v>
      </c>
      <c r="BN13" s="367">
        <f t="shared" si="1"/>
        <v>0</v>
      </c>
      <c r="BO13" s="369"/>
      <c r="BP13" s="369"/>
      <c r="BQ13" s="369"/>
      <c r="BR13" s="369"/>
      <c r="BS13" s="369"/>
      <c r="BT13" s="369"/>
      <c r="BU13" s="369"/>
      <c r="BV13" s="369"/>
      <c r="BW13" s="369"/>
      <c r="BX13" s="369"/>
      <c r="BY13" s="369"/>
      <c r="BZ13" s="369"/>
    </row>
    <row r="14" spans="1:78" ht="13.5" customHeight="1">
      <c r="A14" s="364" t="s">
        <v>719</v>
      </c>
      <c r="B14" s="364"/>
      <c r="C14" s="364"/>
      <c r="D14" s="364"/>
      <c r="E14" s="364"/>
      <c r="F14" s="364"/>
      <c r="G14" s="364"/>
      <c r="H14" s="364"/>
      <c r="I14" s="364"/>
      <c r="J14" s="364"/>
      <c r="K14" s="364"/>
      <c r="L14" s="364"/>
      <c r="M14" s="364"/>
      <c r="N14" s="364"/>
      <c r="O14" s="365"/>
      <c r="P14" s="365"/>
      <c r="Q14" s="365"/>
      <c r="R14" s="365"/>
      <c r="S14" s="365"/>
      <c r="T14" s="365"/>
      <c r="U14" s="365"/>
      <c r="V14" s="365"/>
      <c r="W14" s="365"/>
      <c r="X14" s="365"/>
      <c r="Y14" s="365"/>
      <c r="Z14" s="366">
        <f t="shared" si="0"/>
        <v>0</v>
      </c>
      <c r="AA14" s="367">
        <f t="shared" si="0"/>
        <v>0</v>
      </c>
      <c r="AB14" s="368"/>
      <c r="AC14" s="368"/>
      <c r="AD14" s="368"/>
      <c r="AE14" s="368"/>
      <c r="AF14" s="368"/>
      <c r="AG14" s="369"/>
      <c r="AH14" s="369"/>
      <c r="AI14" s="369"/>
      <c r="AJ14" s="369"/>
      <c r="AK14" s="369"/>
      <c r="AL14" s="369"/>
      <c r="AM14" s="369"/>
      <c r="AN14" s="205"/>
      <c r="AO14" s="364"/>
      <c r="AP14" s="364"/>
      <c r="AQ14" s="364">
        <v>14</v>
      </c>
      <c r="AR14" s="364"/>
      <c r="AS14" s="364">
        <v>17</v>
      </c>
      <c r="AT14" s="364"/>
      <c r="AU14" s="364">
        <v>16</v>
      </c>
      <c r="AV14" s="364"/>
      <c r="AW14" s="364">
        <v>11</v>
      </c>
      <c r="AX14" s="364"/>
      <c r="AY14" s="364">
        <v>8</v>
      </c>
      <c r="AZ14" s="364"/>
      <c r="BA14" s="364">
        <v>18</v>
      </c>
      <c r="BB14" s="365"/>
      <c r="BC14" s="365">
        <v>11</v>
      </c>
      <c r="BD14" s="365"/>
      <c r="BE14" s="365">
        <v>0</v>
      </c>
      <c r="BF14" s="365"/>
      <c r="BG14" s="365">
        <v>8</v>
      </c>
      <c r="BH14" s="365"/>
      <c r="BI14" s="365"/>
      <c r="BJ14" s="365"/>
      <c r="BK14" s="365"/>
      <c r="BL14" s="365"/>
      <c r="BM14" s="366">
        <f t="shared" si="1"/>
        <v>103</v>
      </c>
      <c r="BN14" s="367">
        <f t="shared" si="1"/>
        <v>0</v>
      </c>
      <c r="BO14" s="369"/>
      <c r="BP14" s="369"/>
      <c r="BQ14" s="369"/>
      <c r="BR14" s="369"/>
      <c r="BS14" s="369"/>
      <c r="BT14" s="369"/>
      <c r="BU14" s="369"/>
      <c r="BV14" s="369"/>
      <c r="BW14" s="369"/>
      <c r="BX14" s="369"/>
      <c r="BY14" s="369"/>
      <c r="BZ14" s="369"/>
    </row>
    <row r="15" spans="1:78" ht="13.5" customHeight="1">
      <c r="A15" s="364" t="s">
        <v>720</v>
      </c>
      <c r="B15" s="364"/>
      <c r="C15" s="364"/>
      <c r="D15" s="364"/>
      <c r="E15" s="364"/>
      <c r="F15" s="364"/>
      <c r="G15" s="364"/>
      <c r="H15" s="364"/>
      <c r="I15" s="364"/>
      <c r="J15" s="364"/>
      <c r="K15" s="364"/>
      <c r="L15" s="364"/>
      <c r="M15" s="364"/>
      <c r="N15" s="364"/>
      <c r="O15" s="365"/>
      <c r="P15" s="365"/>
      <c r="Q15" s="365"/>
      <c r="R15" s="365"/>
      <c r="S15" s="365"/>
      <c r="T15" s="365"/>
      <c r="U15" s="365"/>
      <c r="V15" s="365"/>
      <c r="W15" s="365"/>
      <c r="X15" s="365"/>
      <c r="Y15" s="365"/>
      <c r="Z15" s="366">
        <f t="shared" si="0"/>
        <v>0</v>
      </c>
      <c r="AA15" s="367">
        <f t="shared" si="0"/>
        <v>0</v>
      </c>
      <c r="AB15" s="368"/>
      <c r="AC15" s="368"/>
      <c r="AD15" s="368"/>
      <c r="AE15" s="368"/>
      <c r="AF15" s="368"/>
      <c r="AG15" s="369"/>
      <c r="AH15" s="369"/>
      <c r="AI15" s="369"/>
      <c r="AJ15" s="369"/>
      <c r="AK15" s="369"/>
      <c r="AL15" s="369"/>
      <c r="AM15" s="369"/>
      <c r="AN15" s="205"/>
      <c r="AO15" s="364"/>
      <c r="AP15" s="364"/>
      <c r="AQ15" s="364">
        <v>3</v>
      </c>
      <c r="AR15" s="364"/>
      <c r="AS15" s="364">
        <v>13</v>
      </c>
      <c r="AT15" s="364"/>
      <c r="AU15" s="364">
        <v>20</v>
      </c>
      <c r="AV15" s="364"/>
      <c r="AW15" s="364">
        <v>62</v>
      </c>
      <c r="AX15" s="364"/>
      <c r="AY15" s="364">
        <v>23</v>
      </c>
      <c r="AZ15" s="364"/>
      <c r="BA15" s="364">
        <v>32</v>
      </c>
      <c r="BB15" s="365"/>
      <c r="BC15" s="365">
        <v>0</v>
      </c>
      <c r="BD15" s="365"/>
      <c r="BE15" s="365">
        <v>0</v>
      </c>
      <c r="BF15" s="365"/>
      <c r="BG15" s="365"/>
      <c r="BH15" s="365"/>
      <c r="BI15" s="365"/>
      <c r="BJ15" s="365"/>
      <c r="BK15" s="365"/>
      <c r="BL15" s="365"/>
      <c r="BM15" s="366">
        <f t="shared" si="1"/>
        <v>153</v>
      </c>
      <c r="BN15" s="367">
        <f t="shared" si="1"/>
        <v>0</v>
      </c>
      <c r="BO15" s="369"/>
      <c r="BP15" s="369"/>
      <c r="BQ15" s="369"/>
      <c r="BR15" s="369"/>
      <c r="BS15" s="369"/>
      <c r="BT15" s="369"/>
      <c r="BU15" s="369"/>
      <c r="BV15" s="369"/>
      <c r="BW15" s="369"/>
      <c r="BX15" s="369"/>
      <c r="BY15" s="369"/>
      <c r="BZ15" s="369"/>
    </row>
    <row r="16" spans="1:78" ht="13.5" customHeight="1">
      <c r="A16" s="364" t="s">
        <v>721</v>
      </c>
      <c r="B16" s="364"/>
      <c r="C16" s="364"/>
      <c r="D16" s="364"/>
      <c r="E16" s="364"/>
      <c r="F16" s="364"/>
      <c r="G16" s="364"/>
      <c r="H16" s="364"/>
      <c r="I16" s="364"/>
      <c r="J16" s="364"/>
      <c r="K16" s="364"/>
      <c r="L16" s="364"/>
      <c r="M16" s="364"/>
      <c r="N16" s="364"/>
      <c r="O16" s="365"/>
      <c r="P16" s="365"/>
      <c r="Q16" s="365"/>
      <c r="R16" s="365"/>
      <c r="S16" s="365"/>
      <c r="T16" s="365"/>
      <c r="U16" s="365"/>
      <c r="V16" s="365"/>
      <c r="W16" s="365"/>
      <c r="X16" s="365"/>
      <c r="Y16" s="365"/>
      <c r="Z16" s="366">
        <f t="shared" si="0"/>
        <v>0</v>
      </c>
      <c r="AA16" s="367">
        <f t="shared" si="0"/>
        <v>0</v>
      </c>
      <c r="AB16" s="368"/>
      <c r="AC16" s="368"/>
      <c r="AD16" s="368"/>
      <c r="AE16" s="368"/>
      <c r="AF16" s="368"/>
      <c r="AG16" s="369"/>
      <c r="AH16" s="369"/>
      <c r="AI16" s="369"/>
      <c r="AJ16" s="369"/>
      <c r="AK16" s="369"/>
      <c r="AL16" s="369"/>
      <c r="AM16" s="369"/>
      <c r="AN16" s="205"/>
      <c r="AO16" s="364"/>
      <c r="AP16" s="364"/>
      <c r="AQ16" s="364">
        <v>17</v>
      </c>
      <c r="AR16" s="364"/>
      <c r="AS16" s="364">
        <v>27</v>
      </c>
      <c r="AT16" s="364"/>
      <c r="AU16" s="364">
        <v>27</v>
      </c>
      <c r="AV16" s="364"/>
      <c r="AW16" s="364">
        <v>35</v>
      </c>
      <c r="AX16" s="364"/>
      <c r="AY16" s="364">
        <v>24</v>
      </c>
      <c r="AZ16" s="364"/>
      <c r="BA16" s="364">
        <v>28</v>
      </c>
      <c r="BB16" s="365"/>
      <c r="BC16" s="365">
        <v>0</v>
      </c>
      <c r="BD16" s="365"/>
      <c r="BE16" s="365">
        <v>16</v>
      </c>
      <c r="BF16" s="365"/>
      <c r="BG16" s="365"/>
      <c r="BH16" s="365"/>
      <c r="BI16" s="365">
        <v>9</v>
      </c>
      <c r="BJ16" s="365"/>
      <c r="BK16" s="365"/>
      <c r="BL16" s="365"/>
      <c r="BM16" s="366">
        <f t="shared" si="1"/>
        <v>183</v>
      </c>
      <c r="BN16" s="367">
        <f t="shared" si="1"/>
        <v>0</v>
      </c>
      <c r="BO16" s="369"/>
      <c r="BP16" s="369"/>
      <c r="BQ16" s="369"/>
      <c r="BR16" s="369"/>
      <c r="BS16" s="369"/>
      <c r="BT16" s="369"/>
      <c r="BU16" s="369"/>
      <c r="BV16" s="369"/>
      <c r="BW16" s="369"/>
      <c r="BX16" s="369"/>
      <c r="BY16" s="369"/>
      <c r="BZ16" s="369"/>
    </row>
    <row r="17" spans="1:78" ht="13.5" customHeight="1">
      <c r="A17" s="364" t="s">
        <v>722</v>
      </c>
      <c r="B17" s="364"/>
      <c r="C17" s="364"/>
      <c r="D17" s="364"/>
      <c r="E17" s="364"/>
      <c r="F17" s="364"/>
      <c r="G17" s="364"/>
      <c r="H17" s="364"/>
      <c r="I17" s="364"/>
      <c r="J17" s="364"/>
      <c r="K17" s="364"/>
      <c r="L17" s="364"/>
      <c r="M17" s="364"/>
      <c r="N17" s="364"/>
      <c r="O17" s="365"/>
      <c r="P17" s="365"/>
      <c r="Q17" s="365"/>
      <c r="R17" s="365"/>
      <c r="S17" s="365"/>
      <c r="T17" s="365"/>
      <c r="U17" s="365"/>
      <c r="V17" s="365"/>
      <c r="W17" s="365"/>
      <c r="X17" s="365"/>
      <c r="Y17" s="365"/>
      <c r="Z17" s="366">
        <f t="shared" si="0"/>
        <v>0</v>
      </c>
      <c r="AA17" s="367">
        <f t="shared" si="0"/>
        <v>0</v>
      </c>
      <c r="AB17" s="368"/>
      <c r="AC17" s="368"/>
      <c r="AD17" s="368"/>
      <c r="AE17" s="368"/>
      <c r="AF17" s="368"/>
      <c r="AG17" s="369"/>
      <c r="AH17" s="369"/>
      <c r="AI17" s="369"/>
      <c r="AJ17" s="369"/>
      <c r="AK17" s="369"/>
      <c r="AL17" s="369"/>
      <c r="AM17" s="369"/>
      <c r="AN17" s="205"/>
      <c r="AO17" s="364"/>
      <c r="AP17" s="364"/>
      <c r="AQ17" s="371"/>
      <c r="AR17" s="364"/>
      <c r="AS17" s="364">
        <v>22</v>
      </c>
      <c r="AT17" s="364"/>
      <c r="AU17" s="364">
        <v>67</v>
      </c>
      <c r="AV17" s="364"/>
      <c r="AW17" s="364">
        <v>41</v>
      </c>
      <c r="AX17" s="364"/>
      <c r="AY17" s="364">
        <v>20</v>
      </c>
      <c r="AZ17" s="364"/>
      <c r="BA17" s="364">
        <v>21</v>
      </c>
      <c r="BB17" s="365"/>
      <c r="BC17" s="365">
        <v>0</v>
      </c>
      <c r="BD17" s="365"/>
      <c r="BE17" s="365">
        <v>0</v>
      </c>
      <c r="BF17" s="365"/>
      <c r="BG17" s="365"/>
      <c r="BH17" s="365"/>
      <c r="BI17" s="365"/>
      <c r="BJ17" s="365"/>
      <c r="BK17" s="365"/>
      <c r="BL17" s="365"/>
      <c r="BM17" s="366">
        <f t="shared" si="1"/>
        <v>171</v>
      </c>
      <c r="BN17" s="367">
        <f t="shared" si="1"/>
        <v>0</v>
      </c>
      <c r="BO17" s="369"/>
      <c r="BP17" s="369"/>
      <c r="BQ17" s="369"/>
      <c r="BR17" s="369"/>
      <c r="BS17" s="369"/>
      <c r="BT17" s="369"/>
      <c r="BU17" s="369"/>
      <c r="BV17" s="369"/>
      <c r="BW17" s="369"/>
      <c r="BX17" s="369"/>
      <c r="BY17" s="369"/>
      <c r="BZ17" s="369"/>
    </row>
    <row r="18" spans="1:78" ht="13.5" customHeight="1">
      <c r="A18" s="364" t="s">
        <v>723</v>
      </c>
      <c r="B18" s="364"/>
      <c r="C18" s="364"/>
      <c r="D18" s="364"/>
      <c r="E18" s="364"/>
      <c r="F18" s="364"/>
      <c r="G18" s="364"/>
      <c r="H18" s="364"/>
      <c r="I18" s="364"/>
      <c r="J18" s="364"/>
      <c r="K18" s="364"/>
      <c r="L18" s="364"/>
      <c r="M18" s="364"/>
      <c r="N18" s="364"/>
      <c r="O18" s="365"/>
      <c r="P18" s="365"/>
      <c r="Q18" s="365"/>
      <c r="R18" s="365"/>
      <c r="S18" s="365"/>
      <c r="T18" s="365"/>
      <c r="U18" s="365"/>
      <c r="V18" s="365"/>
      <c r="W18" s="365"/>
      <c r="X18" s="365"/>
      <c r="Y18" s="365"/>
      <c r="Z18" s="366">
        <f t="shared" si="0"/>
        <v>0</v>
      </c>
      <c r="AA18" s="367">
        <f t="shared" si="0"/>
        <v>0</v>
      </c>
      <c r="AB18" s="368"/>
      <c r="AC18" s="368"/>
      <c r="AD18" s="368"/>
      <c r="AE18" s="368"/>
      <c r="AF18" s="368"/>
      <c r="AG18" s="369"/>
      <c r="AH18" s="369"/>
      <c r="AI18" s="369"/>
      <c r="AJ18" s="369"/>
      <c r="AK18" s="369"/>
      <c r="AL18" s="369"/>
      <c r="AM18" s="369"/>
      <c r="AN18" s="205"/>
      <c r="AO18" s="364"/>
      <c r="AP18" s="364"/>
      <c r="AQ18" s="364">
        <v>40</v>
      </c>
      <c r="AR18" s="364"/>
      <c r="AS18" s="364">
        <v>22</v>
      </c>
      <c r="AT18" s="364"/>
      <c r="AU18" s="364">
        <v>36</v>
      </c>
      <c r="AV18" s="364"/>
      <c r="AW18" s="364">
        <v>35</v>
      </c>
      <c r="AX18" s="364"/>
      <c r="AY18" s="364">
        <v>42</v>
      </c>
      <c r="AZ18" s="364"/>
      <c r="BA18" s="364">
        <v>26</v>
      </c>
      <c r="BB18" s="365"/>
      <c r="BC18" s="365">
        <v>0</v>
      </c>
      <c r="BD18" s="365"/>
      <c r="BE18" s="365">
        <v>0</v>
      </c>
      <c r="BF18" s="365"/>
      <c r="BG18" s="365"/>
      <c r="BH18" s="365"/>
      <c r="BI18" s="365"/>
      <c r="BJ18" s="365"/>
      <c r="BK18" s="365"/>
      <c r="BL18" s="365"/>
      <c r="BM18" s="366">
        <f t="shared" si="1"/>
        <v>201</v>
      </c>
      <c r="BN18" s="367">
        <f t="shared" si="1"/>
        <v>0</v>
      </c>
      <c r="BO18" s="369"/>
      <c r="BP18" s="369"/>
      <c r="BQ18" s="369"/>
      <c r="BR18" s="369"/>
      <c r="BS18" s="369"/>
      <c r="BT18" s="369"/>
      <c r="BU18" s="369"/>
      <c r="BV18" s="369"/>
      <c r="BW18" s="369"/>
      <c r="BX18" s="369"/>
      <c r="BY18" s="369"/>
      <c r="BZ18" s="369"/>
    </row>
    <row r="19" spans="1:78" ht="13.5" customHeight="1">
      <c r="A19" s="364" t="s">
        <v>724</v>
      </c>
      <c r="B19" s="364"/>
      <c r="C19" s="364"/>
      <c r="D19" s="364"/>
      <c r="E19" s="364"/>
      <c r="F19" s="364"/>
      <c r="G19" s="364"/>
      <c r="H19" s="364"/>
      <c r="I19" s="364"/>
      <c r="J19" s="364"/>
      <c r="K19" s="364"/>
      <c r="L19" s="364"/>
      <c r="M19" s="364"/>
      <c r="N19" s="364"/>
      <c r="O19" s="365"/>
      <c r="P19" s="365"/>
      <c r="Q19" s="365"/>
      <c r="R19" s="365"/>
      <c r="S19" s="365"/>
      <c r="T19" s="365"/>
      <c r="U19" s="365"/>
      <c r="V19" s="365"/>
      <c r="W19" s="365"/>
      <c r="X19" s="365"/>
      <c r="Y19" s="365"/>
      <c r="Z19" s="366">
        <f t="shared" si="0"/>
        <v>0</v>
      </c>
      <c r="AA19" s="367">
        <f t="shared" si="0"/>
        <v>0</v>
      </c>
      <c r="AB19" s="368"/>
      <c r="AC19" s="368"/>
      <c r="AD19" s="368"/>
      <c r="AE19" s="368"/>
      <c r="AF19" s="368"/>
      <c r="AG19" s="369"/>
      <c r="AH19" s="369"/>
      <c r="AI19" s="369"/>
      <c r="AJ19" s="369"/>
      <c r="AK19" s="369"/>
      <c r="AL19" s="369"/>
      <c r="AM19" s="369"/>
      <c r="AN19" s="205"/>
      <c r="AO19" s="364"/>
      <c r="AP19" s="364"/>
      <c r="AQ19" s="364">
        <v>50</v>
      </c>
      <c r="AR19" s="364"/>
      <c r="AS19" s="364">
        <v>24</v>
      </c>
      <c r="AT19" s="364"/>
      <c r="AU19" s="364">
        <v>19</v>
      </c>
      <c r="AV19" s="364"/>
      <c r="AW19" s="364">
        <v>41</v>
      </c>
      <c r="AX19" s="364"/>
      <c r="AY19" s="364">
        <v>23</v>
      </c>
      <c r="AZ19" s="364"/>
      <c r="BA19" s="364">
        <v>53</v>
      </c>
      <c r="BB19" s="365"/>
      <c r="BC19" s="365">
        <v>0</v>
      </c>
      <c r="BD19" s="365"/>
      <c r="BE19" s="365">
        <v>10</v>
      </c>
      <c r="BF19" s="365"/>
      <c r="BG19" s="365">
        <v>6</v>
      </c>
      <c r="BH19" s="365"/>
      <c r="BI19" s="365">
        <v>13</v>
      </c>
      <c r="BJ19" s="365"/>
      <c r="BK19" s="365"/>
      <c r="BL19" s="365"/>
      <c r="BM19" s="366">
        <f t="shared" si="1"/>
        <v>239</v>
      </c>
      <c r="BN19" s="367">
        <f t="shared" si="1"/>
        <v>0</v>
      </c>
      <c r="BO19" s="369"/>
      <c r="BP19" s="369"/>
      <c r="BQ19" s="369"/>
      <c r="BR19" s="369"/>
      <c r="BS19" s="369"/>
      <c r="BT19" s="369"/>
      <c r="BU19" s="369"/>
      <c r="BV19" s="369"/>
      <c r="BW19" s="369"/>
      <c r="BX19" s="369"/>
      <c r="BY19" s="369"/>
      <c r="BZ19" s="369"/>
    </row>
    <row r="20" spans="1:78" ht="13.5" customHeight="1">
      <c r="A20" s="364" t="s">
        <v>725</v>
      </c>
      <c r="B20" s="364"/>
      <c r="C20" s="364"/>
      <c r="D20" s="364"/>
      <c r="E20" s="364"/>
      <c r="F20" s="364"/>
      <c r="G20" s="364"/>
      <c r="H20" s="364"/>
      <c r="I20" s="364"/>
      <c r="J20" s="364"/>
      <c r="K20" s="364"/>
      <c r="L20" s="364"/>
      <c r="M20" s="364"/>
      <c r="N20" s="364"/>
      <c r="O20" s="365"/>
      <c r="P20" s="365"/>
      <c r="Q20" s="365"/>
      <c r="R20" s="365"/>
      <c r="S20" s="365"/>
      <c r="T20" s="365"/>
      <c r="U20" s="365"/>
      <c r="V20" s="365"/>
      <c r="W20" s="365"/>
      <c r="X20" s="365"/>
      <c r="Y20" s="365"/>
      <c r="Z20" s="366">
        <f t="shared" si="0"/>
        <v>0</v>
      </c>
      <c r="AA20" s="367">
        <f t="shared" si="0"/>
        <v>0</v>
      </c>
      <c r="AB20" s="368"/>
      <c r="AC20" s="368"/>
      <c r="AD20" s="368"/>
      <c r="AE20" s="368"/>
      <c r="AF20" s="368"/>
      <c r="AG20" s="369"/>
      <c r="AH20" s="369"/>
      <c r="AI20" s="369"/>
      <c r="AJ20" s="369"/>
      <c r="AK20" s="369"/>
      <c r="AL20" s="369"/>
      <c r="AM20" s="369"/>
      <c r="AN20" s="205"/>
      <c r="AO20" s="364"/>
      <c r="AP20" s="364"/>
      <c r="AQ20" s="371"/>
      <c r="AR20" s="364"/>
      <c r="AS20" s="364"/>
      <c r="AT20" s="364"/>
      <c r="AU20" s="364">
        <v>20</v>
      </c>
      <c r="AV20" s="364"/>
      <c r="AW20" s="364">
        <v>22</v>
      </c>
      <c r="AX20" s="364"/>
      <c r="AY20" s="364"/>
      <c r="AZ20" s="364"/>
      <c r="BA20" s="364">
        <v>0</v>
      </c>
      <c r="BB20" s="365"/>
      <c r="BC20" s="365">
        <v>0</v>
      </c>
      <c r="BD20" s="365"/>
      <c r="BE20" s="365">
        <v>0</v>
      </c>
      <c r="BF20" s="365"/>
      <c r="BG20" s="365">
        <v>21</v>
      </c>
      <c r="BH20" s="365"/>
      <c r="BI20" s="365">
        <v>10</v>
      </c>
      <c r="BJ20" s="365"/>
      <c r="BK20" s="365"/>
      <c r="BL20" s="365"/>
      <c r="BM20" s="366">
        <f t="shared" si="1"/>
        <v>73</v>
      </c>
      <c r="BN20" s="367">
        <f t="shared" si="1"/>
        <v>0</v>
      </c>
      <c r="BO20" s="369"/>
      <c r="BP20" s="369"/>
      <c r="BQ20" s="369"/>
      <c r="BR20" s="369"/>
      <c r="BS20" s="369"/>
      <c r="BT20" s="369"/>
      <c r="BU20" s="369"/>
      <c r="BV20" s="369"/>
      <c r="BW20" s="369"/>
      <c r="BX20" s="369"/>
      <c r="BY20" s="369"/>
      <c r="BZ20" s="369"/>
    </row>
    <row r="21" spans="1:78" ht="13.5" customHeight="1">
      <c r="A21" s="364" t="s">
        <v>726</v>
      </c>
      <c r="B21" s="364"/>
      <c r="C21" s="364"/>
      <c r="D21" s="364"/>
      <c r="E21" s="364"/>
      <c r="F21" s="364"/>
      <c r="G21" s="364"/>
      <c r="H21" s="364"/>
      <c r="I21" s="364"/>
      <c r="J21" s="364"/>
      <c r="K21" s="364"/>
      <c r="L21" s="364"/>
      <c r="M21" s="364"/>
      <c r="N21" s="364"/>
      <c r="O21" s="365"/>
      <c r="P21" s="365"/>
      <c r="Q21" s="365"/>
      <c r="R21" s="365"/>
      <c r="S21" s="365"/>
      <c r="T21" s="365"/>
      <c r="U21" s="365"/>
      <c r="V21" s="365"/>
      <c r="W21" s="365"/>
      <c r="X21" s="365"/>
      <c r="Y21" s="365"/>
      <c r="Z21" s="366">
        <f t="shared" si="0"/>
        <v>0</v>
      </c>
      <c r="AA21" s="367">
        <f t="shared" si="0"/>
        <v>0</v>
      </c>
      <c r="AB21" s="368"/>
      <c r="AC21" s="368"/>
      <c r="AD21" s="368"/>
      <c r="AE21" s="368"/>
      <c r="AF21" s="368"/>
      <c r="AG21" s="369"/>
      <c r="AH21" s="369"/>
      <c r="AI21" s="369"/>
      <c r="AJ21" s="369"/>
      <c r="AK21" s="369"/>
      <c r="AL21" s="369"/>
      <c r="AM21" s="369"/>
      <c r="AN21" s="205"/>
      <c r="AO21" s="364"/>
      <c r="AP21" s="364"/>
      <c r="AQ21" s="364">
        <v>27</v>
      </c>
      <c r="AR21" s="364"/>
      <c r="AS21" s="364">
        <v>20</v>
      </c>
      <c r="AT21" s="364"/>
      <c r="AU21" s="364">
        <v>13</v>
      </c>
      <c r="AV21" s="364"/>
      <c r="AW21" s="364"/>
      <c r="AX21" s="364"/>
      <c r="AY21" s="364">
        <v>41</v>
      </c>
      <c r="AZ21" s="364"/>
      <c r="BA21" s="364">
        <v>24</v>
      </c>
      <c r="BB21" s="365"/>
      <c r="BC21" s="365">
        <v>27</v>
      </c>
      <c r="BD21" s="365"/>
      <c r="BE21" s="365">
        <v>0</v>
      </c>
      <c r="BF21" s="365"/>
      <c r="BG21" s="365"/>
      <c r="BH21" s="365"/>
      <c r="BI21" s="365"/>
      <c r="BJ21" s="365"/>
      <c r="BK21" s="365"/>
      <c r="BL21" s="365"/>
      <c r="BM21" s="366">
        <f t="shared" si="1"/>
        <v>152</v>
      </c>
      <c r="BN21" s="367">
        <f t="shared" si="1"/>
        <v>0</v>
      </c>
      <c r="BO21" s="369"/>
      <c r="BP21" s="369"/>
      <c r="BQ21" s="369"/>
      <c r="BR21" s="369"/>
      <c r="BS21" s="369"/>
      <c r="BT21" s="369"/>
      <c r="BU21" s="369"/>
      <c r="BV21" s="369"/>
      <c r="BW21" s="369"/>
      <c r="BX21" s="369"/>
      <c r="BY21" s="369"/>
      <c r="BZ21" s="369"/>
    </row>
    <row r="22" spans="1:78" ht="13.5" customHeight="1">
      <c r="A22" s="364" t="s">
        <v>727</v>
      </c>
      <c r="B22" s="364"/>
      <c r="C22" s="364"/>
      <c r="D22" s="364"/>
      <c r="E22" s="364"/>
      <c r="F22" s="364"/>
      <c r="G22" s="364"/>
      <c r="H22" s="364"/>
      <c r="I22" s="364"/>
      <c r="J22" s="364"/>
      <c r="K22" s="364"/>
      <c r="L22" s="364"/>
      <c r="M22" s="364"/>
      <c r="N22" s="364"/>
      <c r="O22" s="365"/>
      <c r="P22" s="365"/>
      <c r="Q22" s="365"/>
      <c r="R22" s="365"/>
      <c r="S22" s="365"/>
      <c r="T22" s="365"/>
      <c r="U22" s="365"/>
      <c r="V22" s="365"/>
      <c r="W22" s="365"/>
      <c r="X22" s="365"/>
      <c r="Y22" s="365"/>
      <c r="Z22" s="366">
        <f t="shared" si="0"/>
        <v>0</v>
      </c>
      <c r="AA22" s="367">
        <f t="shared" si="0"/>
        <v>0</v>
      </c>
      <c r="AB22" s="368"/>
      <c r="AC22" s="368"/>
      <c r="AD22" s="368"/>
      <c r="AE22" s="368"/>
      <c r="AF22" s="368"/>
      <c r="AG22" s="369"/>
      <c r="AH22" s="369"/>
      <c r="AI22" s="369"/>
      <c r="AJ22" s="369"/>
      <c r="AK22" s="369"/>
      <c r="AL22" s="369"/>
      <c r="AM22" s="369"/>
      <c r="AN22" s="205"/>
      <c r="AO22" s="364"/>
      <c r="AP22" s="364"/>
      <c r="AQ22" s="364">
        <v>14</v>
      </c>
      <c r="AR22" s="364"/>
      <c r="AS22" s="364">
        <v>22</v>
      </c>
      <c r="AT22" s="364"/>
      <c r="AU22" s="364">
        <v>47</v>
      </c>
      <c r="AV22" s="364"/>
      <c r="AW22" s="364">
        <v>12</v>
      </c>
      <c r="AX22" s="364"/>
      <c r="AY22" s="364">
        <v>56</v>
      </c>
      <c r="AZ22" s="364"/>
      <c r="BA22" s="364">
        <v>23</v>
      </c>
      <c r="BB22" s="365"/>
      <c r="BC22" s="365">
        <v>22</v>
      </c>
      <c r="BD22" s="365"/>
      <c r="BE22" s="365">
        <v>0</v>
      </c>
      <c r="BF22" s="365"/>
      <c r="BG22" s="365"/>
      <c r="BH22" s="365"/>
      <c r="BI22" s="365">
        <v>11</v>
      </c>
      <c r="BJ22" s="365"/>
      <c r="BK22" s="365"/>
      <c r="BL22" s="365"/>
      <c r="BM22" s="366">
        <f t="shared" si="1"/>
        <v>207</v>
      </c>
      <c r="BN22" s="367">
        <f t="shared" si="1"/>
        <v>0</v>
      </c>
      <c r="BO22" s="369"/>
      <c r="BP22" s="369"/>
      <c r="BQ22" s="369"/>
      <c r="BR22" s="369"/>
      <c r="BS22" s="369"/>
      <c r="BT22" s="369"/>
      <c r="BU22" s="369"/>
      <c r="BV22" s="369"/>
      <c r="BW22" s="369"/>
      <c r="BX22" s="369"/>
      <c r="BY22" s="369"/>
      <c r="BZ22" s="369"/>
    </row>
    <row r="23" spans="1:78" ht="13.5" customHeight="1">
      <c r="A23" s="364" t="s">
        <v>728</v>
      </c>
      <c r="B23" s="364"/>
      <c r="C23" s="364"/>
      <c r="D23" s="364"/>
      <c r="E23" s="364"/>
      <c r="F23" s="364"/>
      <c r="G23" s="364"/>
      <c r="H23" s="364"/>
      <c r="I23" s="364"/>
      <c r="J23" s="364"/>
      <c r="K23" s="364"/>
      <c r="L23" s="364"/>
      <c r="M23" s="364"/>
      <c r="N23" s="364"/>
      <c r="O23" s="365"/>
      <c r="P23" s="365"/>
      <c r="Q23" s="365"/>
      <c r="R23" s="365"/>
      <c r="S23" s="365"/>
      <c r="T23" s="365"/>
      <c r="U23" s="365"/>
      <c r="V23" s="365"/>
      <c r="W23" s="365"/>
      <c r="X23" s="365"/>
      <c r="Y23" s="365"/>
      <c r="Z23" s="366">
        <f t="shared" si="0"/>
        <v>0</v>
      </c>
      <c r="AA23" s="367">
        <f t="shared" si="0"/>
        <v>0</v>
      </c>
      <c r="AB23" s="368"/>
      <c r="AC23" s="368"/>
      <c r="AD23" s="368"/>
      <c r="AE23" s="368"/>
      <c r="AF23" s="368"/>
      <c r="AG23" s="369"/>
      <c r="AH23" s="369"/>
      <c r="AI23" s="369"/>
      <c r="AJ23" s="369"/>
      <c r="AK23" s="369"/>
      <c r="AL23" s="369"/>
      <c r="AM23" s="369"/>
      <c r="AN23" s="205"/>
      <c r="AO23" s="364"/>
      <c r="AP23" s="364"/>
      <c r="AQ23" s="364">
        <v>26</v>
      </c>
      <c r="AR23" s="364"/>
      <c r="AS23" s="364">
        <v>13</v>
      </c>
      <c r="AT23" s="364"/>
      <c r="AU23" s="364">
        <v>19</v>
      </c>
      <c r="AV23" s="364"/>
      <c r="AW23" s="364">
        <v>40</v>
      </c>
      <c r="AX23" s="364"/>
      <c r="AY23" s="364">
        <v>30</v>
      </c>
      <c r="AZ23" s="364"/>
      <c r="BA23" s="364">
        <v>28</v>
      </c>
      <c r="BB23" s="365"/>
      <c r="BC23" s="365">
        <v>0</v>
      </c>
      <c r="BD23" s="365"/>
      <c r="BE23" s="365">
        <v>0</v>
      </c>
      <c r="BF23" s="365"/>
      <c r="BG23" s="365">
        <v>5</v>
      </c>
      <c r="BH23" s="365"/>
      <c r="BI23" s="365"/>
      <c r="BJ23" s="365"/>
      <c r="BK23" s="365"/>
      <c r="BL23" s="365"/>
      <c r="BM23" s="366">
        <f t="shared" si="1"/>
        <v>161</v>
      </c>
      <c r="BN23" s="367">
        <f t="shared" si="1"/>
        <v>0</v>
      </c>
      <c r="BO23" s="369"/>
      <c r="BP23" s="369"/>
      <c r="BQ23" s="369"/>
      <c r="BR23" s="369"/>
      <c r="BS23" s="369"/>
      <c r="BT23" s="369"/>
      <c r="BU23" s="369"/>
      <c r="BV23" s="369"/>
      <c r="BW23" s="369"/>
      <c r="BX23" s="369"/>
      <c r="BY23" s="369"/>
      <c r="BZ23" s="369"/>
    </row>
    <row r="24" spans="1:78" ht="13.5" customHeight="1">
      <c r="A24" s="364" t="s">
        <v>729</v>
      </c>
      <c r="B24" s="364"/>
      <c r="C24" s="364"/>
      <c r="D24" s="364"/>
      <c r="E24" s="364"/>
      <c r="F24" s="364"/>
      <c r="G24" s="364"/>
      <c r="H24" s="364"/>
      <c r="I24" s="364"/>
      <c r="J24" s="364"/>
      <c r="K24" s="364"/>
      <c r="L24" s="364"/>
      <c r="M24" s="364"/>
      <c r="N24" s="364"/>
      <c r="O24" s="365"/>
      <c r="P24" s="365"/>
      <c r="Q24" s="365"/>
      <c r="R24" s="365"/>
      <c r="S24" s="365"/>
      <c r="T24" s="365"/>
      <c r="U24" s="365"/>
      <c r="V24" s="365"/>
      <c r="W24" s="365"/>
      <c r="X24" s="365"/>
      <c r="Y24" s="365"/>
      <c r="Z24" s="366">
        <f t="shared" si="0"/>
        <v>0</v>
      </c>
      <c r="AA24" s="367">
        <f t="shared" si="0"/>
        <v>0</v>
      </c>
      <c r="AB24" s="368"/>
      <c r="AC24" s="368"/>
      <c r="AD24" s="368"/>
      <c r="AE24" s="368"/>
      <c r="AF24" s="368"/>
      <c r="AG24" s="369"/>
      <c r="AH24" s="369"/>
      <c r="AI24" s="369"/>
      <c r="AJ24" s="369"/>
      <c r="AK24" s="369"/>
      <c r="AL24" s="369"/>
      <c r="AM24" s="369"/>
      <c r="AN24" s="205"/>
      <c r="AO24" s="364"/>
      <c r="AP24" s="364"/>
      <c r="AQ24" s="364">
        <v>21</v>
      </c>
      <c r="AR24" s="364"/>
      <c r="AS24" s="364">
        <v>20</v>
      </c>
      <c r="AT24" s="364"/>
      <c r="AU24" s="364">
        <v>26</v>
      </c>
      <c r="AV24" s="364"/>
      <c r="AW24" s="364">
        <v>22</v>
      </c>
      <c r="AX24" s="364"/>
      <c r="AY24" s="364">
        <v>32</v>
      </c>
      <c r="AZ24" s="364"/>
      <c r="BA24" s="364">
        <v>27</v>
      </c>
      <c r="BB24" s="365"/>
      <c r="BC24" s="365">
        <v>0</v>
      </c>
      <c r="BD24" s="365"/>
      <c r="BE24" s="365">
        <v>0</v>
      </c>
      <c r="BF24" s="365"/>
      <c r="BG24" s="365"/>
      <c r="BH24" s="365"/>
      <c r="BI24" s="365"/>
      <c r="BJ24" s="365"/>
      <c r="BK24" s="365"/>
      <c r="BL24" s="365"/>
      <c r="BM24" s="366">
        <f t="shared" si="1"/>
        <v>148</v>
      </c>
      <c r="BN24" s="367">
        <f t="shared" si="1"/>
        <v>0</v>
      </c>
      <c r="BO24" s="369"/>
      <c r="BP24" s="369"/>
      <c r="BQ24" s="369"/>
      <c r="BR24" s="369"/>
      <c r="BS24" s="369"/>
      <c r="BT24" s="369"/>
      <c r="BU24" s="369"/>
      <c r="BV24" s="369"/>
      <c r="BW24" s="369"/>
      <c r="BX24" s="369"/>
      <c r="BY24" s="369"/>
      <c r="BZ24" s="369"/>
    </row>
    <row r="25" spans="1:78" ht="13.5" customHeight="1">
      <c r="A25" s="364" t="s">
        <v>730</v>
      </c>
      <c r="B25" s="364"/>
      <c r="C25" s="364"/>
      <c r="D25" s="364"/>
      <c r="E25" s="364"/>
      <c r="F25" s="364"/>
      <c r="G25" s="364"/>
      <c r="H25" s="364"/>
      <c r="I25" s="364"/>
      <c r="J25" s="364"/>
      <c r="K25" s="364"/>
      <c r="L25" s="364"/>
      <c r="M25" s="364"/>
      <c r="N25" s="364"/>
      <c r="O25" s="365"/>
      <c r="P25" s="365"/>
      <c r="Q25" s="365"/>
      <c r="R25" s="365"/>
      <c r="S25" s="365"/>
      <c r="T25" s="365"/>
      <c r="U25" s="365"/>
      <c r="V25" s="365"/>
      <c r="W25" s="365"/>
      <c r="X25" s="365"/>
      <c r="Y25" s="365"/>
      <c r="Z25" s="366">
        <f t="shared" si="0"/>
        <v>0</v>
      </c>
      <c r="AA25" s="367">
        <f t="shared" si="0"/>
        <v>0</v>
      </c>
      <c r="AB25" s="368"/>
      <c r="AC25" s="368"/>
      <c r="AD25" s="368"/>
      <c r="AE25" s="368"/>
      <c r="AF25" s="368"/>
      <c r="AG25" s="369"/>
      <c r="AH25" s="369"/>
      <c r="AI25" s="369"/>
      <c r="AJ25" s="369"/>
      <c r="AK25" s="369"/>
      <c r="AL25" s="369"/>
      <c r="AM25" s="369"/>
      <c r="AN25" s="205"/>
      <c r="AO25" s="364"/>
      <c r="AP25" s="364"/>
      <c r="AQ25" s="364">
        <v>20</v>
      </c>
      <c r="AR25" s="364"/>
      <c r="AS25" s="364">
        <v>18</v>
      </c>
      <c r="AT25" s="364"/>
      <c r="AU25" s="364">
        <v>38</v>
      </c>
      <c r="AV25" s="364"/>
      <c r="AW25" s="364">
        <v>37</v>
      </c>
      <c r="AX25" s="364"/>
      <c r="AY25" s="364">
        <v>28</v>
      </c>
      <c r="AZ25" s="364"/>
      <c r="BA25" s="364">
        <v>28</v>
      </c>
      <c r="BB25" s="365"/>
      <c r="BC25" s="365">
        <v>20</v>
      </c>
      <c r="BD25" s="365"/>
      <c r="BE25" s="365">
        <v>6</v>
      </c>
      <c r="BF25" s="365"/>
      <c r="BG25" s="365">
        <v>6</v>
      </c>
      <c r="BH25" s="365"/>
      <c r="BI25" s="365"/>
      <c r="BJ25" s="365"/>
      <c r="BK25" s="365"/>
      <c r="BL25" s="365"/>
      <c r="BM25" s="366">
        <f t="shared" si="1"/>
        <v>201</v>
      </c>
      <c r="BN25" s="367">
        <f t="shared" si="1"/>
        <v>0</v>
      </c>
      <c r="BO25" s="369"/>
      <c r="BP25" s="369"/>
      <c r="BQ25" s="369"/>
      <c r="BR25" s="369"/>
      <c r="BS25" s="369"/>
      <c r="BT25" s="369"/>
      <c r="BU25" s="369"/>
      <c r="BV25" s="369"/>
      <c r="BW25" s="369"/>
      <c r="BX25" s="369"/>
      <c r="BY25" s="369"/>
      <c r="BZ25" s="369"/>
    </row>
    <row r="26" spans="1:78" ht="13.5" customHeight="1">
      <c r="A26" s="364" t="s">
        <v>731</v>
      </c>
      <c r="B26" s="364"/>
      <c r="C26" s="364"/>
      <c r="D26" s="364"/>
      <c r="E26" s="364"/>
      <c r="F26" s="364"/>
      <c r="G26" s="364"/>
      <c r="H26" s="364"/>
      <c r="I26" s="364"/>
      <c r="J26" s="364"/>
      <c r="K26" s="364"/>
      <c r="L26" s="364"/>
      <c r="M26" s="364"/>
      <c r="N26" s="364"/>
      <c r="O26" s="365"/>
      <c r="P26" s="365"/>
      <c r="Q26" s="365"/>
      <c r="R26" s="365"/>
      <c r="S26" s="365"/>
      <c r="T26" s="365"/>
      <c r="U26" s="365"/>
      <c r="V26" s="365"/>
      <c r="W26" s="365"/>
      <c r="X26" s="365"/>
      <c r="Y26" s="365"/>
      <c r="Z26" s="366">
        <f t="shared" si="0"/>
        <v>0</v>
      </c>
      <c r="AA26" s="367">
        <f t="shared" si="0"/>
        <v>0</v>
      </c>
      <c r="AB26" s="368"/>
      <c r="AC26" s="368"/>
      <c r="AD26" s="368"/>
      <c r="AE26" s="368"/>
      <c r="AF26" s="368"/>
      <c r="AG26" s="369"/>
      <c r="AH26" s="369"/>
      <c r="AI26" s="369"/>
      <c r="AJ26" s="369"/>
      <c r="AK26" s="369"/>
      <c r="AL26" s="369"/>
      <c r="AM26" s="369"/>
      <c r="AN26" s="205"/>
      <c r="AO26" s="364"/>
      <c r="AP26" s="364"/>
      <c r="AQ26" s="371"/>
      <c r="AR26" s="364"/>
      <c r="AS26" s="364">
        <v>76</v>
      </c>
      <c r="AT26" s="364"/>
      <c r="AU26" s="364">
        <v>44</v>
      </c>
      <c r="AV26" s="364"/>
      <c r="AW26" s="364">
        <v>40</v>
      </c>
      <c r="AX26" s="364"/>
      <c r="AY26" s="364">
        <v>30</v>
      </c>
      <c r="AZ26" s="364"/>
      <c r="BA26" s="364">
        <v>33</v>
      </c>
      <c r="BB26" s="365"/>
      <c r="BC26" s="365">
        <v>0</v>
      </c>
      <c r="BD26" s="365"/>
      <c r="BE26" s="365">
        <v>0</v>
      </c>
      <c r="BF26" s="365"/>
      <c r="BG26" s="365"/>
      <c r="BH26" s="365"/>
      <c r="BI26" s="365"/>
      <c r="BJ26" s="365"/>
      <c r="BK26" s="365"/>
      <c r="BL26" s="365"/>
      <c r="BM26" s="366">
        <f t="shared" si="1"/>
        <v>223</v>
      </c>
      <c r="BN26" s="367">
        <f t="shared" si="1"/>
        <v>0</v>
      </c>
      <c r="BO26" s="369"/>
      <c r="BP26" s="369"/>
      <c r="BQ26" s="369"/>
      <c r="BR26" s="369"/>
      <c r="BS26" s="369"/>
      <c r="BT26" s="369"/>
      <c r="BU26" s="369"/>
      <c r="BV26" s="369"/>
      <c r="BW26" s="369"/>
      <c r="BX26" s="369"/>
      <c r="BY26" s="369"/>
      <c r="BZ26" s="369"/>
    </row>
    <row r="27" spans="1:78" ht="13.5" customHeight="1">
      <c r="A27" s="364" t="s">
        <v>732</v>
      </c>
      <c r="B27" s="364"/>
      <c r="C27" s="364"/>
      <c r="D27" s="364"/>
      <c r="E27" s="364"/>
      <c r="F27" s="364"/>
      <c r="G27" s="364"/>
      <c r="H27" s="364"/>
      <c r="I27" s="364"/>
      <c r="J27" s="364"/>
      <c r="K27" s="364"/>
      <c r="L27" s="364"/>
      <c r="M27" s="364"/>
      <c r="N27" s="364"/>
      <c r="O27" s="365"/>
      <c r="P27" s="365"/>
      <c r="Q27" s="365"/>
      <c r="R27" s="365"/>
      <c r="S27" s="365"/>
      <c r="T27" s="365"/>
      <c r="U27" s="365"/>
      <c r="V27" s="365"/>
      <c r="W27" s="365"/>
      <c r="X27" s="365"/>
      <c r="Y27" s="365"/>
      <c r="Z27" s="366">
        <f t="shared" ref="Z27:AA31" si="2">B27+D27+F27+H27+J27+L27+N27+P27+R27+T27+V27+X27</f>
        <v>0</v>
      </c>
      <c r="AA27" s="367">
        <f t="shared" si="2"/>
        <v>0</v>
      </c>
      <c r="AB27" s="368"/>
      <c r="AC27" s="368"/>
      <c r="AD27" s="368"/>
      <c r="AE27" s="368"/>
      <c r="AF27" s="368"/>
      <c r="AG27" s="369"/>
      <c r="AH27" s="369"/>
      <c r="AI27" s="369"/>
      <c r="AJ27" s="369"/>
      <c r="AK27" s="369"/>
      <c r="AL27" s="369"/>
      <c r="AM27" s="369"/>
      <c r="AN27" s="205"/>
      <c r="AO27" s="364"/>
      <c r="AP27" s="364"/>
      <c r="AQ27" s="371"/>
      <c r="AR27" s="364"/>
      <c r="AS27" s="364">
        <v>21</v>
      </c>
      <c r="AT27" s="364"/>
      <c r="AU27" s="364">
        <v>49</v>
      </c>
      <c r="AV27" s="364"/>
      <c r="AW27" s="364">
        <v>27</v>
      </c>
      <c r="AX27" s="364"/>
      <c r="AY27" s="364">
        <v>38</v>
      </c>
      <c r="AZ27" s="364"/>
      <c r="BA27" s="364">
        <v>30</v>
      </c>
      <c r="BB27" s="365"/>
      <c r="BC27" s="365">
        <v>38</v>
      </c>
      <c r="BD27" s="365"/>
      <c r="BE27" s="365">
        <v>0</v>
      </c>
      <c r="BF27" s="365"/>
      <c r="BG27" s="365">
        <v>3</v>
      </c>
      <c r="BH27" s="365"/>
      <c r="BI27" s="365"/>
      <c r="BJ27" s="365"/>
      <c r="BK27" s="365"/>
      <c r="BL27" s="365"/>
      <c r="BM27" s="366">
        <f t="shared" ref="BM27:BN31" si="3">AO27+AQ27+AS27+AU27+AW27+AY27+BA27+BC27+BE27+BG27+BI27+BK27</f>
        <v>206</v>
      </c>
      <c r="BN27" s="367">
        <f t="shared" si="3"/>
        <v>0</v>
      </c>
      <c r="BO27" s="369"/>
      <c r="BP27" s="369"/>
      <c r="BQ27" s="369"/>
      <c r="BR27" s="369"/>
      <c r="BS27" s="369"/>
      <c r="BT27" s="369"/>
      <c r="BU27" s="369"/>
      <c r="BV27" s="369"/>
      <c r="BW27" s="369"/>
      <c r="BX27" s="369"/>
      <c r="BY27" s="369"/>
      <c r="BZ27" s="369"/>
    </row>
    <row r="28" spans="1:78" ht="13.5" customHeight="1">
      <c r="A28" s="364" t="s">
        <v>733</v>
      </c>
      <c r="B28" s="364"/>
      <c r="C28" s="364"/>
      <c r="D28" s="364"/>
      <c r="E28" s="364"/>
      <c r="F28" s="364"/>
      <c r="G28" s="364"/>
      <c r="H28" s="364"/>
      <c r="I28" s="364"/>
      <c r="J28" s="364"/>
      <c r="K28" s="364"/>
      <c r="L28" s="364"/>
      <c r="M28" s="364"/>
      <c r="N28" s="364"/>
      <c r="O28" s="365"/>
      <c r="P28" s="365"/>
      <c r="Q28" s="365"/>
      <c r="R28" s="365"/>
      <c r="S28" s="365"/>
      <c r="T28" s="365"/>
      <c r="U28" s="365"/>
      <c r="V28" s="365"/>
      <c r="W28" s="365"/>
      <c r="X28" s="365"/>
      <c r="Y28" s="365"/>
      <c r="Z28" s="366">
        <f t="shared" si="2"/>
        <v>0</v>
      </c>
      <c r="AA28" s="367">
        <f t="shared" si="2"/>
        <v>0</v>
      </c>
      <c r="AB28" s="368"/>
      <c r="AC28" s="368"/>
      <c r="AD28" s="368"/>
      <c r="AE28" s="368"/>
      <c r="AF28" s="368"/>
      <c r="AG28" s="369"/>
      <c r="AH28" s="369"/>
      <c r="AI28" s="369"/>
      <c r="AJ28" s="369"/>
      <c r="AK28" s="369"/>
      <c r="AL28" s="369"/>
      <c r="AM28" s="369"/>
      <c r="AN28" s="205"/>
      <c r="AO28" s="364"/>
      <c r="AP28" s="364"/>
      <c r="AQ28" s="371"/>
      <c r="AR28" s="364"/>
      <c r="AS28" s="364"/>
      <c r="AT28" s="364"/>
      <c r="AU28" s="364">
        <v>14</v>
      </c>
      <c r="AV28" s="364"/>
      <c r="AW28" s="364">
        <v>17</v>
      </c>
      <c r="AX28" s="364"/>
      <c r="AY28" s="364">
        <v>17</v>
      </c>
      <c r="AZ28" s="364"/>
      <c r="BA28" s="364">
        <v>0</v>
      </c>
      <c r="BB28" s="365"/>
      <c r="BC28" s="365">
        <v>22</v>
      </c>
      <c r="BD28" s="365"/>
      <c r="BE28" s="365">
        <v>0</v>
      </c>
      <c r="BF28" s="365"/>
      <c r="BG28" s="365"/>
      <c r="BH28" s="365"/>
      <c r="BI28" s="365"/>
      <c r="BJ28" s="365"/>
      <c r="BK28" s="365"/>
      <c r="BL28" s="365"/>
      <c r="BM28" s="366">
        <f t="shared" si="3"/>
        <v>70</v>
      </c>
      <c r="BN28" s="367">
        <f t="shared" si="3"/>
        <v>0</v>
      </c>
      <c r="BO28" s="369"/>
      <c r="BP28" s="369"/>
      <c r="BQ28" s="369"/>
      <c r="BR28" s="369"/>
      <c r="BS28" s="369"/>
      <c r="BT28" s="369"/>
      <c r="BU28" s="369"/>
      <c r="BV28" s="369"/>
      <c r="BW28" s="369"/>
      <c r="BX28" s="369"/>
      <c r="BY28" s="369"/>
      <c r="BZ28" s="369"/>
    </row>
    <row r="29" spans="1:78" ht="13.5" customHeight="1">
      <c r="A29" s="364" t="s">
        <v>734</v>
      </c>
      <c r="B29" s="364"/>
      <c r="C29" s="364"/>
      <c r="D29" s="364"/>
      <c r="E29" s="364"/>
      <c r="F29" s="364"/>
      <c r="G29" s="364"/>
      <c r="H29" s="364"/>
      <c r="I29" s="364"/>
      <c r="J29" s="364"/>
      <c r="K29" s="364"/>
      <c r="L29" s="364"/>
      <c r="M29" s="364"/>
      <c r="N29" s="364"/>
      <c r="O29" s="365"/>
      <c r="P29" s="365"/>
      <c r="Q29" s="365"/>
      <c r="R29" s="365"/>
      <c r="S29" s="365"/>
      <c r="T29" s="365"/>
      <c r="U29" s="365"/>
      <c r="V29" s="365"/>
      <c r="W29" s="365"/>
      <c r="X29" s="365"/>
      <c r="Y29" s="365"/>
      <c r="Z29" s="366">
        <f t="shared" si="2"/>
        <v>0</v>
      </c>
      <c r="AA29" s="367">
        <f t="shared" si="2"/>
        <v>0</v>
      </c>
      <c r="AB29" s="368"/>
      <c r="AC29" s="368"/>
      <c r="AD29" s="368"/>
      <c r="AE29" s="368"/>
      <c r="AF29" s="368"/>
      <c r="AG29" s="369"/>
      <c r="AH29" s="369"/>
      <c r="AI29" s="369"/>
      <c r="AJ29" s="369"/>
      <c r="AK29" s="369"/>
      <c r="AL29" s="369"/>
      <c r="AM29" s="369"/>
      <c r="AN29" s="205"/>
      <c r="AO29" s="364"/>
      <c r="AP29" s="364"/>
      <c r="AQ29" s="364">
        <v>1</v>
      </c>
      <c r="AR29" s="364"/>
      <c r="AS29" s="364">
        <v>7</v>
      </c>
      <c r="AT29" s="364"/>
      <c r="AU29" s="364">
        <v>15</v>
      </c>
      <c r="AV29" s="364"/>
      <c r="AW29" s="364">
        <v>19</v>
      </c>
      <c r="AX29" s="364"/>
      <c r="AY29" s="364">
        <v>15</v>
      </c>
      <c r="AZ29" s="364"/>
      <c r="BA29" s="364">
        <v>9</v>
      </c>
      <c r="BB29" s="365"/>
      <c r="BC29" s="365">
        <v>9</v>
      </c>
      <c r="BD29" s="365"/>
      <c r="BE29" s="365">
        <v>9</v>
      </c>
      <c r="BF29" s="365"/>
      <c r="BG29" s="365">
        <v>12</v>
      </c>
      <c r="BH29" s="365"/>
      <c r="BI29" s="365">
        <v>8</v>
      </c>
      <c r="BJ29" s="365"/>
      <c r="BK29" s="365"/>
      <c r="BL29" s="365"/>
      <c r="BM29" s="366">
        <f t="shared" si="3"/>
        <v>104</v>
      </c>
      <c r="BN29" s="367">
        <f t="shared" si="3"/>
        <v>0</v>
      </c>
      <c r="BO29" s="369"/>
      <c r="BP29" s="369"/>
      <c r="BQ29" s="369"/>
      <c r="BR29" s="369"/>
      <c r="BS29" s="369"/>
      <c r="BT29" s="369"/>
      <c r="BU29" s="369"/>
      <c r="BV29" s="369"/>
      <c r="BW29" s="369"/>
      <c r="BX29" s="369"/>
      <c r="BY29" s="369"/>
      <c r="BZ29" s="369"/>
    </row>
    <row r="30" spans="1:78" ht="13.5" customHeight="1">
      <c r="A30" s="364" t="s">
        <v>735</v>
      </c>
      <c r="B30" s="364"/>
      <c r="C30" s="364"/>
      <c r="D30" s="364"/>
      <c r="E30" s="364"/>
      <c r="F30" s="364"/>
      <c r="G30" s="364"/>
      <c r="H30" s="364"/>
      <c r="I30" s="364"/>
      <c r="J30" s="364"/>
      <c r="K30" s="364"/>
      <c r="L30" s="364"/>
      <c r="M30" s="364"/>
      <c r="N30" s="364"/>
      <c r="O30" s="365"/>
      <c r="P30" s="365"/>
      <c r="Q30" s="365"/>
      <c r="R30" s="365"/>
      <c r="S30" s="365"/>
      <c r="T30" s="365"/>
      <c r="U30" s="365"/>
      <c r="V30" s="365"/>
      <c r="W30" s="365"/>
      <c r="X30" s="365"/>
      <c r="Y30" s="365"/>
      <c r="Z30" s="366">
        <f t="shared" si="2"/>
        <v>0</v>
      </c>
      <c r="AA30" s="367">
        <f t="shared" si="2"/>
        <v>0</v>
      </c>
      <c r="AB30" s="368"/>
      <c r="AC30" s="368"/>
      <c r="AD30" s="368"/>
      <c r="AE30" s="368"/>
      <c r="AF30" s="368"/>
      <c r="AG30" s="369"/>
      <c r="AH30" s="369"/>
      <c r="AI30" s="369"/>
      <c r="AJ30" s="369"/>
      <c r="AK30" s="369"/>
      <c r="AL30" s="369"/>
      <c r="AM30" s="369"/>
      <c r="AN30" s="205"/>
      <c r="AO30" s="364"/>
      <c r="AP30" s="364"/>
      <c r="AQ30" s="364">
        <v>70</v>
      </c>
      <c r="AR30" s="364"/>
      <c r="AS30" s="364">
        <v>69</v>
      </c>
      <c r="AT30" s="364"/>
      <c r="AU30" s="364">
        <v>104</v>
      </c>
      <c r="AV30" s="364"/>
      <c r="AW30" s="364">
        <v>119</v>
      </c>
      <c r="AX30" s="364"/>
      <c r="AY30" s="364">
        <v>143</v>
      </c>
      <c r="AZ30" s="364"/>
      <c r="BA30" s="364">
        <v>84</v>
      </c>
      <c r="BB30" s="365"/>
      <c r="BC30" s="365">
        <v>33</v>
      </c>
      <c r="BD30" s="365"/>
      <c r="BE30" s="365">
        <f>19+23</f>
        <v>42</v>
      </c>
      <c r="BF30" s="365"/>
      <c r="BG30" s="365">
        <v>13</v>
      </c>
      <c r="BH30" s="365"/>
      <c r="BI30" s="365">
        <v>26</v>
      </c>
      <c r="BJ30" s="365"/>
      <c r="BK30" s="365"/>
      <c r="BL30" s="365"/>
      <c r="BM30" s="366">
        <f t="shared" si="3"/>
        <v>703</v>
      </c>
      <c r="BN30" s="367">
        <f t="shared" si="3"/>
        <v>0</v>
      </c>
      <c r="BO30" s="369"/>
      <c r="BP30" s="369"/>
      <c r="BQ30" s="369"/>
      <c r="BR30" s="369"/>
      <c r="BS30" s="369"/>
      <c r="BT30" s="369"/>
      <c r="BU30" s="369"/>
      <c r="BV30" s="369"/>
      <c r="BW30" s="369"/>
      <c r="BX30" s="369"/>
      <c r="BY30" s="369"/>
      <c r="BZ30" s="369"/>
    </row>
    <row r="31" spans="1:78" ht="13.5" customHeight="1">
      <c r="A31" s="364" t="s">
        <v>736</v>
      </c>
      <c r="B31" s="364"/>
      <c r="C31" s="364"/>
      <c r="D31" s="364"/>
      <c r="E31" s="364"/>
      <c r="F31" s="364"/>
      <c r="G31" s="364"/>
      <c r="H31" s="364"/>
      <c r="I31" s="364"/>
      <c r="J31" s="364"/>
      <c r="K31" s="364"/>
      <c r="L31" s="364"/>
      <c r="M31" s="364"/>
      <c r="N31" s="364"/>
      <c r="O31" s="365"/>
      <c r="P31" s="365"/>
      <c r="Q31" s="365"/>
      <c r="R31" s="365"/>
      <c r="S31" s="365"/>
      <c r="T31" s="365"/>
      <c r="U31" s="365"/>
      <c r="V31" s="365"/>
      <c r="W31" s="365"/>
      <c r="X31" s="365"/>
      <c r="Y31" s="365"/>
      <c r="Z31" s="366">
        <f t="shared" si="2"/>
        <v>0</v>
      </c>
      <c r="AA31" s="367">
        <f t="shared" si="2"/>
        <v>0</v>
      </c>
      <c r="AB31" s="368"/>
      <c r="AC31" s="368"/>
      <c r="AD31" s="368"/>
      <c r="AE31" s="368"/>
      <c r="AF31" s="368"/>
      <c r="AG31" s="369"/>
      <c r="AH31" s="369"/>
      <c r="AI31" s="369"/>
      <c r="AJ31" s="369"/>
      <c r="AK31" s="369"/>
      <c r="AL31" s="369"/>
      <c r="AM31" s="369"/>
      <c r="AN31" s="205"/>
      <c r="AO31" s="364"/>
      <c r="AP31" s="364"/>
      <c r="AQ31" s="371"/>
      <c r="AR31" s="364"/>
      <c r="AS31" s="364"/>
      <c r="AT31" s="364"/>
      <c r="AU31" s="364"/>
      <c r="AV31" s="364"/>
      <c r="AW31" s="364"/>
      <c r="AX31" s="364"/>
      <c r="AY31" s="364"/>
      <c r="AZ31" s="364"/>
      <c r="BA31" s="364">
        <v>0</v>
      </c>
      <c r="BB31" s="365"/>
      <c r="BC31" s="365">
        <v>0</v>
      </c>
      <c r="BD31" s="365"/>
      <c r="BE31" s="365">
        <v>0</v>
      </c>
      <c r="BF31" s="365"/>
      <c r="BG31" s="365"/>
      <c r="BH31" s="365"/>
      <c r="BI31" s="365">
        <v>10</v>
      </c>
      <c r="BJ31" s="365"/>
      <c r="BK31" s="365"/>
      <c r="BL31" s="365"/>
      <c r="BM31" s="366">
        <f t="shared" si="3"/>
        <v>10</v>
      </c>
      <c r="BN31" s="367">
        <f t="shared" si="3"/>
        <v>0</v>
      </c>
      <c r="BO31" s="369"/>
      <c r="BP31" s="369"/>
      <c r="BQ31" s="369"/>
      <c r="BR31" s="369"/>
      <c r="BS31" s="369"/>
      <c r="BT31" s="369"/>
      <c r="BU31" s="369"/>
      <c r="BV31" s="369"/>
      <c r="BW31" s="369"/>
      <c r="BX31" s="369"/>
      <c r="BY31" s="369"/>
      <c r="BZ31" s="369"/>
    </row>
    <row r="32" spans="1:78" ht="13.5" customHeight="1">
      <c r="A32" s="372" t="s">
        <v>737</v>
      </c>
      <c r="B32" s="373">
        <f t="shared" ref="B32:AM32" si="4">SUM(B11:B31)</f>
        <v>0</v>
      </c>
      <c r="C32" s="373">
        <f t="shared" si="4"/>
        <v>0</v>
      </c>
      <c r="D32" s="373">
        <f t="shared" si="4"/>
        <v>0</v>
      </c>
      <c r="E32" s="373">
        <f t="shared" si="4"/>
        <v>0</v>
      </c>
      <c r="F32" s="373">
        <f t="shared" si="4"/>
        <v>0</v>
      </c>
      <c r="G32" s="373">
        <f t="shared" si="4"/>
        <v>0</v>
      </c>
      <c r="H32" s="373">
        <f t="shared" si="4"/>
        <v>0</v>
      </c>
      <c r="I32" s="373">
        <f t="shared" si="4"/>
        <v>0</v>
      </c>
      <c r="J32" s="373">
        <f t="shared" si="4"/>
        <v>0</v>
      </c>
      <c r="K32" s="373">
        <f t="shared" si="4"/>
        <v>0</v>
      </c>
      <c r="L32" s="373">
        <f t="shared" si="4"/>
        <v>0</v>
      </c>
      <c r="M32" s="373">
        <f t="shared" si="4"/>
        <v>0</v>
      </c>
      <c r="N32" s="373">
        <f t="shared" si="4"/>
        <v>0</v>
      </c>
      <c r="O32" s="373">
        <f t="shared" si="4"/>
        <v>0</v>
      </c>
      <c r="P32" s="373">
        <f t="shared" si="4"/>
        <v>0</v>
      </c>
      <c r="Q32" s="373">
        <f t="shared" si="4"/>
        <v>0</v>
      </c>
      <c r="R32" s="373">
        <f t="shared" si="4"/>
        <v>0</v>
      </c>
      <c r="S32" s="373">
        <f t="shared" si="4"/>
        <v>0</v>
      </c>
      <c r="T32" s="373">
        <f t="shared" si="4"/>
        <v>0</v>
      </c>
      <c r="U32" s="373">
        <f t="shared" si="4"/>
        <v>0</v>
      </c>
      <c r="V32" s="373">
        <f t="shared" si="4"/>
        <v>0</v>
      </c>
      <c r="W32" s="373">
        <f t="shared" si="4"/>
        <v>0</v>
      </c>
      <c r="X32" s="373">
        <f t="shared" si="4"/>
        <v>0</v>
      </c>
      <c r="Y32" s="373">
        <f t="shared" si="4"/>
        <v>0</v>
      </c>
      <c r="Z32" s="373">
        <f t="shared" si="4"/>
        <v>0</v>
      </c>
      <c r="AA32" s="367">
        <f t="shared" si="4"/>
        <v>0</v>
      </c>
      <c r="AB32" s="367">
        <f t="shared" si="4"/>
        <v>0</v>
      </c>
      <c r="AC32" s="367">
        <f t="shared" si="4"/>
        <v>0</v>
      </c>
      <c r="AD32" s="367">
        <f t="shared" si="4"/>
        <v>0</v>
      </c>
      <c r="AE32" s="367">
        <f t="shared" si="4"/>
        <v>0</v>
      </c>
      <c r="AF32" s="367">
        <f t="shared" si="4"/>
        <v>0</v>
      </c>
      <c r="AG32" s="373">
        <f t="shared" si="4"/>
        <v>0</v>
      </c>
      <c r="AH32" s="373">
        <f t="shared" si="4"/>
        <v>0</v>
      </c>
      <c r="AI32" s="373">
        <f t="shared" si="4"/>
        <v>0</v>
      </c>
      <c r="AJ32" s="373">
        <f t="shared" si="4"/>
        <v>0</v>
      </c>
      <c r="AK32" s="373">
        <f t="shared" si="4"/>
        <v>0</v>
      </c>
      <c r="AL32" s="373">
        <f t="shared" si="4"/>
        <v>0</v>
      </c>
      <c r="AM32" s="373">
        <f t="shared" si="4"/>
        <v>0</v>
      </c>
      <c r="AN32" s="205"/>
      <c r="AO32" s="373">
        <f t="shared" ref="AO32:BZ32" si="5">SUM(AO11:AO31)</f>
        <v>0</v>
      </c>
      <c r="AP32" s="373">
        <f t="shared" si="5"/>
        <v>0</v>
      </c>
      <c r="AQ32" s="374">
        <f t="shared" si="5"/>
        <v>324</v>
      </c>
      <c r="AR32" s="373">
        <f t="shared" si="5"/>
        <v>0</v>
      </c>
      <c r="AS32" s="373">
        <f t="shared" si="5"/>
        <v>441</v>
      </c>
      <c r="AT32" s="373">
        <f t="shared" si="5"/>
        <v>0</v>
      </c>
      <c r="AU32" s="373">
        <f t="shared" si="5"/>
        <v>624</v>
      </c>
      <c r="AV32" s="373">
        <f t="shared" si="5"/>
        <v>0</v>
      </c>
      <c r="AW32" s="373">
        <f t="shared" si="5"/>
        <v>637</v>
      </c>
      <c r="AX32" s="373">
        <f t="shared" si="5"/>
        <v>0</v>
      </c>
      <c r="AY32" s="373">
        <f t="shared" si="5"/>
        <v>613</v>
      </c>
      <c r="AZ32" s="373">
        <f t="shared" si="5"/>
        <v>0</v>
      </c>
      <c r="BA32" s="373">
        <f t="shared" si="5"/>
        <v>518</v>
      </c>
      <c r="BB32" s="373">
        <f t="shared" si="5"/>
        <v>0</v>
      </c>
      <c r="BC32" s="373">
        <f t="shared" si="5"/>
        <v>314</v>
      </c>
      <c r="BD32" s="373">
        <f t="shared" si="5"/>
        <v>0</v>
      </c>
      <c r="BE32" s="373">
        <f t="shared" si="5"/>
        <v>332</v>
      </c>
      <c r="BF32" s="373">
        <f t="shared" si="5"/>
        <v>0</v>
      </c>
      <c r="BG32" s="373">
        <f t="shared" si="5"/>
        <v>104</v>
      </c>
      <c r="BH32" s="373">
        <f t="shared" si="5"/>
        <v>0</v>
      </c>
      <c r="BI32" s="373">
        <f t="shared" si="5"/>
        <v>105</v>
      </c>
      <c r="BJ32" s="373">
        <f t="shared" si="5"/>
        <v>0</v>
      </c>
      <c r="BK32" s="373">
        <f t="shared" si="5"/>
        <v>0</v>
      </c>
      <c r="BL32" s="373">
        <f t="shared" si="5"/>
        <v>0</v>
      </c>
      <c r="BM32" s="375">
        <f t="shared" si="5"/>
        <v>4012</v>
      </c>
      <c r="BN32" s="367">
        <f t="shared" si="5"/>
        <v>0</v>
      </c>
      <c r="BO32" s="373">
        <f t="shared" si="5"/>
        <v>0</v>
      </c>
      <c r="BP32" s="373">
        <f t="shared" si="5"/>
        <v>0</v>
      </c>
      <c r="BQ32" s="373">
        <f t="shared" si="5"/>
        <v>0</v>
      </c>
      <c r="BR32" s="373">
        <f t="shared" si="5"/>
        <v>0</v>
      </c>
      <c r="BS32" s="373">
        <f t="shared" si="5"/>
        <v>0</v>
      </c>
      <c r="BT32" s="373">
        <f t="shared" si="5"/>
        <v>0</v>
      </c>
      <c r="BU32" s="373">
        <f t="shared" si="5"/>
        <v>0</v>
      </c>
      <c r="BV32" s="373">
        <f t="shared" si="5"/>
        <v>0</v>
      </c>
      <c r="BW32" s="373">
        <f t="shared" si="5"/>
        <v>0</v>
      </c>
      <c r="BX32" s="373">
        <f t="shared" si="5"/>
        <v>0</v>
      </c>
      <c r="BY32" s="373">
        <f t="shared" si="5"/>
        <v>0</v>
      </c>
      <c r="BZ32" s="373">
        <f t="shared" si="5"/>
        <v>0</v>
      </c>
    </row>
    <row r="33" spans="1:78" ht="13.5" customHeight="1">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row>
    <row r="34" spans="1:78" ht="27.6" customHeight="1">
      <c r="A34" s="355" t="s">
        <v>702</v>
      </c>
      <c r="B34" s="647" t="s">
        <v>703</v>
      </c>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7"/>
      <c r="AN34" s="937"/>
      <c r="AO34" s="937"/>
      <c r="AP34" s="937"/>
      <c r="AQ34" s="937"/>
      <c r="AR34" s="937"/>
      <c r="AS34" s="937"/>
      <c r="AT34" s="937"/>
      <c r="AU34" s="937"/>
      <c r="AV34" s="937"/>
      <c r="AW34" s="937"/>
      <c r="AX34" s="937"/>
      <c r="AY34" s="937"/>
      <c r="AZ34" s="937"/>
      <c r="BA34" s="937"/>
      <c r="BB34" s="937"/>
      <c r="BC34" s="937"/>
      <c r="BD34" s="937"/>
      <c r="BE34" s="937"/>
      <c r="BF34" s="937"/>
      <c r="BG34" s="937"/>
      <c r="BH34" s="937"/>
      <c r="BI34" s="937"/>
      <c r="BJ34" s="937"/>
      <c r="BK34" s="937"/>
      <c r="BL34" s="937"/>
      <c r="BM34" s="937"/>
      <c r="BN34" s="937"/>
      <c r="BO34" s="937"/>
      <c r="BP34" s="937"/>
      <c r="BQ34" s="937"/>
      <c r="BR34" s="937"/>
      <c r="BS34" s="937"/>
      <c r="BT34" s="937"/>
      <c r="BU34" s="937"/>
      <c r="BV34" s="937"/>
      <c r="BW34" s="937"/>
      <c r="BX34" s="937"/>
      <c r="BY34" s="937"/>
      <c r="BZ34" s="938"/>
    </row>
    <row r="35" spans="1:78" ht="28.5" customHeight="1">
      <c r="A35" s="356" t="s">
        <v>704</v>
      </c>
      <c r="B35" s="939" t="str">
        <f>+'[4]Indicadores PA'!J19</f>
        <v>Número de atenciones de relevo de cuidado en casa, en el marco de la estrategia cuidado a cuidadoras</v>
      </c>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7"/>
      <c r="AY35" s="937"/>
      <c r="AZ35" s="937"/>
      <c r="BA35" s="937"/>
      <c r="BB35" s="937"/>
      <c r="BC35" s="937"/>
      <c r="BD35" s="937"/>
      <c r="BE35" s="937"/>
      <c r="BF35" s="937"/>
      <c r="BG35" s="937"/>
      <c r="BH35" s="937"/>
      <c r="BI35" s="937"/>
      <c r="BJ35" s="937"/>
      <c r="BK35" s="937"/>
      <c r="BL35" s="937"/>
      <c r="BM35" s="937"/>
      <c r="BN35" s="937"/>
      <c r="BO35" s="937"/>
      <c r="BP35" s="937"/>
      <c r="BQ35" s="937"/>
      <c r="BR35" s="937"/>
      <c r="BS35" s="937"/>
      <c r="BT35" s="937"/>
      <c r="BU35" s="937"/>
      <c r="BV35" s="937"/>
      <c r="BW35" s="937"/>
      <c r="BX35" s="937"/>
      <c r="BY35" s="937"/>
      <c r="BZ35" s="938"/>
    </row>
    <row r="36" spans="1:78" ht="6" customHeight="1">
      <c r="A36" s="357"/>
      <c r="B36" s="357"/>
      <c r="C36" s="357"/>
      <c r="D36" s="357"/>
      <c r="E36" s="357"/>
      <c r="F36" s="357"/>
      <c r="G36" s="357"/>
      <c r="H36" s="357"/>
      <c r="I36" s="357"/>
      <c r="J36" s="357"/>
      <c r="K36" s="357"/>
      <c r="L36" s="357"/>
      <c r="M36" s="357"/>
      <c r="N36" s="357"/>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205"/>
      <c r="AO36" s="358"/>
      <c r="AP36" s="358"/>
      <c r="AQ36" s="358"/>
      <c r="AR36" s="358"/>
      <c r="AS36" s="358"/>
      <c r="AT36" s="358"/>
      <c r="AU36" s="358"/>
      <c r="AV36" s="358"/>
      <c r="AW36" s="358"/>
      <c r="AX36" s="358"/>
      <c r="AY36" s="358"/>
      <c r="AZ36" s="358"/>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row>
    <row r="37" spans="1:78" ht="30" customHeight="1">
      <c r="A37" s="635" t="s">
        <v>705</v>
      </c>
      <c r="B37" s="649" t="s">
        <v>3</v>
      </c>
      <c r="C37" s="623"/>
      <c r="D37" s="649" t="s">
        <v>4</v>
      </c>
      <c r="E37" s="623"/>
      <c r="F37" s="649" t="s">
        <v>5</v>
      </c>
      <c r="G37" s="623"/>
      <c r="H37" s="649" t="s">
        <v>6</v>
      </c>
      <c r="I37" s="623"/>
      <c r="J37" s="649" t="s">
        <v>7</v>
      </c>
      <c r="K37" s="623"/>
      <c r="L37" s="649" t="s">
        <v>8</v>
      </c>
      <c r="M37" s="623"/>
      <c r="N37" s="649" t="s">
        <v>9</v>
      </c>
      <c r="O37" s="623"/>
      <c r="P37" s="649" t="s">
        <v>10</v>
      </c>
      <c r="Q37" s="623"/>
      <c r="R37" s="649" t="s">
        <v>11</v>
      </c>
      <c r="S37" s="623"/>
      <c r="T37" s="649" t="s">
        <v>12</v>
      </c>
      <c r="U37" s="623"/>
      <c r="V37" s="649" t="s">
        <v>13</v>
      </c>
      <c r="W37" s="623"/>
      <c r="X37" s="649" t="s">
        <v>14</v>
      </c>
      <c r="Y37" s="623"/>
      <c r="Z37" s="649" t="s">
        <v>706</v>
      </c>
      <c r="AA37" s="623"/>
      <c r="AB37" s="649" t="s">
        <v>523</v>
      </c>
      <c r="AC37" s="622"/>
      <c r="AD37" s="622"/>
      <c r="AE37" s="622"/>
      <c r="AF37" s="622"/>
      <c r="AG37" s="623"/>
      <c r="AH37" s="649" t="s">
        <v>707</v>
      </c>
      <c r="AI37" s="622"/>
      <c r="AJ37" s="622"/>
      <c r="AK37" s="622"/>
      <c r="AL37" s="622"/>
      <c r="AM37" s="623"/>
      <c r="AN37" s="205"/>
      <c r="AO37" s="649" t="s">
        <v>3</v>
      </c>
      <c r="AP37" s="623"/>
      <c r="AQ37" s="649" t="s">
        <v>4</v>
      </c>
      <c r="AR37" s="623"/>
      <c r="AS37" s="649" t="s">
        <v>5</v>
      </c>
      <c r="AT37" s="623"/>
      <c r="AU37" s="649" t="s">
        <v>6</v>
      </c>
      <c r="AV37" s="623"/>
      <c r="AW37" s="649" t="s">
        <v>7</v>
      </c>
      <c r="AX37" s="623"/>
      <c r="AY37" s="649" t="s">
        <v>8</v>
      </c>
      <c r="AZ37" s="623"/>
      <c r="BA37" s="649" t="s">
        <v>9</v>
      </c>
      <c r="BB37" s="623"/>
      <c r="BC37" s="649" t="s">
        <v>10</v>
      </c>
      <c r="BD37" s="623"/>
      <c r="BE37" s="649" t="s">
        <v>11</v>
      </c>
      <c r="BF37" s="623"/>
      <c r="BG37" s="649" t="s">
        <v>12</v>
      </c>
      <c r="BH37" s="623"/>
      <c r="BI37" s="649" t="s">
        <v>13</v>
      </c>
      <c r="BJ37" s="623"/>
      <c r="BK37" s="649" t="s">
        <v>14</v>
      </c>
      <c r="BL37" s="623"/>
      <c r="BM37" s="649" t="s">
        <v>706</v>
      </c>
      <c r="BN37" s="623"/>
      <c r="BO37" s="649" t="s">
        <v>523</v>
      </c>
      <c r="BP37" s="622"/>
      <c r="BQ37" s="622"/>
      <c r="BR37" s="622"/>
      <c r="BS37" s="622"/>
      <c r="BT37" s="623"/>
      <c r="BU37" s="649" t="s">
        <v>707</v>
      </c>
      <c r="BV37" s="622"/>
      <c r="BW37" s="622"/>
      <c r="BX37" s="622"/>
      <c r="BY37" s="622"/>
      <c r="BZ37" s="623"/>
    </row>
    <row r="38" spans="1:78" ht="51.75" customHeight="1">
      <c r="A38" s="637"/>
      <c r="B38" s="340" t="s">
        <v>708</v>
      </c>
      <c r="C38" s="340" t="s">
        <v>709</v>
      </c>
      <c r="D38" s="340" t="s">
        <v>708</v>
      </c>
      <c r="E38" s="340" t="s">
        <v>709</v>
      </c>
      <c r="F38" s="340" t="s">
        <v>708</v>
      </c>
      <c r="G38" s="340" t="s">
        <v>709</v>
      </c>
      <c r="H38" s="340" t="s">
        <v>708</v>
      </c>
      <c r="I38" s="340" t="s">
        <v>709</v>
      </c>
      <c r="J38" s="340" t="s">
        <v>708</v>
      </c>
      <c r="K38" s="340" t="s">
        <v>709</v>
      </c>
      <c r="L38" s="340" t="s">
        <v>708</v>
      </c>
      <c r="M38" s="340" t="s">
        <v>709</v>
      </c>
      <c r="N38" s="340" t="s">
        <v>708</v>
      </c>
      <c r="O38" s="340" t="s">
        <v>709</v>
      </c>
      <c r="P38" s="340" t="s">
        <v>708</v>
      </c>
      <c r="Q38" s="340" t="s">
        <v>709</v>
      </c>
      <c r="R38" s="340" t="s">
        <v>708</v>
      </c>
      <c r="S38" s="340" t="s">
        <v>709</v>
      </c>
      <c r="T38" s="340" t="s">
        <v>708</v>
      </c>
      <c r="U38" s="340" t="s">
        <v>709</v>
      </c>
      <c r="V38" s="340" t="s">
        <v>708</v>
      </c>
      <c r="W38" s="340" t="s">
        <v>709</v>
      </c>
      <c r="X38" s="340" t="s">
        <v>708</v>
      </c>
      <c r="Y38" s="340" t="s">
        <v>709</v>
      </c>
      <c r="Z38" s="340" t="s">
        <v>708</v>
      </c>
      <c r="AA38" s="340" t="s">
        <v>709</v>
      </c>
      <c r="AB38" s="359" t="s">
        <v>549</v>
      </c>
      <c r="AC38" s="359" t="s">
        <v>558</v>
      </c>
      <c r="AD38" s="359" t="s">
        <v>565</v>
      </c>
      <c r="AE38" s="359" t="s">
        <v>572</v>
      </c>
      <c r="AF38" s="360" t="s">
        <v>710</v>
      </c>
      <c r="AG38" s="359" t="s">
        <v>540</v>
      </c>
      <c r="AH38" s="340" t="s">
        <v>711</v>
      </c>
      <c r="AI38" s="361" t="s">
        <v>712</v>
      </c>
      <c r="AJ38" s="340" t="s">
        <v>713</v>
      </c>
      <c r="AK38" s="340" t="s">
        <v>714</v>
      </c>
      <c r="AL38" s="340" t="s">
        <v>715</v>
      </c>
      <c r="AM38" s="340" t="s">
        <v>571</v>
      </c>
      <c r="AN38" s="205"/>
      <c r="AO38" s="340" t="s">
        <v>708</v>
      </c>
      <c r="AP38" s="340" t="s">
        <v>709</v>
      </c>
      <c r="AQ38" s="340" t="s">
        <v>708</v>
      </c>
      <c r="AR38" s="340" t="s">
        <v>709</v>
      </c>
      <c r="AS38" s="340" t="s">
        <v>708</v>
      </c>
      <c r="AT38" s="340" t="s">
        <v>709</v>
      </c>
      <c r="AU38" s="340" t="s">
        <v>708</v>
      </c>
      <c r="AV38" s="340" t="s">
        <v>709</v>
      </c>
      <c r="AW38" s="340" t="s">
        <v>708</v>
      </c>
      <c r="AX38" s="340" t="s">
        <v>709</v>
      </c>
      <c r="AY38" s="340" t="s">
        <v>708</v>
      </c>
      <c r="AZ38" s="340" t="s">
        <v>709</v>
      </c>
      <c r="BA38" s="340" t="s">
        <v>708</v>
      </c>
      <c r="BB38" s="340" t="s">
        <v>709</v>
      </c>
      <c r="BC38" s="340" t="s">
        <v>708</v>
      </c>
      <c r="BD38" s="340" t="s">
        <v>709</v>
      </c>
      <c r="BE38" s="340" t="s">
        <v>708</v>
      </c>
      <c r="BF38" s="340" t="s">
        <v>709</v>
      </c>
      <c r="BG38" s="340" t="s">
        <v>708</v>
      </c>
      <c r="BH38" s="340" t="s">
        <v>709</v>
      </c>
      <c r="BI38" s="340" t="s">
        <v>708</v>
      </c>
      <c r="BJ38" s="340" t="s">
        <v>709</v>
      </c>
      <c r="BK38" s="340" t="s">
        <v>708</v>
      </c>
      <c r="BL38" s="340" t="s">
        <v>709</v>
      </c>
      <c r="BM38" s="340" t="s">
        <v>708</v>
      </c>
      <c r="BN38" s="340" t="s">
        <v>709</v>
      </c>
      <c r="BO38" s="359" t="s">
        <v>549</v>
      </c>
      <c r="BP38" s="359" t="s">
        <v>558</v>
      </c>
      <c r="BQ38" s="359" t="s">
        <v>565</v>
      </c>
      <c r="BR38" s="359" t="s">
        <v>572</v>
      </c>
      <c r="BS38" s="360" t="s">
        <v>710</v>
      </c>
      <c r="BT38" s="359" t="s">
        <v>540</v>
      </c>
      <c r="BU38" s="340" t="s">
        <v>711</v>
      </c>
      <c r="BV38" s="361" t="s">
        <v>712</v>
      </c>
      <c r="BW38" s="340" t="s">
        <v>713</v>
      </c>
      <c r="BX38" s="340" t="s">
        <v>714</v>
      </c>
      <c r="BY38" s="340" t="s">
        <v>715</v>
      </c>
      <c r="BZ38" s="340" t="s">
        <v>571</v>
      </c>
    </row>
    <row r="39" spans="1:78" ht="13.5" customHeight="1">
      <c r="A39" s="364" t="s">
        <v>716</v>
      </c>
      <c r="B39" s="364"/>
      <c r="C39" s="364"/>
      <c r="D39" s="364"/>
      <c r="E39" s="364"/>
      <c r="F39" s="364"/>
      <c r="G39" s="364"/>
      <c r="H39" s="364"/>
      <c r="I39" s="364"/>
      <c r="J39" s="364"/>
      <c r="K39" s="364"/>
      <c r="L39" s="364"/>
      <c r="M39" s="364"/>
      <c r="N39" s="364"/>
      <c r="O39" s="365"/>
      <c r="P39" s="365"/>
      <c r="Q39" s="365"/>
      <c r="R39" s="365"/>
      <c r="S39" s="365"/>
      <c r="T39" s="365"/>
      <c r="U39" s="365"/>
      <c r="V39" s="365"/>
      <c r="W39" s="365"/>
      <c r="X39" s="365"/>
      <c r="Y39" s="365"/>
      <c r="Z39" s="366">
        <f t="shared" ref="Z39:AA54" si="6">B39+D39+F39+H39+J39+L39+N39+P39+R39+T39+V39+X39</f>
        <v>0</v>
      </c>
      <c r="AA39" s="367">
        <f t="shared" si="6"/>
        <v>0</v>
      </c>
      <c r="AB39" s="369"/>
      <c r="AC39" s="369"/>
      <c r="AD39" s="369"/>
      <c r="AE39" s="369"/>
      <c r="AF39" s="369"/>
      <c r="AG39" s="369"/>
      <c r="AH39" s="369"/>
      <c r="AI39" s="369"/>
      <c r="AJ39" s="369"/>
      <c r="AK39" s="369"/>
      <c r="AL39" s="369"/>
      <c r="AM39" s="370"/>
      <c r="AN39" s="205"/>
      <c r="AO39" s="364"/>
      <c r="AP39" s="364"/>
      <c r="AQ39" s="371">
        <v>3</v>
      </c>
      <c r="AR39" s="364"/>
      <c r="AS39" s="364">
        <v>6</v>
      </c>
      <c r="AT39" s="364"/>
      <c r="AU39" s="364">
        <v>1</v>
      </c>
      <c r="AV39" s="364"/>
      <c r="AW39" s="364">
        <v>7</v>
      </c>
      <c r="AX39" s="364"/>
      <c r="AY39" s="364">
        <f>25+16</f>
        <v>41</v>
      </c>
      <c r="AZ39" s="364"/>
      <c r="BA39" s="364">
        <v>7</v>
      </c>
      <c r="BB39" s="365"/>
      <c r="BC39" s="365">
        <v>9</v>
      </c>
      <c r="BD39" s="365"/>
      <c r="BE39" s="365">
        <v>0</v>
      </c>
      <c r="BF39" s="365"/>
      <c r="BG39" s="365">
        <v>0</v>
      </c>
      <c r="BH39" s="365"/>
      <c r="BI39" s="365">
        <v>134</v>
      </c>
      <c r="BJ39" s="365"/>
      <c r="BK39" s="365"/>
      <c r="BL39" s="365"/>
      <c r="BM39" s="366">
        <f t="shared" ref="BM39:BN54" si="7">AO39+AQ39+AS39+AU39+AW39+AY39+BA39+BC39+BE39+BG39+BI39+BK39</f>
        <v>208</v>
      </c>
      <c r="BN39" s="367">
        <f t="shared" si="7"/>
        <v>0</v>
      </c>
      <c r="BO39" s="368"/>
      <c r="BP39" s="368"/>
      <c r="BQ39" s="368"/>
      <c r="BR39" s="368"/>
      <c r="BS39" s="369"/>
      <c r="BT39" s="369"/>
      <c r="BU39" s="369"/>
      <c r="BV39" s="369"/>
      <c r="BW39" s="369"/>
      <c r="BX39" s="369"/>
      <c r="BY39" s="369"/>
      <c r="BZ39" s="370"/>
    </row>
    <row r="40" spans="1:78" ht="13.5" customHeight="1">
      <c r="A40" s="364" t="s">
        <v>717</v>
      </c>
      <c r="B40" s="364"/>
      <c r="C40" s="364"/>
      <c r="D40" s="364"/>
      <c r="E40" s="364"/>
      <c r="F40" s="364"/>
      <c r="G40" s="364"/>
      <c r="H40" s="364"/>
      <c r="I40" s="364"/>
      <c r="J40" s="364"/>
      <c r="K40" s="364"/>
      <c r="L40" s="364"/>
      <c r="M40" s="364"/>
      <c r="N40" s="364"/>
      <c r="O40" s="365"/>
      <c r="P40" s="365"/>
      <c r="Q40" s="365"/>
      <c r="R40" s="365"/>
      <c r="S40" s="365"/>
      <c r="T40" s="365"/>
      <c r="U40" s="365"/>
      <c r="V40" s="365"/>
      <c r="W40" s="365"/>
      <c r="X40" s="365"/>
      <c r="Y40" s="365"/>
      <c r="Z40" s="366">
        <f t="shared" si="6"/>
        <v>0</v>
      </c>
      <c r="AA40" s="367">
        <f t="shared" si="6"/>
        <v>0</v>
      </c>
      <c r="AB40" s="369"/>
      <c r="AC40" s="369"/>
      <c r="AD40" s="369"/>
      <c r="AE40" s="369"/>
      <c r="AF40" s="369"/>
      <c r="AG40" s="369"/>
      <c r="AH40" s="369"/>
      <c r="AI40" s="369"/>
      <c r="AJ40" s="369"/>
      <c r="AK40" s="369"/>
      <c r="AL40" s="369"/>
      <c r="AM40" s="369"/>
      <c r="AN40" s="205"/>
      <c r="AO40" s="364"/>
      <c r="AP40" s="364"/>
      <c r="AQ40" s="364">
        <v>39</v>
      </c>
      <c r="AR40" s="364"/>
      <c r="AS40" s="364">
        <v>22</v>
      </c>
      <c r="AT40" s="364"/>
      <c r="AU40" s="364">
        <v>4</v>
      </c>
      <c r="AV40" s="364"/>
      <c r="AW40" s="364">
        <v>34</v>
      </c>
      <c r="AX40" s="364"/>
      <c r="AY40" s="364">
        <v>85</v>
      </c>
      <c r="AZ40" s="364"/>
      <c r="BA40" s="364">
        <v>7</v>
      </c>
      <c r="BB40" s="365"/>
      <c r="BC40" s="365">
        <v>18</v>
      </c>
      <c r="BD40" s="365"/>
      <c r="BE40" s="365">
        <v>0</v>
      </c>
      <c r="BF40" s="365"/>
      <c r="BG40" s="365">
        <v>0</v>
      </c>
      <c r="BH40" s="365"/>
      <c r="BI40" s="365"/>
      <c r="BJ40" s="365"/>
      <c r="BK40" s="365"/>
      <c r="BL40" s="365"/>
      <c r="BM40" s="366">
        <f t="shared" si="7"/>
        <v>209</v>
      </c>
      <c r="BN40" s="367">
        <f t="shared" si="7"/>
        <v>0</v>
      </c>
      <c r="BO40" s="368"/>
      <c r="BP40" s="368"/>
      <c r="BQ40" s="368"/>
      <c r="BR40" s="368"/>
      <c r="BS40" s="369"/>
      <c r="BT40" s="369"/>
      <c r="BU40" s="369"/>
      <c r="BV40" s="369"/>
      <c r="BW40" s="369"/>
      <c r="BX40" s="369"/>
      <c r="BY40" s="369"/>
      <c r="BZ40" s="369"/>
    </row>
    <row r="41" spans="1:78" ht="13.5" customHeight="1">
      <c r="A41" s="364" t="s">
        <v>718</v>
      </c>
      <c r="B41" s="364"/>
      <c r="C41" s="364"/>
      <c r="D41" s="364"/>
      <c r="E41" s="364"/>
      <c r="F41" s="364"/>
      <c r="G41" s="364"/>
      <c r="H41" s="364"/>
      <c r="I41" s="364"/>
      <c r="J41" s="364"/>
      <c r="K41" s="364"/>
      <c r="L41" s="364"/>
      <c r="M41" s="364"/>
      <c r="N41" s="364"/>
      <c r="O41" s="365"/>
      <c r="P41" s="365"/>
      <c r="Q41" s="365"/>
      <c r="R41" s="365"/>
      <c r="S41" s="365"/>
      <c r="T41" s="365"/>
      <c r="U41" s="365"/>
      <c r="V41" s="365"/>
      <c r="W41" s="365"/>
      <c r="X41" s="365"/>
      <c r="Y41" s="365"/>
      <c r="Z41" s="366">
        <f t="shared" si="6"/>
        <v>0</v>
      </c>
      <c r="AA41" s="367">
        <f t="shared" si="6"/>
        <v>0</v>
      </c>
      <c r="AB41" s="369"/>
      <c r="AC41" s="369"/>
      <c r="AD41" s="369"/>
      <c r="AE41" s="369"/>
      <c r="AF41" s="369"/>
      <c r="AG41" s="369"/>
      <c r="AH41" s="369"/>
      <c r="AI41" s="369"/>
      <c r="AJ41" s="369"/>
      <c r="AK41" s="369"/>
      <c r="AL41" s="369"/>
      <c r="AM41" s="369"/>
      <c r="AN41" s="205"/>
      <c r="AO41" s="364"/>
      <c r="AP41" s="364"/>
      <c r="AQ41" s="371">
        <v>9</v>
      </c>
      <c r="AR41" s="364"/>
      <c r="AS41" s="364">
        <v>2</v>
      </c>
      <c r="AT41" s="364"/>
      <c r="AU41" s="364">
        <v>1</v>
      </c>
      <c r="AV41" s="364"/>
      <c r="AW41" s="364"/>
      <c r="AX41" s="364"/>
      <c r="AY41" s="364">
        <v>12</v>
      </c>
      <c r="AZ41" s="364"/>
      <c r="BA41" s="364">
        <v>12</v>
      </c>
      <c r="BB41" s="365"/>
      <c r="BC41" s="365">
        <v>0</v>
      </c>
      <c r="BD41" s="365"/>
      <c r="BE41" s="365">
        <v>0</v>
      </c>
      <c r="BF41" s="365"/>
      <c r="BG41" s="365">
        <v>0</v>
      </c>
      <c r="BH41" s="365"/>
      <c r="BI41" s="365"/>
      <c r="BJ41" s="365"/>
      <c r="BK41" s="365"/>
      <c r="BL41" s="365"/>
      <c r="BM41" s="366">
        <f t="shared" si="7"/>
        <v>36</v>
      </c>
      <c r="BN41" s="367">
        <f t="shared" si="7"/>
        <v>0</v>
      </c>
      <c r="BO41" s="368"/>
      <c r="BP41" s="368"/>
      <c r="BQ41" s="368"/>
      <c r="BR41" s="368"/>
      <c r="BS41" s="369"/>
      <c r="BT41" s="369"/>
      <c r="BU41" s="369"/>
      <c r="BV41" s="369"/>
      <c r="BW41" s="369"/>
      <c r="BX41" s="369"/>
      <c r="BY41" s="369"/>
      <c r="BZ41" s="369"/>
    </row>
    <row r="42" spans="1:78" ht="13.5" customHeight="1">
      <c r="A42" s="364" t="s">
        <v>719</v>
      </c>
      <c r="B42" s="364"/>
      <c r="C42" s="364"/>
      <c r="D42" s="364"/>
      <c r="E42" s="364"/>
      <c r="F42" s="364"/>
      <c r="G42" s="364"/>
      <c r="H42" s="364"/>
      <c r="I42" s="364"/>
      <c r="J42" s="364"/>
      <c r="K42" s="364"/>
      <c r="L42" s="364"/>
      <c r="M42" s="364"/>
      <c r="N42" s="364"/>
      <c r="O42" s="365"/>
      <c r="P42" s="365"/>
      <c r="Q42" s="365"/>
      <c r="R42" s="365"/>
      <c r="S42" s="365"/>
      <c r="T42" s="365"/>
      <c r="U42" s="365"/>
      <c r="V42" s="365"/>
      <c r="W42" s="365"/>
      <c r="X42" s="365"/>
      <c r="Y42" s="365"/>
      <c r="Z42" s="366">
        <f t="shared" si="6"/>
        <v>0</v>
      </c>
      <c r="AA42" s="367">
        <f t="shared" si="6"/>
        <v>0</v>
      </c>
      <c r="AB42" s="369"/>
      <c r="AC42" s="369"/>
      <c r="AD42" s="369"/>
      <c r="AE42" s="369"/>
      <c r="AF42" s="369"/>
      <c r="AG42" s="369"/>
      <c r="AH42" s="369"/>
      <c r="AI42" s="369"/>
      <c r="AJ42" s="369"/>
      <c r="AK42" s="369"/>
      <c r="AL42" s="369"/>
      <c r="AM42" s="369"/>
      <c r="AN42" s="205"/>
      <c r="AO42" s="364"/>
      <c r="AP42" s="364"/>
      <c r="AQ42" s="364">
        <v>16</v>
      </c>
      <c r="AR42" s="364"/>
      <c r="AS42" s="376"/>
      <c r="AT42" s="364"/>
      <c r="AU42" s="364">
        <v>5</v>
      </c>
      <c r="AV42" s="364"/>
      <c r="AW42" s="364">
        <v>7</v>
      </c>
      <c r="AX42" s="364"/>
      <c r="AY42" s="364">
        <v>5</v>
      </c>
      <c r="AZ42" s="364"/>
      <c r="BA42" s="364">
        <v>17</v>
      </c>
      <c r="BB42" s="365"/>
      <c r="BC42" s="365">
        <v>17</v>
      </c>
      <c r="BD42" s="365"/>
      <c r="BE42" s="365">
        <v>0</v>
      </c>
      <c r="BF42" s="365"/>
      <c r="BG42" s="365">
        <v>3</v>
      </c>
      <c r="BH42" s="365"/>
      <c r="BI42" s="365"/>
      <c r="BJ42" s="365"/>
      <c r="BK42" s="365"/>
      <c r="BL42" s="365"/>
      <c r="BM42" s="366">
        <f t="shared" si="7"/>
        <v>70</v>
      </c>
      <c r="BN42" s="367">
        <f t="shared" si="7"/>
        <v>0</v>
      </c>
      <c r="BO42" s="368"/>
      <c r="BP42" s="368"/>
      <c r="BQ42" s="368"/>
      <c r="BR42" s="368"/>
      <c r="BS42" s="369"/>
      <c r="BT42" s="369"/>
      <c r="BU42" s="369"/>
      <c r="BV42" s="369"/>
      <c r="BW42" s="369"/>
      <c r="BX42" s="369"/>
      <c r="BY42" s="369"/>
      <c r="BZ42" s="369"/>
    </row>
    <row r="43" spans="1:78" ht="13.5" customHeight="1">
      <c r="A43" s="364" t="s">
        <v>720</v>
      </c>
      <c r="B43" s="364"/>
      <c r="C43" s="364"/>
      <c r="D43" s="364"/>
      <c r="E43" s="364"/>
      <c r="F43" s="364"/>
      <c r="G43" s="364"/>
      <c r="H43" s="364"/>
      <c r="I43" s="364"/>
      <c r="J43" s="364"/>
      <c r="K43" s="364"/>
      <c r="L43" s="364"/>
      <c r="M43" s="364"/>
      <c r="N43" s="364"/>
      <c r="O43" s="365"/>
      <c r="P43" s="365"/>
      <c r="Q43" s="365"/>
      <c r="R43" s="365"/>
      <c r="S43" s="365"/>
      <c r="T43" s="365"/>
      <c r="U43" s="365"/>
      <c r="V43" s="365"/>
      <c r="W43" s="365"/>
      <c r="X43" s="365"/>
      <c r="Y43" s="365"/>
      <c r="Z43" s="366">
        <f t="shared" si="6"/>
        <v>0</v>
      </c>
      <c r="AA43" s="367">
        <f t="shared" si="6"/>
        <v>0</v>
      </c>
      <c r="AB43" s="369"/>
      <c r="AC43" s="369"/>
      <c r="AD43" s="369"/>
      <c r="AE43" s="369"/>
      <c r="AF43" s="369"/>
      <c r="AG43" s="369"/>
      <c r="AH43" s="369"/>
      <c r="AI43" s="369"/>
      <c r="AJ43" s="369"/>
      <c r="AK43" s="369"/>
      <c r="AL43" s="369"/>
      <c r="AM43" s="369"/>
      <c r="AN43" s="205"/>
      <c r="AO43" s="364"/>
      <c r="AP43" s="364"/>
      <c r="AQ43" s="364">
        <v>101</v>
      </c>
      <c r="AR43" s="364"/>
      <c r="AS43" s="364">
        <v>44</v>
      </c>
      <c r="AT43" s="364"/>
      <c r="AU43" s="364">
        <v>38</v>
      </c>
      <c r="AV43" s="364"/>
      <c r="AW43" s="364">
        <v>65</v>
      </c>
      <c r="AX43" s="364"/>
      <c r="AY43" s="364">
        <v>207</v>
      </c>
      <c r="AZ43" s="364"/>
      <c r="BA43" s="364">
        <v>52</v>
      </c>
      <c r="BB43" s="365"/>
      <c r="BC43" s="365">
        <v>36</v>
      </c>
      <c r="BD43" s="365"/>
      <c r="BE43" s="365">
        <v>0</v>
      </c>
      <c r="BF43" s="365"/>
      <c r="BG43" s="365">
        <v>0</v>
      </c>
      <c r="BH43" s="365"/>
      <c r="BI43" s="365"/>
      <c r="BJ43" s="365"/>
      <c r="BK43" s="365"/>
      <c r="BL43" s="365"/>
      <c r="BM43" s="366">
        <f t="shared" si="7"/>
        <v>543</v>
      </c>
      <c r="BN43" s="367">
        <f t="shared" si="7"/>
        <v>0</v>
      </c>
      <c r="BO43" s="368"/>
      <c r="BP43" s="368"/>
      <c r="BQ43" s="368"/>
      <c r="BR43" s="368"/>
      <c r="BS43" s="369"/>
      <c r="BT43" s="369"/>
      <c r="BU43" s="369"/>
      <c r="BV43" s="369"/>
      <c r="BW43" s="369"/>
      <c r="BX43" s="369"/>
      <c r="BY43" s="369"/>
      <c r="BZ43" s="369"/>
    </row>
    <row r="44" spans="1:78" ht="13.5" customHeight="1">
      <c r="A44" s="364" t="s">
        <v>721</v>
      </c>
      <c r="B44" s="364"/>
      <c r="C44" s="364"/>
      <c r="D44" s="364"/>
      <c r="E44" s="364"/>
      <c r="F44" s="364"/>
      <c r="G44" s="364"/>
      <c r="H44" s="364"/>
      <c r="I44" s="364"/>
      <c r="J44" s="364"/>
      <c r="K44" s="364"/>
      <c r="L44" s="364"/>
      <c r="M44" s="364"/>
      <c r="N44" s="364"/>
      <c r="O44" s="365"/>
      <c r="P44" s="365"/>
      <c r="Q44" s="365"/>
      <c r="R44" s="365"/>
      <c r="S44" s="365"/>
      <c r="T44" s="365"/>
      <c r="U44" s="365"/>
      <c r="V44" s="365"/>
      <c r="W44" s="365"/>
      <c r="X44" s="365"/>
      <c r="Y44" s="365"/>
      <c r="Z44" s="366">
        <f t="shared" si="6"/>
        <v>0</v>
      </c>
      <c r="AA44" s="367">
        <f t="shared" si="6"/>
        <v>0</v>
      </c>
      <c r="AB44" s="369"/>
      <c r="AC44" s="369"/>
      <c r="AD44" s="369"/>
      <c r="AE44" s="369"/>
      <c r="AF44" s="369"/>
      <c r="AG44" s="369"/>
      <c r="AH44" s="369"/>
      <c r="AI44" s="369"/>
      <c r="AJ44" s="369"/>
      <c r="AK44" s="369"/>
      <c r="AL44" s="369"/>
      <c r="AM44" s="369"/>
      <c r="AN44" s="205"/>
      <c r="AO44" s="364"/>
      <c r="AP44" s="364"/>
      <c r="AQ44" s="364">
        <v>73</v>
      </c>
      <c r="AR44" s="364"/>
      <c r="AS44" s="364">
        <v>34</v>
      </c>
      <c r="AT44" s="364"/>
      <c r="AU44" s="364">
        <v>43</v>
      </c>
      <c r="AV44" s="364"/>
      <c r="AW44" s="364">
        <v>91</v>
      </c>
      <c r="AX44" s="364"/>
      <c r="AY44" s="364">
        <v>139</v>
      </c>
      <c r="AZ44" s="364"/>
      <c r="BA44" s="364">
        <v>87</v>
      </c>
      <c r="BB44" s="365"/>
      <c r="BC44" s="365">
        <v>55</v>
      </c>
      <c r="BD44" s="365"/>
      <c r="BE44" s="365">
        <v>8</v>
      </c>
      <c r="BF44" s="365"/>
      <c r="BG44" s="365">
        <v>23</v>
      </c>
      <c r="BH44" s="365"/>
      <c r="BI44" s="365"/>
      <c r="BJ44" s="365"/>
      <c r="BK44" s="365"/>
      <c r="BL44" s="365"/>
      <c r="BM44" s="366">
        <f t="shared" si="7"/>
        <v>553</v>
      </c>
      <c r="BN44" s="367">
        <f t="shared" si="7"/>
        <v>0</v>
      </c>
      <c r="BO44" s="368"/>
      <c r="BP44" s="368"/>
      <c r="BQ44" s="368"/>
      <c r="BR44" s="368"/>
      <c r="BS44" s="369"/>
      <c r="BT44" s="369"/>
      <c r="BU44" s="369"/>
      <c r="BV44" s="369"/>
      <c r="BW44" s="369"/>
      <c r="BX44" s="369"/>
      <c r="BY44" s="369"/>
      <c r="BZ44" s="369"/>
    </row>
    <row r="45" spans="1:78" ht="13.5" customHeight="1">
      <c r="A45" s="364" t="s">
        <v>722</v>
      </c>
      <c r="B45" s="364"/>
      <c r="C45" s="364"/>
      <c r="D45" s="364"/>
      <c r="E45" s="364"/>
      <c r="F45" s="364"/>
      <c r="G45" s="364"/>
      <c r="H45" s="364"/>
      <c r="I45" s="364"/>
      <c r="J45" s="364"/>
      <c r="K45" s="364"/>
      <c r="L45" s="364"/>
      <c r="M45" s="364"/>
      <c r="N45" s="364"/>
      <c r="O45" s="365"/>
      <c r="P45" s="365"/>
      <c r="Q45" s="365"/>
      <c r="R45" s="365"/>
      <c r="S45" s="365"/>
      <c r="T45" s="365"/>
      <c r="U45" s="365"/>
      <c r="V45" s="365"/>
      <c r="W45" s="365"/>
      <c r="X45" s="365"/>
      <c r="Y45" s="365"/>
      <c r="Z45" s="366">
        <f t="shared" si="6"/>
        <v>0</v>
      </c>
      <c r="AA45" s="367">
        <f t="shared" si="6"/>
        <v>0</v>
      </c>
      <c r="AB45" s="369"/>
      <c r="AC45" s="369"/>
      <c r="AD45" s="369"/>
      <c r="AE45" s="369"/>
      <c r="AF45" s="369"/>
      <c r="AG45" s="369"/>
      <c r="AH45" s="369"/>
      <c r="AI45" s="369"/>
      <c r="AJ45" s="369"/>
      <c r="AK45" s="369"/>
      <c r="AL45" s="369"/>
      <c r="AM45" s="369"/>
      <c r="AN45" s="205"/>
      <c r="AO45" s="364"/>
      <c r="AP45" s="364"/>
      <c r="AQ45" s="371">
        <v>10</v>
      </c>
      <c r="AR45" s="364"/>
      <c r="AS45" s="364">
        <v>7</v>
      </c>
      <c r="AT45" s="364"/>
      <c r="AU45" s="364">
        <v>1</v>
      </c>
      <c r="AV45" s="364"/>
      <c r="AW45" s="364">
        <v>13</v>
      </c>
      <c r="AX45" s="364"/>
      <c r="AY45" s="364">
        <v>13</v>
      </c>
      <c r="AZ45" s="364"/>
      <c r="BA45" s="364">
        <v>16</v>
      </c>
      <c r="BB45" s="365"/>
      <c r="BC45" s="365">
        <v>9</v>
      </c>
      <c r="BD45" s="365"/>
      <c r="BE45" s="365">
        <v>17</v>
      </c>
      <c r="BF45" s="365"/>
      <c r="BG45" s="365">
        <v>0</v>
      </c>
      <c r="BH45" s="365"/>
      <c r="BI45" s="365"/>
      <c r="BJ45" s="365"/>
      <c r="BK45" s="365"/>
      <c r="BL45" s="365"/>
      <c r="BM45" s="366">
        <f t="shared" si="7"/>
        <v>86</v>
      </c>
      <c r="BN45" s="367">
        <f t="shared" si="7"/>
        <v>0</v>
      </c>
      <c r="BO45" s="368"/>
      <c r="BP45" s="368"/>
      <c r="BQ45" s="368"/>
      <c r="BR45" s="368"/>
      <c r="BS45" s="369"/>
      <c r="BT45" s="369"/>
      <c r="BU45" s="369"/>
      <c r="BV45" s="369"/>
      <c r="BW45" s="369"/>
      <c r="BX45" s="369"/>
      <c r="BY45" s="369"/>
      <c r="BZ45" s="369"/>
    </row>
    <row r="46" spans="1:78" ht="13.5" customHeight="1">
      <c r="A46" s="364" t="s">
        <v>723</v>
      </c>
      <c r="B46" s="364"/>
      <c r="C46" s="364"/>
      <c r="D46" s="364"/>
      <c r="E46" s="364"/>
      <c r="F46" s="364"/>
      <c r="G46" s="364"/>
      <c r="H46" s="364"/>
      <c r="I46" s="364"/>
      <c r="J46" s="364"/>
      <c r="K46" s="364"/>
      <c r="L46" s="364"/>
      <c r="M46" s="364"/>
      <c r="N46" s="364"/>
      <c r="O46" s="365"/>
      <c r="P46" s="365"/>
      <c r="Q46" s="365"/>
      <c r="R46" s="365"/>
      <c r="S46" s="365"/>
      <c r="T46" s="365"/>
      <c r="U46" s="365"/>
      <c r="V46" s="365"/>
      <c r="W46" s="365"/>
      <c r="X46" s="365"/>
      <c r="Y46" s="365"/>
      <c r="Z46" s="366">
        <f t="shared" si="6"/>
        <v>0</v>
      </c>
      <c r="AA46" s="367">
        <f t="shared" si="6"/>
        <v>0</v>
      </c>
      <c r="AB46" s="369"/>
      <c r="AC46" s="369"/>
      <c r="AD46" s="369"/>
      <c r="AE46" s="369"/>
      <c r="AF46" s="369"/>
      <c r="AG46" s="369"/>
      <c r="AH46" s="369"/>
      <c r="AI46" s="369"/>
      <c r="AJ46" s="369"/>
      <c r="AK46" s="369"/>
      <c r="AL46" s="369"/>
      <c r="AM46" s="369"/>
      <c r="AN46" s="205"/>
      <c r="AO46" s="364"/>
      <c r="AP46" s="364"/>
      <c r="AQ46" s="364">
        <v>447</v>
      </c>
      <c r="AR46" s="364"/>
      <c r="AS46" s="364">
        <v>142</v>
      </c>
      <c r="AT46" s="364"/>
      <c r="AU46" s="364">
        <v>103</v>
      </c>
      <c r="AV46" s="364"/>
      <c r="AW46" s="364">
        <v>221</v>
      </c>
      <c r="AX46" s="364"/>
      <c r="AY46" s="364">
        <v>378</v>
      </c>
      <c r="AZ46" s="364"/>
      <c r="BA46" s="364">
        <v>171</v>
      </c>
      <c r="BB46" s="365"/>
      <c r="BC46" s="365">
        <v>323</v>
      </c>
      <c r="BD46" s="365"/>
      <c r="BE46" s="365">
        <v>0</v>
      </c>
      <c r="BF46" s="365"/>
      <c r="BG46" s="365">
        <v>95</v>
      </c>
      <c r="BH46" s="365"/>
      <c r="BI46" s="365"/>
      <c r="BJ46" s="365"/>
      <c r="BK46" s="365"/>
      <c r="BL46" s="365"/>
      <c r="BM46" s="366">
        <f t="shared" si="7"/>
        <v>1880</v>
      </c>
      <c r="BN46" s="367">
        <f t="shared" si="7"/>
        <v>0</v>
      </c>
      <c r="BO46" s="368"/>
      <c r="BP46" s="368"/>
      <c r="BQ46" s="368"/>
      <c r="BR46" s="368"/>
      <c r="BS46" s="369"/>
      <c r="BT46" s="369"/>
      <c r="BU46" s="369"/>
      <c r="BV46" s="369"/>
      <c r="BW46" s="369"/>
      <c r="BX46" s="369"/>
      <c r="BY46" s="369"/>
      <c r="BZ46" s="369"/>
    </row>
    <row r="47" spans="1:78" ht="13.5" customHeight="1">
      <c r="A47" s="364" t="s">
        <v>724</v>
      </c>
      <c r="B47" s="364"/>
      <c r="C47" s="364"/>
      <c r="D47" s="364"/>
      <c r="E47" s="364"/>
      <c r="F47" s="364"/>
      <c r="G47" s="364"/>
      <c r="H47" s="364"/>
      <c r="I47" s="364"/>
      <c r="J47" s="364"/>
      <c r="K47" s="364"/>
      <c r="L47" s="364"/>
      <c r="M47" s="364"/>
      <c r="N47" s="364"/>
      <c r="O47" s="365"/>
      <c r="P47" s="365"/>
      <c r="Q47" s="365"/>
      <c r="R47" s="365"/>
      <c r="S47" s="365"/>
      <c r="T47" s="365"/>
      <c r="U47" s="365"/>
      <c r="V47" s="365"/>
      <c r="W47" s="365"/>
      <c r="X47" s="365"/>
      <c r="Y47" s="365"/>
      <c r="Z47" s="366">
        <f t="shared" si="6"/>
        <v>0</v>
      </c>
      <c r="AA47" s="367">
        <f t="shared" si="6"/>
        <v>0</v>
      </c>
      <c r="AB47" s="369"/>
      <c r="AC47" s="369"/>
      <c r="AD47" s="369"/>
      <c r="AE47" s="369"/>
      <c r="AF47" s="369"/>
      <c r="AG47" s="369"/>
      <c r="AH47" s="369"/>
      <c r="AI47" s="369"/>
      <c r="AJ47" s="369"/>
      <c r="AK47" s="369"/>
      <c r="AL47" s="369"/>
      <c r="AM47" s="369"/>
      <c r="AN47" s="205"/>
      <c r="AO47" s="364"/>
      <c r="AP47" s="364"/>
      <c r="AQ47" s="364">
        <v>171</v>
      </c>
      <c r="AR47" s="364"/>
      <c r="AS47" s="364">
        <v>143</v>
      </c>
      <c r="AT47" s="364"/>
      <c r="AU47" s="364">
        <v>47</v>
      </c>
      <c r="AV47" s="364"/>
      <c r="AW47" s="364">
        <v>240</v>
      </c>
      <c r="AX47" s="364"/>
      <c r="AY47" s="364">
        <v>382</v>
      </c>
      <c r="AZ47" s="364"/>
      <c r="BA47" s="364">
        <v>108</v>
      </c>
      <c r="BB47" s="365"/>
      <c r="BC47" s="365">
        <v>68</v>
      </c>
      <c r="BD47" s="365"/>
      <c r="BE47" s="365">
        <v>0</v>
      </c>
      <c r="BF47" s="365"/>
      <c r="BG47" s="365">
        <v>0</v>
      </c>
      <c r="BH47" s="365"/>
      <c r="BI47" s="365"/>
      <c r="BJ47" s="365"/>
      <c r="BK47" s="365"/>
      <c r="BL47" s="365"/>
      <c r="BM47" s="366">
        <f t="shared" si="7"/>
        <v>1159</v>
      </c>
      <c r="BN47" s="367">
        <f t="shared" si="7"/>
        <v>0</v>
      </c>
      <c r="BO47" s="368"/>
      <c r="BP47" s="368"/>
      <c r="BQ47" s="368"/>
      <c r="BR47" s="368"/>
      <c r="BS47" s="369"/>
      <c r="BT47" s="369"/>
      <c r="BU47" s="369"/>
      <c r="BV47" s="369"/>
      <c r="BW47" s="369"/>
      <c r="BX47" s="369"/>
      <c r="BY47" s="369"/>
      <c r="BZ47" s="369"/>
    </row>
    <row r="48" spans="1:78" ht="13.5" customHeight="1">
      <c r="A48" s="364" t="s">
        <v>725</v>
      </c>
      <c r="B48" s="364"/>
      <c r="C48" s="364"/>
      <c r="D48" s="364"/>
      <c r="E48" s="364"/>
      <c r="F48" s="364"/>
      <c r="G48" s="364"/>
      <c r="H48" s="364"/>
      <c r="I48" s="364"/>
      <c r="J48" s="364"/>
      <c r="K48" s="364"/>
      <c r="L48" s="364"/>
      <c r="M48" s="364"/>
      <c r="N48" s="364"/>
      <c r="O48" s="365"/>
      <c r="P48" s="365"/>
      <c r="Q48" s="365"/>
      <c r="R48" s="365"/>
      <c r="S48" s="365"/>
      <c r="T48" s="365"/>
      <c r="U48" s="365"/>
      <c r="V48" s="365"/>
      <c r="W48" s="365"/>
      <c r="X48" s="365"/>
      <c r="Y48" s="365"/>
      <c r="Z48" s="366">
        <f t="shared" si="6"/>
        <v>0</v>
      </c>
      <c r="AA48" s="367">
        <f t="shared" si="6"/>
        <v>0</v>
      </c>
      <c r="AB48" s="369"/>
      <c r="AC48" s="369"/>
      <c r="AD48" s="369"/>
      <c r="AE48" s="369"/>
      <c r="AF48" s="369"/>
      <c r="AG48" s="369"/>
      <c r="AH48" s="369"/>
      <c r="AI48" s="369"/>
      <c r="AJ48" s="369"/>
      <c r="AK48" s="369"/>
      <c r="AL48" s="369"/>
      <c r="AM48" s="369"/>
      <c r="AN48" s="205"/>
      <c r="AO48" s="364"/>
      <c r="AP48" s="364"/>
      <c r="AQ48" s="371">
        <v>9</v>
      </c>
      <c r="AR48" s="364"/>
      <c r="AS48" s="364">
        <v>10</v>
      </c>
      <c r="AT48" s="364"/>
      <c r="AU48" s="364">
        <v>14</v>
      </c>
      <c r="AV48" s="364"/>
      <c r="AW48" s="364">
        <v>63</v>
      </c>
      <c r="AX48" s="364"/>
      <c r="AY48" s="364">
        <v>60</v>
      </c>
      <c r="AZ48" s="364"/>
      <c r="BA48" s="364">
        <v>56</v>
      </c>
      <c r="BB48" s="365"/>
      <c r="BC48" s="365">
        <v>40</v>
      </c>
      <c r="BD48" s="365"/>
      <c r="BE48" s="365">
        <v>2</v>
      </c>
      <c r="BF48" s="365"/>
      <c r="BG48" s="365">
        <v>28</v>
      </c>
      <c r="BH48" s="365"/>
      <c r="BI48" s="365"/>
      <c r="BJ48" s="365"/>
      <c r="BK48" s="365"/>
      <c r="BL48" s="365"/>
      <c r="BM48" s="366">
        <f t="shared" si="7"/>
        <v>282</v>
      </c>
      <c r="BN48" s="367">
        <f t="shared" si="7"/>
        <v>0</v>
      </c>
      <c r="BO48" s="368"/>
      <c r="BP48" s="368"/>
      <c r="BQ48" s="368"/>
      <c r="BR48" s="368"/>
      <c r="BS48" s="369"/>
      <c r="BT48" s="369"/>
      <c r="BU48" s="369"/>
      <c r="BV48" s="369"/>
      <c r="BW48" s="369"/>
      <c r="BX48" s="369"/>
      <c r="BY48" s="369"/>
      <c r="BZ48" s="369"/>
    </row>
    <row r="49" spans="1:78" ht="13.5" customHeight="1">
      <c r="A49" s="364" t="s">
        <v>726</v>
      </c>
      <c r="B49" s="364"/>
      <c r="C49" s="364"/>
      <c r="D49" s="364"/>
      <c r="E49" s="364"/>
      <c r="F49" s="364"/>
      <c r="G49" s="364"/>
      <c r="H49" s="364"/>
      <c r="I49" s="364"/>
      <c r="J49" s="364"/>
      <c r="K49" s="364"/>
      <c r="L49" s="364"/>
      <c r="M49" s="364"/>
      <c r="N49" s="364"/>
      <c r="O49" s="365"/>
      <c r="P49" s="365"/>
      <c r="Q49" s="365"/>
      <c r="R49" s="365"/>
      <c r="S49" s="365"/>
      <c r="T49" s="365"/>
      <c r="U49" s="365"/>
      <c r="V49" s="365"/>
      <c r="W49" s="365"/>
      <c r="X49" s="365"/>
      <c r="Y49" s="365"/>
      <c r="Z49" s="366">
        <f t="shared" si="6"/>
        <v>0</v>
      </c>
      <c r="AA49" s="367">
        <f t="shared" si="6"/>
        <v>0</v>
      </c>
      <c r="AB49" s="369"/>
      <c r="AC49" s="369"/>
      <c r="AD49" s="369"/>
      <c r="AE49" s="369"/>
      <c r="AF49" s="369"/>
      <c r="AG49" s="369"/>
      <c r="AH49" s="369"/>
      <c r="AI49" s="369"/>
      <c r="AJ49" s="369"/>
      <c r="AK49" s="369"/>
      <c r="AL49" s="369"/>
      <c r="AM49" s="369"/>
      <c r="AN49" s="205"/>
      <c r="AO49" s="364"/>
      <c r="AP49" s="364"/>
      <c r="AQ49" s="364">
        <v>64</v>
      </c>
      <c r="AR49" s="364"/>
      <c r="AS49" s="364">
        <v>25</v>
      </c>
      <c r="AT49" s="364"/>
      <c r="AU49" s="364">
        <v>7</v>
      </c>
      <c r="AV49" s="364"/>
      <c r="AW49" s="364">
        <v>76</v>
      </c>
      <c r="AX49" s="364"/>
      <c r="AY49" s="364">
        <v>91</v>
      </c>
      <c r="AZ49" s="364"/>
      <c r="BA49" s="364">
        <v>43</v>
      </c>
      <c r="BB49" s="365"/>
      <c r="BC49" s="365">
        <v>49</v>
      </c>
      <c r="BD49" s="365"/>
      <c r="BE49" s="365">
        <v>0</v>
      </c>
      <c r="BF49" s="365"/>
      <c r="BG49" s="365">
        <v>0</v>
      </c>
      <c r="BH49" s="365"/>
      <c r="BI49" s="365"/>
      <c r="BJ49" s="365"/>
      <c r="BK49" s="365"/>
      <c r="BL49" s="365"/>
      <c r="BM49" s="366">
        <f t="shared" si="7"/>
        <v>355</v>
      </c>
      <c r="BN49" s="367">
        <f t="shared" si="7"/>
        <v>0</v>
      </c>
      <c r="BO49" s="368"/>
      <c r="BP49" s="368"/>
      <c r="BQ49" s="368"/>
      <c r="BR49" s="368"/>
      <c r="BS49" s="369"/>
      <c r="BT49" s="369"/>
      <c r="BU49" s="369"/>
      <c r="BV49" s="369"/>
      <c r="BW49" s="369"/>
      <c r="BX49" s="369"/>
      <c r="BY49" s="369"/>
      <c r="BZ49" s="369"/>
    </row>
    <row r="50" spans="1:78" ht="13.5" customHeight="1">
      <c r="A50" s="364" t="s">
        <v>727</v>
      </c>
      <c r="B50" s="364"/>
      <c r="C50" s="364"/>
      <c r="D50" s="364"/>
      <c r="E50" s="364"/>
      <c r="F50" s="364"/>
      <c r="G50" s="364"/>
      <c r="H50" s="364"/>
      <c r="I50" s="364"/>
      <c r="J50" s="364"/>
      <c r="K50" s="364"/>
      <c r="L50" s="364"/>
      <c r="M50" s="364"/>
      <c r="N50" s="364"/>
      <c r="O50" s="365"/>
      <c r="P50" s="365"/>
      <c r="Q50" s="365"/>
      <c r="R50" s="365"/>
      <c r="S50" s="365"/>
      <c r="T50" s="365"/>
      <c r="U50" s="365"/>
      <c r="V50" s="365"/>
      <c r="W50" s="365"/>
      <c r="X50" s="365"/>
      <c r="Y50" s="365"/>
      <c r="Z50" s="366">
        <f t="shared" si="6"/>
        <v>0</v>
      </c>
      <c r="AA50" s="367">
        <f t="shared" si="6"/>
        <v>0</v>
      </c>
      <c r="AB50" s="369"/>
      <c r="AC50" s="369"/>
      <c r="AD50" s="369"/>
      <c r="AE50" s="369"/>
      <c r="AF50" s="369"/>
      <c r="AG50" s="369"/>
      <c r="AH50" s="369"/>
      <c r="AI50" s="369"/>
      <c r="AJ50" s="369"/>
      <c r="AK50" s="369"/>
      <c r="AL50" s="369"/>
      <c r="AM50" s="369"/>
      <c r="AN50" s="205"/>
      <c r="AO50" s="364"/>
      <c r="AP50" s="364"/>
      <c r="AQ50" s="364">
        <v>74</v>
      </c>
      <c r="AR50" s="364"/>
      <c r="AS50" s="364">
        <v>50</v>
      </c>
      <c r="AT50" s="364"/>
      <c r="AU50" s="364">
        <v>37</v>
      </c>
      <c r="AV50" s="364"/>
      <c r="AW50" s="364">
        <v>108</v>
      </c>
      <c r="AX50" s="364"/>
      <c r="AY50" s="364">
        <v>200</v>
      </c>
      <c r="AZ50" s="364"/>
      <c r="BA50" s="364">
        <v>34</v>
      </c>
      <c r="BB50" s="365"/>
      <c r="BC50" s="365">
        <v>157</v>
      </c>
      <c r="BD50" s="365"/>
      <c r="BE50" s="365">
        <v>0</v>
      </c>
      <c r="BF50" s="365"/>
      <c r="BG50" s="365">
        <v>28</v>
      </c>
      <c r="BH50" s="365"/>
      <c r="BI50" s="365"/>
      <c r="BJ50" s="365"/>
      <c r="BK50" s="365"/>
      <c r="BL50" s="365"/>
      <c r="BM50" s="366">
        <f t="shared" si="7"/>
        <v>688</v>
      </c>
      <c r="BN50" s="367">
        <f t="shared" si="7"/>
        <v>0</v>
      </c>
      <c r="BO50" s="368"/>
      <c r="BP50" s="368"/>
      <c r="BQ50" s="368"/>
      <c r="BR50" s="368"/>
      <c r="BS50" s="369"/>
      <c r="BT50" s="369"/>
      <c r="BU50" s="369"/>
      <c r="BV50" s="369"/>
      <c r="BW50" s="369"/>
      <c r="BX50" s="369"/>
      <c r="BY50" s="369"/>
      <c r="BZ50" s="369"/>
    </row>
    <row r="51" spans="1:78" ht="13.5" customHeight="1">
      <c r="A51" s="364" t="s">
        <v>728</v>
      </c>
      <c r="B51" s="364"/>
      <c r="C51" s="364"/>
      <c r="D51" s="364"/>
      <c r="E51" s="364"/>
      <c r="F51" s="364"/>
      <c r="G51" s="364"/>
      <c r="H51" s="364"/>
      <c r="I51" s="364"/>
      <c r="J51" s="364"/>
      <c r="K51" s="364"/>
      <c r="L51" s="364"/>
      <c r="M51" s="364"/>
      <c r="N51" s="364"/>
      <c r="O51" s="365"/>
      <c r="P51" s="365"/>
      <c r="Q51" s="365"/>
      <c r="R51" s="365"/>
      <c r="S51" s="365"/>
      <c r="T51" s="365"/>
      <c r="U51" s="365"/>
      <c r="V51" s="365"/>
      <c r="W51" s="365"/>
      <c r="X51" s="365"/>
      <c r="Y51" s="365"/>
      <c r="Z51" s="366">
        <f t="shared" si="6"/>
        <v>0</v>
      </c>
      <c r="AA51" s="367">
        <f t="shared" si="6"/>
        <v>0</v>
      </c>
      <c r="AB51" s="369"/>
      <c r="AC51" s="369"/>
      <c r="AD51" s="369"/>
      <c r="AE51" s="369"/>
      <c r="AF51" s="369"/>
      <c r="AG51" s="369"/>
      <c r="AH51" s="369"/>
      <c r="AI51" s="369"/>
      <c r="AJ51" s="369"/>
      <c r="AK51" s="369"/>
      <c r="AL51" s="369"/>
      <c r="AM51" s="369"/>
      <c r="AN51" s="205"/>
      <c r="AO51" s="364"/>
      <c r="AP51" s="364"/>
      <c r="AQ51" s="364">
        <v>4</v>
      </c>
      <c r="AR51" s="364"/>
      <c r="AS51" s="364">
        <v>4</v>
      </c>
      <c r="AT51" s="364"/>
      <c r="AU51" s="364">
        <v>0</v>
      </c>
      <c r="AV51" s="364"/>
      <c r="AW51" s="364">
        <v>1</v>
      </c>
      <c r="AX51" s="364"/>
      <c r="AY51" s="364">
        <v>6</v>
      </c>
      <c r="AZ51" s="364"/>
      <c r="BA51" s="364">
        <v>3</v>
      </c>
      <c r="BB51" s="365"/>
      <c r="BC51" s="365">
        <v>6</v>
      </c>
      <c r="BD51" s="365"/>
      <c r="BE51" s="365">
        <v>0</v>
      </c>
      <c r="BF51" s="365"/>
      <c r="BG51" s="365">
        <v>2</v>
      </c>
      <c r="BH51" s="365"/>
      <c r="BI51" s="365"/>
      <c r="BJ51" s="365"/>
      <c r="BK51" s="365"/>
      <c r="BL51" s="365"/>
      <c r="BM51" s="366">
        <f t="shared" si="7"/>
        <v>26</v>
      </c>
      <c r="BN51" s="367">
        <f t="shared" si="7"/>
        <v>0</v>
      </c>
      <c r="BO51" s="368"/>
      <c r="BP51" s="368"/>
      <c r="BQ51" s="368"/>
      <c r="BR51" s="368"/>
      <c r="BS51" s="369"/>
      <c r="BT51" s="369"/>
      <c r="BU51" s="369"/>
      <c r="BV51" s="369"/>
      <c r="BW51" s="369"/>
      <c r="BX51" s="369"/>
      <c r="BY51" s="369"/>
      <c r="BZ51" s="369"/>
    </row>
    <row r="52" spans="1:78" ht="13.5" customHeight="1">
      <c r="A52" s="364" t="s">
        <v>729</v>
      </c>
      <c r="B52" s="364"/>
      <c r="C52" s="364"/>
      <c r="D52" s="364"/>
      <c r="E52" s="364"/>
      <c r="F52" s="364"/>
      <c r="G52" s="364"/>
      <c r="H52" s="364"/>
      <c r="I52" s="364"/>
      <c r="J52" s="364"/>
      <c r="K52" s="364"/>
      <c r="L52" s="364"/>
      <c r="M52" s="364"/>
      <c r="N52" s="364"/>
      <c r="O52" s="365"/>
      <c r="P52" s="365"/>
      <c r="Q52" s="365"/>
      <c r="R52" s="365"/>
      <c r="S52" s="365"/>
      <c r="T52" s="365"/>
      <c r="U52" s="365"/>
      <c r="V52" s="365"/>
      <c r="W52" s="365"/>
      <c r="X52" s="365"/>
      <c r="Y52" s="365"/>
      <c r="Z52" s="366">
        <f t="shared" si="6"/>
        <v>0</v>
      </c>
      <c r="AA52" s="367">
        <f t="shared" si="6"/>
        <v>0</v>
      </c>
      <c r="AB52" s="369"/>
      <c r="AC52" s="369"/>
      <c r="AD52" s="369"/>
      <c r="AE52" s="369"/>
      <c r="AF52" s="369"/>
      <c r="AG52" s="369"/>
      <c r="AH52" s="369"/>
      <c r="AI52" s="369"/>
      <c r="AJ52" s="369"/>
      <c r="AK52" s="369"/>
      <c r="AL52" s="369"/>
      <c r="AM52" s="369"/>
      <c r="AN52" s="205"/>
      <c r="AO52" s="364"/>
      <c r="AP52" s="364"/>
      <c r="AQ52" s="371"/>
      <c r="AR52" s="364"/>
      <c r="AS52" s="371"/>
      <c r="AT52" s="364"/>
      <c r="AU52" s="364">
        <v>8</v>
      </c>
      <c r="AV52" s="364"/>
      <c r="AW52" s="364">
        <v>5</v>
      </c>
      <c r="AX52" s="364"/>
      <c r="AY52" s="364">
        <v>1</v>
      </c>
      <c r="AZ52" s="364"/>
      <c r="BA52" s="364">
        <v>0</v>
      </c>
      <c r="BB52" s="365"/>
      <c r="BC52" s="365">
        <v>0</v>
      </c>
      <c r="BD52" s="365"/>
      <c r="BE52" s="365">
        <v>0</v>
      </c>
      <c r="BF52" s="365"/>
      <c r="BG52" s="365">
        <v>0</v>
      </c>
      <c r="BH52" s="365"/>
      <c r="BI52" s="365"/>
      <c r="BJ52" s="365"/>
      <c r="BK52" s="365"/>
      <c r="BL52" s="365"/>
      <c r="BM52" s="366">
        <f t="shared" si="7"/>
        <v>14</v>
      </c>
      <c r="BN52" s="367">
        <f t="shared" si="7"/>
        <v>0</v>
      </c>
      <c r="BO52" s="368"/>
      <c r="BP52" s="368"/>
      <c r="BQ52" s="368"/>
      <c r="BR52" s="368"/>
      <c r="BS52" s="369"/>
      <c r="BT52" s="369"/>
      <c r="BU52" s="369"/>
      <c r="BV52" s="369"/>
      <c r="BW52" s="369"/>
      <c r="BX52" s="369"/>
      <c r="BY52" s="369"/>
      <c r="BZ52" s="369"/>
    </row>
    <row r="53" spans="1:78" ht="13.5" customHeight="1">
      <c r="A53" s="364" t="s">
        <v>730</v>
      </c>
      <c r="B53" s="364"/>
      <c r="C53" s="364"/>
      <c r="D53" s="364"/>
      <c r="E53" s="364"/>
      <c r="F53" s="364"/>
      <c r="G53" s="364"/>
      <c r="H53" s="364"/>
      <c r="I53" s="364"/>
      <c r="J53" s="364"/>
      <c r="K53" s="364"/>
      <c r="L53" s="364"/>
      <c r="M53" s="364"/>
      <c r="N53" s="364"/>
      <c r="O53" s="365"/>
      <c r="P53" s="365"/>
      <c r="Q53" s="365"/>
      <c r="R53" s="365"/>
      <c r="S53" s="365"/>
      <c r="T53" s="365"/>
      <c r="U53" s="365"/>
      <c r="V53" s="365"/>
      <c r="W53" s="365"/>
      <c r="X53" s="365"/>
      <c r="Y53" s="365"/>
      <c r="Z53" s="366">
        <f t="shared" si="6"/>
        <v>0</v>
      </c>
      <c r="AA53" s="367">
        <f t="shared" si="6"/>
        <v>0</v>
      </c>
      <c r="AB53" s="369"/>
      <c r="AC53" s="369"/>
      <c r="AD53" s="369"/>
      <c r="AE53" s="369"/>
      <c r="AF53" s="369"/>
      <c r="AG53" s="369"/>
      <c r="AH53" s="369"/>
      <c r="AI53" s="369"/>
      <c r="AJ53" s="369"/>
      <c r="AK53" s="369"/>
      <c r="AL53" s="369"/>
      <c r="AM53" s="369"/>
      <c r="AN53" s="205"/>
      <c r="AO53" s="364"/>
      <c r="AP53" s="364"/>
      <c r="AQ53" s="364">
        <v>2</v>
      </c>
      <c r="AR53" s="364"/>
      <c r="AS53" s="364">
        <v>4</v>
      </c>
      <c r="AT53" s="364"/>
      <c r="AU53" s="364"/>
      <c r="AV53" s="364"/>
      <c r="AW53" s="364"/>
      <c r="AX53" s="364"/>
      <c r="AY53" s="364">
        <v>11</v>
      </c>
      <c r="AZ53" s="364"/>
      <c r="BA53" s="364">
        <v>0</v>
      </c>
      <c r="BB53" s="365"/>
      <c r="BC53" s="365">
        <v>8</v>
      </c>
      <c r="BD53" s="365"/>
      <c r="BE53" s="365">
        <v>0</v>
      </c>
      <c r="BF53" s="365"/>
      <c r="BG53" s="365">
        <v>0</v>
      </c>
      <c r="BH53" s="365"/>
      <c r="BI53" s="365"/>
      <c r="BJ53" s="365"/>
      <c r="BK53" s="365"/>
      <c r="BL53" s="365"/>
      <c r="BM53" s="366">
        <f t="shared" si="7"/>
        <v>25</v>
      </c>
      <c r="BN53" s="367">
        <f t="shared" si="7"/>
        <v>0</v>
      </c>
      <c r="BO53" s="368"/>
      <c r="BP53" s="368"/>
      <c r="BQ53" s="368"/>
      <c r="BR53" s="368"/>
      <c r="BS53" s="369"/>
      <c r="BT53" s="369"/>
      <c r="BU53" s="369"/>
      <c r="BV53" s="369"/>
      <c r="BW53" s="369"/>
      <c r="BX53" s="369"/>
      <c r="BY53" s="369"/>
      <c r="BZ53" s="369"/>
    </row>
    <row r="54" spans="1:78" ht="13.5" customHeight="1">
      <c r="A54" s="364" t="s">
        <v>731</v>
      </c>
      <c r="B54" s="364"/>
      <c r="C54" s="364"/>
      <c r="D54" s="364"/>
      <c r="E54" s="364"/>
      <c r="F54" s="364"/>
      <c r="G54" s="364"/>
      <c r="H54" s="364"/>
      <c r="I54" s="364"/>
      <c r="J54" s="364"/>
      <c r="K54" s="364"/>
      <c r="L54" s="364"/>
      <c r="M54" s="364"/>
      <c r="N54" s="364"/>
      <c r="O54" s="365"/>
      <c r="P54" s="365"/>
      <c r="Q54" s="365"/>
      <c r="R54" s="365"/>
      <c r="S54" s="365"/>
      <c r="T54" s="365"/>
      <c r="U54" s="365"/>
      <c r="V54" s="365"/>
      <c r="W54" s="365"/>
      <c r="X54" s="365"/>
      <c r="Y54" s="365"/>
      <c r="Z54" s="366">
        <f t="shared" si="6"/>
        <v>0</v>
      </c>
      <c r="AA54" s="367">
        <f t="shared" si="6"/>
        <v>0</v>
      </c>
      <c r="AB54" s="369"/>
      <c r="AC54" s="369"/>
      <c r="AD54" s="369"/>
      <c r="AE54" s="369"/>
      <c r="AF54" s="369"/>
      <c r="AG54" s="369"/>
      <c r="AH54" s="369"/>
      <c r="AI54" s="369"/>
      <c r="AJ54" s="369"/>
      <c r="AK54" s="369"/>
      <c r="AL54" s="369"/>
      <c r="AM54" s="369"/>
      <c r="AN54" s="205"/>
      <c r="AO54" s="364"/>
      <c r="AP54" s="364"/>
      <c r="AQ54" s="371">
        <v>1</v>
      </c>
      <c r="AR54" s="364"/>
      <c r="AS54" s="364">
        <v>1</v>
      </c>
      <c r="AT54" s="364"/>
      <c r="AU54" s="364"/>
      <c r="AV54" s="364"/>
      <c r="AW54" s="364">
        <v>3</v>
      </c>
      <c r="AX54" s="364"/>
      <c r="AY54" s="364">
        <v>4</v>
      </c>
      <c r="AZ54" s="364"/>
      <c r="BA54" s="364">
        <v>3</v>
      </c>
      <c r="BB54" s="365"/>
      <c r="BC54" s="365">
        <v>0</v>
      </c>
      <c r="BD54" s="365"/>
      <c r="BE54" s="365">
        <v>0</v>
      </c>
      <c r="BF54" s="365"/>
      <c r="BG54" s="365">
        <v>0</v>
      </c>
      <c r="BH54" s="365"/>
      <c r="BI54" s="365"/>
      <c r="BJ54" s="365"/>
      <c r="BK54" s="365"/>
      <c r="BL54" s="365"/>
      <c r="BM54" s="366">
        <f t="shared" si="7"/>
        <v>12</v>
      </c>
      <c r="BN54" s="367">
        <f t="shared" si="7"/>
        <v>0</v>
      </c>
      <c r="BO54" s="368"/>
      <c r="BP54" s="368"/>
      <c r="BQ54" s="368"/>
      <c r="BR54" s="368"/>
      <c r="BS54" s="369"/>
      <c r="BT54" s="369"/>
      <c r="BU54" s="369"/>
      <c r="BV54" s="369"/>
      <c r="BW54" s="369"/>
      <c r="BX54" s="369"/>
      <c r="BY54" s="369"/>
      <c r="BZ54" s="369"/>
    </row>
    <row r="55" spans="1:78" ht="13.5" customHeight="1">
      <c r="A55" s="364" t="s">
        <v>732</v>
      </c>
      <c r="B55" s="364"/>
      <c r="C55" s="364"/>
      <c r="D55" s="364"/>
      <c r="E55" s="364"/>
      <c r="F55" s="364"/>
      <c r="G55" s="364"/>
      <c r="H55" s="364"/>
      <c r="I55" s="364"/>
      <c r="J55" s="364"/>
      <c r="K55" s="364"/>
      <c r="L55" s="364"/>
      <c r="M55" s="364"/>
      <c r="N55" s="364"/>
      <c r="O55" s="365"/>
      <c r="P55" s="365"/>
      <c r="Q55" s="365"/>
      <c r="R55" s="365"/>
      <c r="S55" s="365"/>
      <c r="T55" s="365"/>
      <c r="U55" s="365"/>
      <c r="V55" s="365"/>
      <c r="W55" s="365"/>
      <c r="X55" s="365"/>
      <c r="Y55" s="365"/>
      <c r="Z55" s="366">
        <f t="shared" ref="Z55:AA59" si="8">B55+D55+F55+H55+J55+L55+N55+P55+R55+T55+V55+X55</f>
        <v>0</v>
      </c>
      <c r="AA55" s="367">
        <f t="shared" si="8"/>
        <v>0</v>
      </c>
      <c r="AB55" s="369"/>
      <c r="AC55" s="369"/>
      <c r="AD55" s="369"/>
      <c r="AE55" s="369"/>
      <c r="AF55" s="369"/>
      <c r="AG55" s="369"/>
      <c r="AH55" s="369"/>
      <c r="AI55" s="369"/>
      <c r="AJ55" s="369"/>
      <c r="AK55" s="369"/>
      <c r="AL55" s="369"/>
      <c r="AM55" s="369"/>
      <c r="AN55" s="205"/>
      <c r="AO55" s="364"/>
      <c r="AP55" s="364"/>
      <c r="AQ55" s="376"/>
      <c r="AR55" s="364"/>
      <c r="AS55" s="376"/>
      <c r="AT55" s="364"/>
      <c r="AU55" s="364"/>
      <c r="AV55" s="364"/>
      <c r="AW55" s="364"/>
      <c r="AX55" s="364"/>
      <c r="AY55" s="364"/>
      <c r="AZ55" s="364"/>
      <c r="BA55" s="364">
        <v>3</v>
      </c>
      <c r="BB55" s="365"/>
      <c r="BC55" s="365">
        <v>2</v>
      </c>
      <c r="BD55" s="365"/>
      <c r="BE55" s="365">
        <v>0</v>
      </c>
      <c r="BF55" s="365"/>
      <c r="BG55" s="365">
        <v>0</v>
      </c>
      <c r="BH55" s="365"/>
      <c r="BI55" s="365"/>
      <c r="BJ55" s="365"/>
      <c r="BK55" s="365"/>
      <c r="BL55" s="365"/>
      <c r="BM55" s="366">
        <f t="shared" ref="BM55:BN59" si="9">AO55+AQ55+AS55+AU55+AW55+AY55+BA55+BC55+BE55+BG55+BI55+BK55</f>
        <v>5</v>
      </c>
      <c r="BN55" s="367">
        <f t="shared" si="9"/>
        <v>0</v>
      </c>
      <c r="BO55" s="368"/>
      <c r="BP55" s="368"/>
      <c r="BQ55" s="368"/>
      <c r="BR55" s="368"/>
      <c r="BS55" s="369"/>
      <c r="BT55" s="369"/>
      <c r="BU55" s="369"/>
      <c r="BV55" s="369"/>
      <c r="BW55" s="369"/>
      <c r="BX55" s="369"/>
      <c r="BY55" s="369"/>
      <c r="BZ55" s="369"/>
    </row>
    <row r="56" spans="1:78" ht="13.5" customHeight="1">
      <c r="A56" s="364" t="s">
        <v>733</v>
      </c>
      <c r="B56" s="364"/>
      <c r="C56" s="364"/>
      <c r="D56" s="364"/>
      <c r="E56" s="364"/>
      <c r="F56" s="364"/>
      <c r="G56" s="364"/>
      <c r="H56" s="364"/>
      <c r="I56" s="364"/>
      <c r="J56" s="364"/>
      <c r="K56" s="364"/>
      <c r="L56" s="364"/>
      <c r="M56" s="364"/>
      <c r="N56" s="364"/>
      <c r="O56" s="365"/>
      <c r="P56" s="365"/>
      <c r="Q56" s="365"/>
      <c r="R56" s="365"/>
      <c r="S56" s="365"/>
      <c r="T56" s="365"/>
      <c r="U56" s="365"/>
      <c r="V56" s="365"/>
      <c r="W56" s="365"/>
      <c r="X56" s="365"/>
      <c r="Y56" s="365"/>
      <c r="Z56" s="366">
        <f t="shared" si="8"/>
        <v>0</v>
      </c>
      <c r="AA56" s="367">
        <f t="shared" si="8"/>
        <v>0</v>
      </c>
      <c r="AB56" s="369"/>
      <c r="AC56" s="369"/>
      <c r="AD56" s="369"/>
      <c r="AE56" s="369"/>
      <c r="AF56" s="369"/>
      <c r="AG56" s="369"/>
      <c r="AH56" s="369"/>
      <c r="AI56" s="369"/>
      <c r="AJ56" s="369"/>
      <c r="AK56" s="369"/>
      <c r="AL56" s="369"/>
      <c r="AM56" s="369"/>
      <c r="AN56" s="205"/>
      <c r="AO56" s="364"/>
      <c r="AP56" s="364"/>
      <c r="AQ56" s="371"/>
      <c r="AR56" s="364"/>
      <c r="AS56" s="364">
        <v>1</v>
      </c>
      <c r="AT56" s="364"/>
      <c r="AU56" s="364"/>
      <c r="AV56" s="364"/>
      <c r="AW56" s="364"/>
      <c r="AX56" s="364"/>
      <c r="AY56" s="364"/>
      <c r="AZ56" s="364"/>
      <c r="BA56" s="364">
        <v>0</v>
      </c>
      <c r="BB56" s="365"/>
      <c r="BC56" s="365">
        <v>1</v>
      </c>
      <c r="BD56" s="365"/>
      <c r="BE56" s="365">
        <v>0</v>
      </c>
      <c r="BF56" s="365"/>
      <c r="BG56" s="365">
        <v>0</v>
      </c>
      <c r="BH56" s="365"/>
      <c r="BI56" s="365"/>
      <c r="BJ56" s="365"/>
      <c r="BK56" s="365"/>
      <c r="BL56" s="365"/>
      <c r="BM56" s="366">
        <f t="shared" si="9"/>
        <v>2</v>
      </c>
      <c r="BN56" s="367">
        <f t="shared" si="9"/>
        <v>0</v>
      </c>
      <c r="BO56" s="368"/>
      <c r="BP56" s="368"/>
      <c r="BQ56" s="368"/>
      <c r="BR56" s="368"/>
      <c r="BS56" s="369"/>
      <c r="BT56" s="369"/>
      <c r="BU56" s="369"/>
      <c r="BV56" s="369"/>
      <c r="BW56" s="369"/>
      <c r="BX56" s="369"/>
      <c r="BY56" s="369"/>
      <c r="BZ56" s="369"/>
    </row>
    <row r="57" spans="1:78" ht="13.5" customHeight="1">
      <c r="A57" s="364" t="s">
        <v>734</v>
      </c>
      <c r="B57" s="364"/>
      <c r="C57" s="364"/>
      <c r="D57" s="364"/>
      <c r="E57" s="364"/>
      <c r="F57" s="364"/>
      <c r="G57" s="364"/>
      <c r="H57" s="364"/>
      <c r="I57" s="364"/>
      <c r="J57" s="364"/>
      <c r="K57" s="364"/>
      <c r="L57" s="364"/>
      <c r="M57" s="364"/>
      <c r="N57" s="364"/>
      <c r="O57" s="365"/>
      <c r="P57" s="365"/>
      <c r="Q57" s="365"/>
      <c r="R57" s="365"/>
      <c r="S57" s="365"/>
      <c r="T57" s="365"/>
      <c r="U57" s="365"/>
      <c r="V57" s="365"/>
      <c r="W57" s="365"/>
      <c r="X57" s="365"/>
      <c r="Y57" s="365"/>
      <c r="Z57" s="366">
        <f t="shared" si="8"/>
        <v>0</v>
      </c>
      <c r="AA57" s="367">
        <f t="shared" si="8"/>
        <v>0</v>
      </c>
      <c r="AB57" s="369"/>
      <c r="AC57" s="369"/>
      <c r="AD57" s="369"/>
      <c r="AE57" s="369"/>
      <c r="AF57" s="369"/>
      <c r="AG57" s="369"/>
      <c r="AH57" s="369"/>
      <c r="AI57" s="369"/>
      <c r="AJ57" s="369"/>
      <c r="AK57" s="369"/>
      <c r="AL57" s="369"/>
      <c r="AM57" s="369"/>
      <c r="AN57" s="205"/>
      <c r="AO57" s="364"/>
      <c r="AP57" s="364"/>
      <c r="AQ57" s="364">
        <v>111</v>
      </c>
      <c r="AR57" s="364"/>
      <c r="AS57" s="364">
        <v>29</v>
      </c>
      <c r="AT57" s="364"/>
      <c r="AU57" s="364">
        <v>28</v>
      </c>
      <c r="AV57" s="364"/>
      <c r="AW57" s="364">
        <v>49</v>
      </c>
      <c r="AX57" s="364"/>
      <c r="AY57" s="364">
        <v>94</v>
      </c>
      <c r="AZ57" s="364"/>
      <c r="BA57" s="364">
        <v>50</v>
      </c>
      <c r="BB57" s="365"/>
      <c r="BC57" s="365">
        <v>55</v>
      </c>
      <c r="BD57" s="365"/>
      <c r="BE57" s="365">
        <v>0</v>
      </c>
      <c r="BF57" s="365"/>
      <c r="BG57" s="365">
        <v>17</v>
      </c>
      <c r="BH57" s="365"/>
      <c r="BI57" s="365"/>
      <c r="BJ57" s="365"/>
      <c r="BK57" s="365"/>
      <c r="BL57" s="365"/>
      <c r="BM57" s="366">
        <f t="shared" si="9"/>
        <v>433</v>
      </c>
      <c r="BN57" s="367">
        <f t="shared" si="9"/>
        <v>0</v>
      </c>
      <c r="BO57" s="368"/>
      <c r="BP57" s="368"/>
      <c r="BQ57" s="368"/>
      <c r="BR57" s="368"/>
      <c r="BS57" s="369"/>
      <c r="BT57" s="369"/>
      <c r="BU57" s="369"/>
      <c r="BV57" s="369"/>
      <c r="BW57" s="369"/>
      <c r="BX57" s="369"/>
      <c r="BY57" s="369"/>
      <c r="BZ57" s="369"/>
    </row>
    <row r="58" spans="1:78" ht="13.5" customHeight="1">
      <c r="A58" s="364" t="s">
        <v>735</v>
      </c>
      <c r="B58" s="364"/>
      <c r="C58" s="364"/>
      <c r="D58" s="364"/>
      <c r="E58" s="364"/>
      <c r="F58" s="364"/>
      <c r="G58" s="364"/>
      <c r="H58" s="364"/>
      <c r="I58" s="364"/>
      <c r="J58" s="364"/>
      <c r="K58" s="364"/>
      <c r="L58" s="364"/>
      <c r="M58" s="364"/>
      <c r="N58" s="364"/>
      <c r="O58" s="365"/>
      <c r="P58" s="365"/>
      <c r="Q58" s="365"/>
      <c r="R58" s="365"/>
      <c r="S58" s="365"/>
      <c r="T58" s="365"/>
      <c r="U58" s="365"/>
      <c r="V58" s="365"/>
      <c r="W58" s="365"/>
      <c r="X58" s="365"/>
      <c r="Y58" s="365"/>
      <c r="Z58" s="366">
        <f t="shared" si="8"/>
        <v>0</v>
      </c>
      <c r="AA58" s="367">
        <f t="shared" si="8"/>
        <v>0</v>
      </c>
      <c r="AB58" s="369"/>
      <c r="AC58" s="369"/>
      <c r="AD58" s="369"/>
      <c r="AE58" s="369"/>
      <c r="AF58" s="369"/>
      <c r="AG58" s="369"/>
      <c r="AH58" s="369"/>
      <c r="AI58" s="369"/>
      <c r="AJ58" s="369"/>
      <c r="AK58" s="369"/>
      <c r="AL58" s="369"/>
      <c r="AM58" s="369"/>
      <c r="AN58" s="205"/>
      <c r="AO58" s="364"/>
      <c r="AP58" s="364"/>
      <c r="AQ58" s="364">
        <v>178</v>
      </c>
      <c r="AR58" s="364"/>
      <c r="AS58" s="364">
        <v>88</v>
      </c>
      <c r="AT58" s="364"/>
      <c r="AU58" s="364">
        <v>50</v>
      </c>
      <c r="AV58" s="364"/>
      <c r="AW58" s="364">
        <v>165</v>
      </c>
      <c r="AX58" s="364"/>
      <c r="AY58" s="364">
        <v>388</v>
      </c>
      <c r="AZ58" s="364"/>
      <c r="BA58" s="364">
        <v>200</v>
      </c>
      <c r="BB58" s="365"/>
      <c r="BC58" s="365">
        <v>383</v>
      </c>
      <c r="BD58" s="365"/>
      <c r="BE58" s="365">
        <v>0</v>
      </c>
      <c r="BF58" s="365"/>
      <c r="BG58" s="365">
        <v>36</v>
      </c>
      <c r="BH58" s="365"/>
      <c r="BI58" s="365"/>
      <c r="BJ58" s="365"/>
      <c r="BK58" s="365"/>
      <c r="BL58" s="365"/>
      <c r="BM58" s="366">
        <f t="shared" si="9"/>
        <v>1488</v>
      </c>
      <c r="BN58" s="367">
        <f t="shared" si="9"/>
        <v>0</v>
      </c>
      <c r="BO58" s="368"/>
      <c r="BP58" s="368"/>
      <c r="BQ58" s="368"/>
      <c r="BR58" s="368"/>
      <c r="BS58" s="369"/>
      <c r="BT58" s="369"/>
      <c r="BU58" s="369"/>
      <c r="BV58" s="369"/>
      <c r="BW58" s="369"/>
      <c r="BX58" s="369"/>
      <c r="BY58" s="369"/>
      <c r="BZ58" s="369"/>
    </row>
    <row r="59" spans="1:78" ht="13.5" customHeight="1">
      <c r="A59" s="364" t="s">
        <v>736</v>
      </c>
      <c r="B59" s="364"/>
      <c r="C59" s="364"/>
      <c r="D59" s="364"/>
      <c r="E59" s="364"/>
      <c r="F59" s="364"/>
      <c r="G59" s="364"/>
      <c r="H59" s="364"/>
      <c r="I59" s="364"/>
      <c r="J59" s="364"/>
      <c r="K59" s="364"/>
      <c r="L59" s="364"/>
      <c r="M59" s="364"/>
      <c r="N59" s="364"/>
      <c r="O59" s="365"/>
      <c r="P59" s="365"/>
      <c r="Q59" s="365"/>
      <c r="R59" s="365"/>
      <c r="S59" s="365"/>
      <c r="T59" s="365"/>
      <c r="U59" s="365"/>
      <c r="V59" s="365"/>
      <c r="W59" s="365"/>
      <c r="X59" s="365"/>
      <c r="Y59" s="365"/>
      <c r="Z59" s="366">
        <f t="shared" si="8"/>
        <v>0</v>
      </c>
      <c r="AA59" s="367">
        <f t="shared" si="8"/>
        <v>0</v>
      </c>
      <c r="AB59" s="369"/>
      <c r="AC59" s="369"/>
      <c r="AD59" s="369"/>
      <c r="AE59" s="369"/>
      <c r="AF59" s="369"/>
      <c r="AG59" s="369"/>
      <c r="AH59" s="369"/>
      <c r="AI59" s="369"/>
      <c r="AJ59" s="369"/>
      <c r="AK59" s="369"/>
      <c r="AL59" s="369"/>
      <c r="AM59" s="369"/>
      <c r="AN59" s="205"/>
      <c r="AO59" s="364"/>
      <c r="AP59" s="364"/>
      <c r="AQ59" s="371"/>
      <c r="AR59" s="364"/>
      <c r="AS59" s="364"/>
      <c r="AT59" s="364"/>
      <c r="AU59" s="364"/>
      <c r="AV59" s="364"/>
      <c r="AW59" s="364"/>
      <c r="AX59" s="364"/>
      <c r="AY59" s="364"/>
      <c r="AZ59" s="364"/>
      <c r="BA59" s="364">
        <v>0</v>
      </c>
      <c r="BB59" s="365"/>
      <c r="BC59" s="365">
        <v>0</v>
      </c>
      <c r="BD59" s="365"/>
      <c r="BE59" s="365">
        <v>0</v>
      </c>
      <c r="BF59" s="365"/>
      <c r="BG59" s="365">
        <v>0</v>
      </c>
      <c r="BH59" s="365"/>
      <c r="BI59" s="365"/>
      <c r="BJ59" s="365"/>
      <c r="BK59" s="365"/>
      <c r="BL59" s="365"/>
      <c r="BM59" s="366">
        <f t="shared" si="9"/>
        <v>0</v>
      </c>
      <c r="BN59" s="367">
        <f t="shared" si="9"/>
        <v>0</v>
      </c>
      <c r="BO59" s="368"/>
      <c r="BP59" s="368"/>
      <c r="BQ59" s="368"/>
      <c r="BR59" s="368"/>
      <c r="BS59" s="369"/>
      <c r="BT59" s="369"/>
      <c r="BU59" s="369"/>
      <c r="BV59" s="369"/>
      <c r="BW59" s="369"/>
      <c r="BX59" s="369"/>
      <c r="BY59" s="369"/>
      <c r="BZ59" s="369"/>
    </row>
    <row r="60" spans="1:78" ht="13.5" customHeight="1">
      <c r="A60" s="372" t="s">
        <v>737</v>
      </c>
      <c r="B60" s="373">
        <f t="shared" ref="B60:AM60" si="10">SUM(B39:B59)</f>
        <v>0</v>
      </c>
      <c r="C60" s="373">
        <f t="shared" si="10"/>
        <v>0</v>
      </c>
      <c r="D60" s="373">
        <f t="shared" si="10"/>
        <v>0</v>
      </c>
      <c r="E60" s="373">
        <f t="shared" si="10"/>
        <v>0</v>
      </c>
      <c r="F60" s="373">
        <f t="shared" si="10"/>
        <v>0</v>
      </c>
      <c r="G60" s="373">
        <f t="shared" si="10"/>
        <v>0</v>
      </c>
      <c r="H60" s="373">
        <f t="shared" si="10"/>
        <v>0</v>
      </c>
      <c r="I60" s="373">
        <f t="shared" si="10"/>
        <v>0</v>
      </c>
      <c r="J60" s="373">
        <f t="shared" si="10"/>
        <v>0</v>
      </c>
      <c r="K60" s="373">
        <f t="shared" si="10"/>
        <v>0</v>
      </c>
      <c r="L60" s="373">
        <f t="shared" si="10"/>
        <v>0</v>
      </c>
      <c r="M60" s="373">
        <f t="shared" si="10"/>
        <v>0</v>
      </c>
      <c r="N60" s="373">
        <f t="shared" si="10"/>
        <v>0</v>
      </c>
      <c r="O60" s="373">
        <f t="shared" si="10"/>
        <v>0</v>
      </c>
      <c r="P60" s="373">
        <f t="shared" si="10"/>
        <v>0</v>
      </c>
      <c r="Q60" s="373">
        <f t="shared" si="10"/>
        <v>0</v>
      </c>
      <c r="R60" s="373">
        <f t="shared" si="10"/>
        <v>0</v>
      </c>
      <c r="S60" s="373">
        <f t="shared" si="10"/>
        <v>0</v>
      </c>
      <c r="T60" s="373">
        <f t="shared" si="10"/>
        <v>0</v>
      </c>
      <c r="U60" s="373">
        <f t="shared" si="10"/>
        <v>0</v>
      </c>
      <c r="V60" s="373">
        <f t="shared" si="10"/>
        <v>0</v>
      </c>
      <c r="W60" s="373">
        <f t="shared" si="10"/>
        <v>0</v>
      </c>
      <c r="X60" s="373">
        <f t="shared" si="10"/>
        <v>0</v>
      </c>
      <c r="Y60" s="373">
        <f t="shared" si="10"/>
        <v>0</v>
      </c>
      <c r="Z60" s="373">
        <f t="shared" si="10"/>
        <v>0</v>
      </c>
      <c r="AA60" s="367">
        <f t="shared" si="10"/>
        <v>0</v>
      </c>
      <c r="AB60" s="373">
        <f t="shared" si="10"/>
        <v>0</v>
      </c>
      <c r="AC60" s="373">
        <f t="shared" si="10"/>
        <v>0</v>
      </c>
      <c r="AD60" s="373">
        <f t="shared" si="10"/>
        <v>0</v>
      </c>
      <c r="AE60" s="373">
        <f t="shared" si="10"/>
        <v>0</v>
      </c>
      <c r="AF60" s="373">
        <f t="shared" si="10"/>
        <v>0</v>
      </c>
      <c r="AG60" s="373">
        <f t="shared" si="10"/>
        <v>0</v>
      </c>
      <c r="AH60" s="373">
        <f t="shared" si="10"/>
        <v>0</v>
      </c>
      <c r="AI60" s="373">
        <f t="shared" si="10"/>
        <v>0</v>
      </c>
      <c r="AJ60" s="373">
        <f t="shared" si="10"/>
        <v>0</v>
      </c>
      <c r="AK60" s="373">
        <f t="shared" si="10"/>
        <v>0</v>
      </c>
      <c r="AL60" s="373">
        <f t="shared" si="10"/>
        <v>0</v>
      </c>
      <c r="AM60" s="373">
        <f t="shared" si="10"/>
        <v>0</v>
      </c>
      <c r="AN60" s="205"/>
      <c r="AO60" s="373">
        <f t="shared" ref="AO60:BZ60" si="11">SUM(AO39:AO59)</f>
        <v>0</v>
      </c>
      <c r="AP60" s="373">
        <f t="shared" si="11"/>
        <v>0</v>
      </c>
      <c r="AQ60" s="377">
        <f>SUM(AQ39:AQ59)</f>
        <v>1312</v>
      </c>
      <c r="AR60" s="373">
        <f t="shared" si="11"/>
        <v>0</v>
      </c>
      <c r="AS60" s="373">
        <f t="shared" si="11"/>
        <v>612</v>
      </c>
      <c r="AT60" s="373">
        <f t="shared" si="11"/>
        <v>0</v>
      </c>
      <c r="AU60" s="373">
        <f t="shared" si="11"/>
        <v>387</v>
      </c>
      <c r="AV60" s="373">
        <f t="shared" si="11"/>
        <v>0</v>
      </c>
      <c r="AW60" s="373">
        <f t="shared" si="11"/>
        <v>1148</v>
      </c>
      <c r="AX60" s="373">
        <f t="shared" si="11"/>
        <v>0</v>
      </c>
      <c r="AY60" s="373">
        <f t="shared" si="11"/>
        <v>2117</v>
      </c>
      <c r="AZ60" s="373">
        <f t="shared" si="11"/>
        <v>0</v>
      </c>
      <c r="BA60" s="373">
        <f t="shared" si="11"/>
        <v>869</v>
      </c>
      <c r="BB60" s="373">
        <f t="shared" si="11"/>
        <v>0</v>
      </c>
      <c r="BC60" s="373">
        <f t="shared" si="11"/>
        <v>1236</v>
      </c>
      <c r="BD60" s="373">
        <f t="shared" si="11"/>
        <v>0</v>
      </c>
      <c r="BE60" s="373">
        <f t="shared" si="11"/>
        <v>27</v>
      </c>
      <c r="BF60" s="373">
        <f t="shared" si="11"/>
        <v>0</v>
      </c>
      <c r="BG60" s="373">
        <f t="shared" si="11"/>
        <v>232</v>
      </c>
      <c r="BH60" s="373">
        <f t="shared" si="11"/>
        <v>0</v>
      </c>
      <c r="BI60" s="373">
        <f t="shared" si="11"/>
        <v>134</v>
      </c>
      <c r="BJ60" s="373">
        <f t="shared" si="11"/>
        <v>0</v>
      </c>
      <c r="BK60" s="373">
        <f t="shared" si="11"/>
        <v>0</v>
      </c>
      <c r="BL60" s="373">
        <f t="shared" si="11"/>
        <v>0</v>
      </c>
      <c r="BM60" s="373">
        <f t="shared" si="11"/>
        <v>8074</v>
      </c>
      <c r="BN60" s="367">
        <f t="shared" si="11"/>
        <v>0</v>
      </c>
      <c r="BO60" s="367">
        <f t="shared" si="11"/>
        <v>0</v>
      </c>
      <c r="BP60" s="367">
        <f t="shared" si="11"/>
        <v>0</v>
      </c>
      <c r="BQ60" s="367">
        <f t="shared" si="11"/>
        <v>0</v>
      </c>
      <c r="BR60" s="367">
        <f t="shared" si="11"/>
        <v>0</v>
      </c>
      <c r="BS60" s="373">
        <f t="shared" si="11"/>
        <v>0</v>
      </c>
      <c r="BT60" s="373">
        <f t="shared" si="11"/>
        <v>0</v>
      </c>
      <c r="BU60" s="373">
        <f t="shared" si="11"/>
        <v>0</v>
      </c>
      <c r="BV60" s="373">
        <f t="shared" si="11"/>
        <v>0</v>
      </c>
      <c r="BW60" s="373">
        <f t="shared" si="11"/>
        <v>0</v>
      </c>
      <c r="BX60" s="373">
        <f t="shared" si="11"/>
        <v>0</v>
      </c>
      <c r="BY60" s="373">
        <f t="shared" si="11"/>
        <v>0</v>
      </c>
      <c r="BZ60" s="373">
        <f t="shared" si="11"/>
        <v>0</v>
      </c>
    </row>
    <row r="61" spans="1:78" ht="13.5" customHeight="1">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row>
    <row r="62" spans="1:78" ht="27.6" customHeight="1">
      <c r="A62" s="355" t="s">
        <v>702</v>
      </c>
      <c r="B62" s="647" t="s">
        <v>703</v>
      </c>
      <c r="C62" s="937"/>
      <c r="D62" s="937"/>
      <c r="E62" s="937"/>
      <c r="F62" s="937"/>
      <c r="G62" s="937"/>
      <c r="H62" s="937"/>
      <c r="I62" s="937"/>
      <c r="J62" s="937"/>
      <c r="K62" s="937"/>
      <c r="L62" s="937"/>
      <c r="M62" s="937"/>
      <c r="N62" s="937"/>
      <c r="O62" s="937"/>
      <c r="P62" s="937"/>
      <c r="Q62" s="937"/>
      <c r="R62" s="937"/>
      <c r="S62" s="937"/>
      <c r="T62" s="937"/>
      <c r="U62" s="937"/>
      <c r="V62" s="937"/>
      <c r="W62" s="937"/>
      <c r="X62" s="937"/>
      <c r="Y62" s="937"/>
      <c r="Z62" s="937"/>
      <c r="AA62" s="937"/>
      <c r="AB62" s="937"/>
      <c r="AC62" s="937"/>
      <c r="AD62" s="937"/>
      <c r="AE62" s="937"/>
      <c r="AF62" s="937"/>
      <c r="AG62" s="937"/>
      <c r="AH62" s="937"/>
      <c r="AI62" s="937"/>
      <c r="AJ62" s="937"/>
      <c r="AK62" s="937"/>
      <c r="AL62" s="937"/>
      <c r="AM62" s="937"/>
      <c r="AN62" s="937"/>
      <c r="AO62" s="937"/>
      <c r="AP62" s="937"/>
      <c r="AQ62" s="937"/>
      <c r="AR62" s="937"/>
      <c r="AS62" s="937"/>
      <c r="AT62" s="937"/>
      <c r="AU62" s="937"/>
      <c r="AV62" s="937"/>
      <c r="AW62" s="937"/>
      <c r="AX62" s="937"/>
      <c r="AY62" s="937"/>
      <c r="AZ62" s="937"/>
      <c r="BA62" s="937"/>
      <c r="BB62" s="937"/>
      <c r="BC62" s="937"/>
      <c r="BD62" s="937"/>
      <c r="BE62" s="937"/>
      <c r="BF62" s="937"/>
      <c r="BG62" s="937"/>
      <c r="BH62" s="937"/>
      <c r="BI62" s="937"/>
      <c r="BJ62" s="937"/>
      <c r="BK62" s="937"/>
      <c r="BL62" s="937"/>
      <c r="BM62" s="937"/>
      <c r="BN62" s="937"/>
      <c r="BO62" s="937"/>
      <c r="BP62" s="937"/>
      <c r="BQ62" s="937"/>
      <c r="BR62" s="937"/>
      <c r="BS62" s="937"/>
      <c r="BT62" s="937"/>
      <c r="BU62" s="937"/>
      <c r="BV62" s="937"/>
      <c r="BW62" s="937"/>
      <c r="BX62" s="937"/>
      <c r="BY62" s="937"/>
      <c r="BZ62" s="938"/>
    </row>
    <row r="63" spans="1:78" ht="28.5" customHeight="1">
      <c r="A63" s="356" t="s">
        <v>704</v>
      </c>
      <c r="B63" s="939" t="s">
        <v>738</v>
      </c>
      <c r="C63" s="937"/>
      <c r="D63" s="937"/>
      <c r="E63" s="937"/>
      <c r="F63" s="937"/>
      <c r="G63" s="937"/>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7"/>
      <c r="AY63" s="937"/>
      <c r="AZ63" s="937"/>
      <c r="BA63" s="937"/>
      <c r="BB63" s="937"/>
      <c r="BC63" s="937"/>
      <c r="BD63" s="937"/>
      <c r="BE63" s="937"/>
      <c r="BF63" s="937"/>
      <c r="BG63" s="937"/>
      <c r="BH63" s="937"/>
      <c r="BI63" s="937"/>
      <c r="BJ63" s="937"/>
      <c r="BK63" s="937"/>
      <c r="BL63" s="937"/>
      <c r="BM63" s="937"/>
      <c r="BN63" s="937"/>
      <c r="BO63" s="937"/>
      <c r="BP63" s="937"/>
      <c r="BQ63" s="937"/>
      <c r="BR63" s="937"/>
      <c r="BS63" s="937"/>
      <c r="BT63" s="937"/>
      <c r="BU63" s="937"/>
      <c r="BV63" s="937"/>
      <c r="BW63" s="937"/>
      <c r="BX63" s="937"/>
      <c r="BY63" s="937"/>
      <c r="BZ63" s="938"/>
    </row>
    <row r="64" spans="1:78" ht="6" customHeight="1">
      <c r="A64" s="357"/>
      <c r="B64" s="357"/>
      <c r="C64" s="357"/>
      <c r="D64" s="357"/>
      <c r="E64" s="357"/>
      <c r="F64" s="357"/>
      <c r="G64" s="357"/>
      <c r="H64" s="357"/>
      <c r="I64" s="357"/>
      <c r="J64" s="357"/>
      <c r="K64" s="357"/>
      <c r="L64" s="357"/>
      <c r="M64" s="357"/>
      <c r="N64" s="357"/>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205"/>
      <c r="AO64" s="358"/>
      <c r="AP64" s="358"/>
      <c r="AQ64" s="358"/>
      <c r="AR64" s="358"/>
      <c r="AS64" s="358"/>
      <c r="AT64" s="358"/>
      <c r="AU64" s="358"/>
      <c r="AV64" s="358"/>
      <c r="AW64" s="358"/>
      <c r="AX64" s="358"/>
      <c r="AY64" s="358"/>
      <c r="AZ64" s="358"/>
      <c r="BA64" s="205"/>
      <c r="BB64" s="205"/>
      <c r="BC64" s="205"/>
      <c r="BD64" s="205"/>
      <c r="BE64" s="205"/>
      <c r="BF64" s="205"/>
      <c r="BG64" s="205"/>
      <c r="BH64" s="205"/>
      <c r="BI64" s="205"/>
      <c r="BJ64" s="205"/>
      <c r="BK64" s="205"/>
      <c r="BL64" s="205"/>
      <c r="BM64" s="205"/>
      <c r="BN64" s="205"/>
      <c r="BO64" s="205"/>
      <c r="BP64" s="205"/>
      <c r="BQ64" s="205"/>
      <c r="BR64" s="205"/>
      <c r="BS64" s="205"/>
      <c r="BT64" s="205"/>
      <c r="BU64" s="205"/>
      <c r="BV64" s="205"/>
      <c r="BW64" s="205"/>
      <c r="BX64" s="205"/>
      <c r="BY64" s="205"/>
      <c r="BZ64" s="205"/>
    </row>
    <row r="65" spans="1:78" ht="30" customHeight="1">
      <c r="A65" s="635" t="s">
        <v>705</v>
      </c>
      <c r="B65" s="649" t="s">
        <v>3</v>
      </c>
      <c r="C65" s="623"/>
      <c r="D65" s="649" t="s">
        <v>4</v>
      </c>
      <c r="E65" s="623"/>
      <c r="F65" s="649" t="s">
        <v>5</v>
      </c>
      <c r="G65" s="623"/>
      <c r="H65" s="649" t="s">
        <v>6</v>
      </c>
      <c r="I65" s="623"/>
      <c r="J65" s="649" t="s">
        <v>7</v>
      </c>
      <c r="K65" s="623"/>
      <c r="L65" s="649" t="s">
        <v>8</v>
      </c>
      <c r="M65" s="623"/>
      <c r="N65" s="649" t="s">
        <v>9</v>
      </c>
      <c r="O65" s="623"/>
      <c r="P65" s="649" t="s">
        <v>10</v>
      </c>
      <c r="Q65" s="623"/>
      <c r="R65" s="649" t="s">
        <v>11</v>
      </c>
      <c r="S65" s="623"/>
      <c r="T65" s="649" t="s">
        <v>12</v>
      </c>
      <c r="U65" s="623"/>
      <c r="V65" s="649" t="s">
        <v>13</v>
      </c>
      <c r="W65" s="623"/>
      <c r="X65" s="649" t="s">
        <v>14</v>
      </c>
      <c r="Y65" s="623"/>
      <c r="Z65" s="649" t="s">
        <v>706</v>
      </c>
      <c r="AA65" s="623"/>
      <c r="AB65" s="649" t="s">
        <v>523</v>
      </c>
      <c r="AC65" s="622"/>
      <c r="AD65" s="622"/>
      <c r="AE65" s="622"/>
      <c r="AF65" s="622"/>
      <c r="AG65" s="623"/>
      <c r="AH65" s="649" t="s">
        <v>707</v>
      </c>
      <c r="AI65" s="622"/>
      <c r="AJ65" s="622"/>
      <c r="AK65" s="622"/>
      <c r="AL65" s="622"/>
      <c r="AM65" s="623"/>
      <c r="AN65" s="205"/>
      <c r="AO65" s="649" t="s">
        <v>3</v>
      </c>
      <c r="AP65" s="623"/>
      <c r="AQ65" s="649" t="s">
        <v>4</v>
      </c>
      <c r="AR65" s="623"/>
      <c r="AS65" s="649" t="s">
        <v>5</v>
      </c>
      <c r="AT65" s="623"/>
      <c r="AU65" s="649" t="s">
        <v>6</v>
      </c>
      <c r="AV65" s="623"/>
      <c r="AW65" s="649" t="s">
        <v>7</v>
      </c>
      <c r="AX65" s="623"/>
      <c r="AY65" s="649" t="s">
        <v>8</v>
      </c>
      <c r="AZ65" s="623"/>
      <c r="BA65" s="649" t="s">
        <v>9</v>
      </c>
      <c r="BB65" s="623"/>
      <c r="BC65" s="649" t="s">
        <v>10</v>
      </c>
      <c r="BD65" s="623"/>
      <c r="BE65" s="649" t="s">
        <v>11</v>
      </c>
      <c r="BF65" s="623"/>
      <c r="BG65" s="649" t="s">
        <v>12</v>
      </c>
      <c r="BH65" s="623"/>
      <c r="BI65" s="649" t="s">
        <v>13</v>
      </c>
      <c r="BJ65" s="623"/>
      <c r="BK65" s="649" t="s">
        <v>14</v>
      </c>
      <c r="BL65" s="623"/>
      <c r="BM65" s="649" t="s">
        <v>706</v>
      </c>
      <c r="BN65" s="623"/>
      <c r="BO65" s="649" t="s">
        <v>523</v>
      </c>
      <c r="BP65" s="622"/>
      <c r="BQ65" s="622"/>
      <c r="BR65" s="622"/>
      <c r="BS65" s="622"/>
      <c r="BT65" s="623"/>
      <c r="BU65" s="649" t="s">
        <v>707</v>
      </c>
      <c r="BV65" s="622"/>
      <c r="BW65" s="622"/>
      <c r="BX65" s="622"/>
      <c r="BY65" s="622"/>
      <c r="BZ65" s="623"/>
    </row>
    <row r="66" spans="1:78" ht="51.75" customHeight="1">
      <c r="A66" s="637"/>
      <c r="B66" s="340" t="s">
        <v>708</v>
      </c>
      <c r="C66" s="340" t="s">
        <v>709</v>
      </c>
      <c r="D66" s="340" t="s">
        <v>708</v>
      </c>
      <c r="E66" s="340" t="s">
        <v>709</v>
      </c>
      <c r="F66" s="340" t="s">
        <v>708</v>
      </c>
      <c r="G66" s="340" t="s">
        <v>709</v>
      </c>
      <c r="H66" s="340" t="s">
        <v>708</v>
      </c>
      <c r="I66" s="340" t="s">
        <v>709</v>
      </c>
      <c r="J66" s="340" t="s">
        <v>708</v>
      </c>
      <c r="K66" s="340" t="s">
        <v>709</v>
      </c>
      <c r="L66" s="340" t="s">
        <v>708</v>
      </c>
      <c r="M66" s="340" t="s">
        <v>709</v>
      </c>
      <c r="N66" s="340" t="s">
        <v>708</v>
      </c>
      <c r="O66" s="340" t="s">
        <v>709</v>
      </c>
      <c r="P66" s="340" t="s">
        <v>708</v>
      </c>
      <c r="Q66" s="340" t="s">
        <v>709</v>
      </c>
      <c r="R66" s="340" t="s">
        <v>708</v>
      </c>
      <c r="S66" s="340" t="s">
        <v>709</v>
      </c>
      <c r="T66" s="340" t="s">
        <v>708</v>
      </c>
      <c r="U66" s="340" t="s">
        <v>709</v>
      </c>
      <c r="V66" s="340" t="s">
        <v>708</v>
      </c>
      <c r="W66" s="340" t="s">
        <v>709</v>
      </c>
      <c r="X66" s="340" t="s">
        <v>708</v>
      </c>
      <c r="Y66" s="340" t="s">
        <v>709</v>
      </c>
      <c r="Z66" s="340" t="s">
        <v>708</v>
      </c>
      <c r="AA66" s="340" t="s">
        <v>709</v>
      </c>
      <c r="AB66" s="359" t="s">
        <v>549</v>
      </c>
      <c r="AC66" s="359" t="s">
        <v>558</v>
      </c>
      <c r="AD66" s="359" t="s">
        <v>565</v>
      </c>
      <c r="AE66" s="359" t="s">
        <v>572</v>
      </c>
      <c r="AF66" s="360" t="s">
        <v>710</v>
      </c>
      <c r="AG66" s="359" t="s">
        <v>540</v>
      </c>
      <c r="AH66" s="340" t="s">
        <v>711</v>
      </c>
      <c r="AI66" s="361" t="s">
        <v>712</v>
      </c>
      <c r="AJ66" s="340" t="s">
        <v>713</v>
      </c>
      <c r="AK66" s="340" t="s">
        <v>714</v>
      </c>
      <c r="AL66" s="340" t="s">
        <v>715</v>
      </c>
      <c r="AM66" s="340" t="s">
        <v>571</v>
      </c>
      <c r="AN66" s="205"/>
      <c r="AO66" s="340" t="s">
        <v>708</v>
      </c>
      <c r="AP66" s="340" t="s">
        <v>709</v>
      </c>
      <c r="AQ66" s="340" t="s">
        <v>708</v>
      </c>
      <c r="AR66" s="340" t="s">
        <v>709</v>
      </c>
      <c r="AS66" s="340" t="s">
        <v>708</v>
      </c>
      <c r="AT66" s="340" t="s">
        <v>709</v>
      </c>
      <c r="AU66" s="340" t="s">
        <v>708</v>
      </c>
      <c r="AV66" s="340" t="s">
        <v>709</v>
      </c>
      <c r="AW66" s="340" t="s">
        <v>708</v>
      </c>
      <c r="AX66" s="340" t="s">
        <v>709</v>
      </c>
      <c r="AY66" s="340" t="s">
        <v>708</v>
      </c>
      <c r="AZ66" s="340" t="s">
        <v>709</v>
      </c>
      <c r="BA66" s="340" t="s">
        <v>708</v>
      </c>
      <c r="BB66" s="340" t="s">
        <v>709</v>
      </c>
      <c r="BC66" s="340" t="s">
        <v>708</v>
      </c>
      <c r="BD66" s="340" t="s">
        <v>709</v>
      </c>
      <c r="BE66" s="340" t="s">
        <v>708</v>
      </c>
      <c r="BF66" s="340" t="s">
        <v>709</v>
      </c>
      <c r="BG66" s="340" t="s">
        <v>708</v>
      </c>
      <c r="BH66" s="340" t="s">
        <v>709</v>
      </c>
      <c r="BI66" s="340" t="s">
        <v>708</v>
      </c>
      <c r="BJ66" s="340" t="s">
        <v>709</v>
      </c>
      <c r="BK66" s="340" t="s">
        <v>708</v>
      </c>
      <c r="BL66" s="340" t="s">
        <v>709</v>
      </c>
      <c r="BM66" s="340" t="s">
        <v>708</v>
      </c>
      <c r="BN66" s="340" t="s">
        <v>709</v>
      </c>
      <c r="BO66" s="359" t="s">
        <v>549</v>
      </c>
      <c r="BP66" s="359" t="s">
        <v>558</v>
      </c>
      <c r="BQ66" s="359" t="s">
        <v>565</v>
      </c>
      <c r="BR66" s="359" t="s">
        <v>572</v>
      </c>
      <c r="BS66" s="360" t="s">
        <v>710</v>
      </c>
      <c r="BT66" s="359" t="s">
        <v>540</v>
      </c>
      <c r="BU66" s="340" t="s">
        <v>711</v>
      </c>
      <c r="BV66" s="361" t="s">
        <v>712</v>
      </c>
      <c r="BW66" s="340" t="s">
        <v>713</v>
      </c>
      <c r="BX66" s="340" t="s">
        <v>714</v>
      </c>
      <c r="BY66" s="340" t="s">
        <v>715</v>
      </c>
      <c r="BZ66" s="340" t="s">
        <v>571</v>
      </c>
    </row>
    <row r="67" spans="1:78" ht="13.5" customHeight="1">
      <c r="A67" s="364" t="s">
        <v>716</v>
      </c>
      <c r="B67" s="364"/>
      <c r="C67" s="364"/>
      <c r="D67" s="364"/>
      <c r="E67" s="364"/>
      <c r="F67" s="364"/>
      <c r="G67" s="364"/>
      <c r="H67" s="364"/>
      <c r="I67" s="364"/>
      <c r="J67" s="364"/>
      <c r="K67" s="364"/>
      <c r="L67" s="364"/>
      <c r="M67" s="364"/>
      <c r="N67" s="364"/>
      <c r="O67" s="365"/>
      <c r="P67" s="365"/>
      <c r="Q67" s="365"/>
      <c r="R67" s="365"/>
      <c r="S67" s="365"/>
      <c r="T67" s="365"/>
      <c r="U67" s="365"/>
      <c r="V67" s="365"/>
      <c r="W67" s="365"/>
      <c r="X67" s="365"/>
      <c r="Y67" s="365"/>
      <c r="Z67" s="366">
        <f t="shared" ref="Z67:AA87" si="12">B67+D67+F67+H67+J67+L67+N67+P67+R67+T67+V67+X67</f>
        <v>0</v>
      </c>
      <c r="AA67" s="367">
        <f t="shared" si="12"/>
        <v>0</v>
      </c>
      <c r="AB67" s="369"/>
      <c r="AC67" s="369"/>
      <c r="AD67" s="369"/>
      <c r="AE67" s="369"/>
      <c r="AF67" s="369"/>
      <c r="AG67" s="369"/>
      <c r="AH67" s="369"/>
      <c r="AI67" s="369"/>
      <c r="AJ67" s="369"/>
      <c r="AK67" s="369"/>
      <c r="AL67" s="369"/>
      <c r="AM67" s="370"/>
      <c r="AN67" s="205"/>
      <c r="AO67" s="364"/>
      <c r="AP67" s="364"/>
      <c r="AQ67" s="364">
        <v>76</v>
      </c>
      <c r="AR67" s="364"/>
      <c r="AS67" s="364">
        <f>82-AQ67</f>
        <v>6</v>
      </c>
      <c r="AT67" s="364"/>
      <c r="AU67" s="364"/>
      <c r="AV67" s="364"/>
      <c r="AW67" s="364">
        <v>59</v>
      </c>
      <c r="AX67" s="364"/>
      <c r="AY67" s="364">
        <v>24</v>
      </c>
      <c r="AZ67" s="364"/>
      <c r="BA67" s="364">
        <v>75</v>
      </c>
      <c r="BB67" s="365"/>
      <c r="BC67" s="365">
        <v>0</v>
      </c>
      <c r="BD67" s="365"/>
      <c r="BE67" s="365">
        <v>11</v>
      </c>
      <c r="BF67" s="365"/>
      <c r="BG67" s="365">
        <v>8</v>
      </c>
      <c r="BH67" s="365"/>
      <c r="BI67" s="365"/>
      <c r="BJ67" s="365"/>
      <c r="BK67" s="365"/>
      <c r="BL67" s="365"/>
      <c r="BM67" s="366">
        <f t="shared" ref="BM67:BN87" si="13">AO67+AQ67+AS67+AU67+AW67+AY67+BA67+BC67+BE67+BG67+BI67+BK67</f>
        <v>259</v>
      </c>
      <c r="BN67" s="367">
        <f t="shared" si="13"/>
        <v>0</v>
      </c>
      <c r="BO67" s="368"/>
      <c r="BP67" s="368"/>
      <c r="BQ67" s="368"/>
      <c r="BR67" s="368"/>
      <c r="BS67" s="369"/>
      <c r="BT67" s="369"/>
      <c r="BU67" s="369"/>
      <c r="BV67" s="369"/>
      <c r="BW67" s="369"/>
      <c r="BX67" s="369"/>
      <c r="BY67" s="369"/>
      <c r="BZ67" s="370"/>
    </row>
    <row r="68" spans="1:78" ht="13.5" customHeight="1">
      <c r="A68" s="364" t="s">
        <v>717</v>
      </c>
      <c r="B68" s="364"/>
      <c r="C68" s="364"/>
      <c r="D68" s="364"/>
      <c r="E68" s="364"/>
      <c r="F68" s="364"/>
      <c r="G68" s="364"/>
      <c r="H68" s="364"/>
      <c r="I68" s="364"/>
      <c r="J68" s="364"/>
      <c r="K68" s="364"/>
      <c r="L68" s="364"/>
      <c r="M68" s="364"/>
      <c r="N68" s="364"/>
      <c r="O68" s="365"/>
      <c r="P68" s="365"/>
      <c r="Q68" s="365"/>
      <c r="R68" s="365"/>
      <c r="S68" s="365"/>
      <c r="T68" s="365"/>
      <c r="U68" s="365"/>
      <c r="V68" s="365"/>
      <c r="W68" s="365"/>
      <c r="X68" s="365"/>
      <c r="Y68" s="365"/>
      <c r="Z68" s="366">
        <f t="shared" si="12"/>
        <v>0</v>
      </c>
      <c r="AA68" s="367">
        <f t="shared" si="12"/>
        <v>0</v>
      </c>
      <c r="AB68" s="369"/>
      <c r="AC68" s="369"/>
      <c r="AD68" s="369"/>
      <c r="AE68" s="369"/>
      <c r="AF68" s="369"/>
      <c r="AG68" s="369"/>
      <c r="AH68" s="369"/>
      <c r="AI68" s="369"/>
      <c r="AJ68" s="369"/>
      <c r="AK68" s="369"/>
      <c r="AL68" s="369"/>
      <c r="AM68" s="369"/>
      <c r="AN68" s="205"/>
      <c r="AO68" s="364"/>
      <c r="AP68" s="364"/>
      <c r="AQ68" s="364"/>
      <c r="AR68" s="364"/>
      <c r="AS68" s="364">
        <v>9</v>
      </c>
      <c r="AT68" s="364"/>
      <c r="AU68" s="364">
        <v>7</v>
      </c>
      <c r="AV68" s="364"/>
      <c r="AW68" s="364">
        <v>7</v>
      </c>
      <c r="AX68" s="364"/>
      <c r="AY68" s="364"/>
      <c r="AZ68" s="364"/>
      <c r="BA68" s="364">
        <v>16</v>
      </c>
      <c r="BB68" s="365"/>
      <c r="BC68" s="365">
        <v>0</v>
      </c>
      <c r="BD68" s="365"/>
      <c r="BE68" s="365">
        <v>74</v>
      </c>
      <c r="BF68" s="365"/>
      <c r="BG68" s="365">
        <v>9</v>
      </c>
      <c r="BH68" s="365"/>
      <c r="BI68" s="365"/>
      <c r="BJ68" s="365"/>
      <c r="BK68" s="365"/>
      <c r="BL68" s="365"/>
      <c r="BM68" s="366">
        <f t="shared" si="13"/>
        <v>122</v>
      </c>
      <c r="BN68" s="367">
        <f t="shared" si="13"/>
        <v>0</v>
      </c>
      <c r="BO68" s="368"/>
      <c r="BP68" s="368"/>
      <c r="BQ68" s="368"/>
      <c r="BR68" s="368"/>
      <c r="BS68" s="369"/>
      <c r="BT68" s="369"/>
      <c r="BU68" s="369"/>
      <c r="BV68" s="369"/>
      <c r="BW68" s="369"/>
      <c r="BX68" s="369"/>
      <c r="BY68" s="369"/>
      <c r="BZ68" s="369"/>
    </row>
    <row r="69" spans="1:78" ht="13.5" customHeight="1">
      <c r="A69" s="364" t="s">
        <v>718</v>
      </c>
      <c r="B69" s="364"/>
      <c r="C69" s="364"/>
      <c r="D69" s="364"/>
      <c r="E69" s="364"/>
      <c r="F69" s="364"/>
      <c r="G69" s="364"/>
      <c r="H69" s="364"/>
      <c r="I69" s="364"/>
      <c r="J69" s="364"/>
      <c r="K69" s="364"/>
      <c r="L69" s="364"/>
      <c r="M69" s="364"/>
      <c r="N69" s="364"/>
      <c r="O69" s="365"/>
      <c r="P69" s="365"/>
      <c r="Q69" s="365"/>
      <c r="R69" s="365"/>
      <c r="S69" s="365"/>
      <c r="T69" s="365"/>
      <c r="U69" s="365"/>
      <c r="V69" s="365"/>
      <c r="W69" s="365"/>
      <c r="X69" s="365"/>
      <c r="Y69" s="365"/>
      <c r="Z69" s="366">
        <f t="shared" si="12"/>
        <v>0</v>
      </c>
      <c r="AA69" s="367">
        <f t="shared" si="12"/>
        <v>0</v>
      </c>
      <c r="AB69" s="369"/>
      <c r="AC69" s="369"/>
      <c r="AD69" s="369"/>
      <c r="AE69" s="369"/>
      <c r="AF69" s="369"/>
      <c r="AG69" s="369"/>
      <c r="AH69" s="369"/>
      <c r="AI69" s="369"/>
      <c r="AJ69" s="369"/>
      <c r="AK69" s="369"/>
      <c r="AL69" s="369"/>
      <c r="AM69" s="369"/>
      <c r="AN69" s="205"/>
      <c r="AO69" s="364"/>
      <c r="AP69" s="364"/>
      <c r="AQ69" s="364"/>
      <c r="AR69" s="364"/>
      <c r="AS69" s="364">
        <v>19</v>
      </c>
      <c r="AT69" s="364"/>
      <c r="AU69" s="364">
        <v>25</v>
      </c>
      <c r="AV69" s="364"/>
      <c r="AW69" s="364">
        <v>29</v>
      </c>
      <c r="AX69" s="364"/>
      <c r="AY69" s="364"/>
      <c r="AZ69" s="364"/>
      <c r="BA69" s="364">
        <v>13</v>
      </c>
      <c r="BB69" s="365"/>
      <c r="BC69" s="365">
        <v>74</v>
      </c>
      <c r="BD69" s="365"/>
      <c r="BE69" s="365">
        <v>0</v>
      </c>
      <c r="BF69" s="365"/>
      <c r="BG69" s="365"/>
      <c r="BH69" s="365"/>
      <c r="BI69" s="365"/>
      <c r="BJ69" s="365"/>
      <c r="BK69" s="365"/>
      <c r="BL69" s="365"/>
      <c r="BM69" s="366">
        <f t="shared" si="13"/>
        <v>160</v>
      </c>
      <c r="BN69" s="367">
        <f t="shared" si="13"/>
        <v>0</v>
      </c>
      <c r="BO69" s="368"/>
      <c r="BP69" s="368"/>
      <c r="BQ69" s="368"/>
      <c r="BR69" s="368"/>
      <c r="BS69" s="369"/>
      <c r="BT69" s="369"/>
      <c r="BU69" s="369"/>
      <c r="BV69" s="369"/>
      <c r="BW69" s="369"/>
      <c r="BX69" s="369"/>
      <c r="BY69" s="369"/>
      <c r="BZ69" s="369"/>
    </row>
    <row r="70" spans="1:78" ht="13.5" customHeight="1">
      <c r="A70" s="364" t="s">
        <v>719</v>
      </c>
      <c r="B70" s="364"/>
      <c r="C70" s="364"/>
      <c r="D70" s="364"/>
      <c r="E70" s="364"/>
      <c r="F70" s="364"/>
      <c r="G70" s="364"/>
      <c r="H70" s="364"/>
      <c r="I70" s="364"/>
      <c r="J70" s="364"/>
      <c r="K70" s="364"/>
      <c r="L70" s="364"/>
      <c r="M70" s="364"/>
      <c r="N70" s="364"/>
      <c r="O70" s="365"/>
      <c r="P70" s="365"/>
      <c r="Q70" s="365"/>
      <c r="R70" s="365"/>
      <c r="S70" s="365"/>
      <c r="T70" s="365"/>
      <c r="U70" s="365"/>
      <c r="V70" s="365"/>
      <c r="W70" s="365"/>
      <c r="X70" s="365"/>
      <c r="Y70" s="365"/>
      <c r="Z70" s="366">
        <f t="shared" si="12"/>
        <v>0</v>
      </c>
      <c r="AA70" s="367">
        <f t="shared" si="12"/>
        <v>0</v>
      </c>
      <c r="AB70" s="369"/>
      <c r="AC70" s="369"/>
      <c r="AD70" s="369"/>
      <c r="AE70" s="369"/>
      <c r="AF70" s="369"/>
      <c r="AG70" s="369"/>
      <c r="AH70" s="369"/>
      <c r="AI70" s="369"/>
      <c r="AJ70" s="369"/>
      <c r="AK70" s="369"/>
      <c r="AL70" s="369"/>
      <c r="AM70" s="369"/>
      <c r="AN70" s="205"/>
      <c r="AO70" s="364"/>
      <c r="AP70" s="364"/>
      <c r="AQ70" s="364">
        <v>23</v>
      </c>
      <c r="AR70" s="364"/>
      <c r="AS70" s="364">
        <f>80-AQ70</f>
        <v>57</v>
      </c>
      <c r="AT70" s="364"/>
      <c r="AU70" s="364">
        <v>21</v>
      </c>
      <c r="AV70" s="364"/>
      <c r="AW70" s="364">
        <v>52</v>
      </c>
      <c r="AX70" s="364"/>
      <c r="AY70" s="364">
        <v>23</v>
      </c>
      <c r="AZ70" s="364"/>
      <c r="BA70" s="364">
        <v>48</v>
      </c>
      <c r="BB70" s="365"/>
      <c r="BC70" s="365">
        <v>35</v>
      </c>
      <c r="BD70" s="365"/>
      <c r="BE70" s="365">
        <v>77</v>
      </c>
      <c r="BF70" s="365"/>
      <c r="BG70" s="365">
        <v>42</v>
      </c>
      <c r="BH70" s="365"/>
      <c r="BI70" s="365"/>
      <c r="BJ70" s="365"/>
      <c r="BK70" s="365"/>
      <c r="BL70" s="365"/>
      <c r="BM70" s="366">
        <f>AO70+AQ70+AS70+AU70+AW70+AY70+BA70+BC70+BE70+BG70+BI70+BK70</f>
        <v>378</v>
      </c>
      <c r="BN70" s="367">
        <f t="shared" si="13"/>
        <v>0</v>
      </c>
      <c r="BO70" s="368"/>
      <c r="BP70" s="368"/>
      <c r="BQ70" s="368"/>
      <c r="BR70" s="368"/>
      <c r="BS70" s="369"/>
      <c r="BT70" s="369"/>
      <c r="BU70" s="369"/>
      <c r="BV70" s="369"/>
      <c r="BW70" s="369"/>
      <c r="BX70" s="369"/>
      <c r="BY70" s="369"/>
      <c r="BZ70" s="369"/>
    </row>
    <row r="71" spans="1:78" ht="13.5" customHeight="1">
      <c r="A71" s="364" t="s">
        <v>720</v>
      </c>
      <c r="B71" s="364"/>
      <c r="C71" s="364"/>
      <c r="D71" s="364"/>
      <c r="E71" s="364"/>
      <c r="F71" s="364"/>
      <c r="G71" s="364"/>
      <c r="H71" s="364"/>
      <c r="I71" s="364"/>
      <c r="J71" s="364"/>
      <c r="K71" s="364"/>
      <c r="L71" s="364"/>
      <c r="M71" s="364"/>
      <c r="N71" s="364"/>
      <c r="O71" s="365"/>
      <c r="P71" s="365"/>
      <c r="Q71" s="365"/>
      <c r="R71" s="365"/>
      <c r="S71" s="365"/>
      <c r="T71" s="365"/>
      <c r="U71" s="365"/>
      <c r="V71" s="365"/>
      <c r="W71" s="365"/>
      <c r="X71" s="365"/>
      <c r="Y71" s="365"/>
      <c r="Z71" s="366">
        <f t="shared" si="12"/>
        <v>0</v>
      </c>
      <c r="AA71" s="367">
        <f t="shared" si="12"/>
        <v>0</v>
      </c>
      <c r="AB71" s="369"/>
      <c r="AC71" s="369"/>
      <c r="AD71" s="369"/>
      <c r="AE71" s="369"/>
      <c r="AF71" s="369"/>
      <c r="AG71" s="369"/>
      <c r="AH71" s="369"/>
      <c r="AI71" s="369"/>
      <c r="AJ71" s="369"/>
      <c r="AK71" s="369"/>
      <c r="AL71" s="369"/>
      <c r="AM71" s="369"/>
      <c r="AN71" s="205"/>
      <c r="AO71" s="364"/>
      <c r="AP71" s="364"/>
      <c r="AQ71" s="364"/>
      <c r="AR71" s="364"/>
      <c r="AS71" s="364">
        <v>22</v>
      </c>
      <c r="AT71" s="364"/>
      <c r="AU71" s="364">
        <v>65</v>
      </c>
      <c r="AV71" s="364"/>
      <c r="AW71" s="364">
        <v>53</v>
      </c>
      <c r="AX71" s="364"/>
      <c r="AY71" s="364">
        <v>10</v>
      </c>
      <c r="AZ71" s="364"/>
      <c r="BA71" s="364">
        <v>9</v>
      </c>
      <c r="BB71" s="365"/>
      <c r="BC71" s="365">
        <v>13</v>
      </c>
      <c r="BD71" s="365"/>
      <c r="BE71" s="365">
        <v>12</v>
      </c>
      <c r="BF71" s="365"/>
      <c r="BG71" s="365">
        <v>11</v>
      </c>
      <c r="BH71" s="365"/>
      <c r="BI71" s="365"/>
      <c r="BJ71" s="365"/>
      <c r="BK71" s="365"/>
      <c r="BL71" s="365"/>
      <c r="BM71" s="366">
        <f>AO71+AQ71+AS71+AU71+AW71+AY71+BA71+BC71+BE71+BG71+BI71+BK71</f>
        <v>195</v>
      </c>
      <c r="BN71" s="367">
        <f t="shared" si="13"/>
        <v>0</v>
      </c>
      <c r="BO71" s="368"/>
      <c r="BP71" s="368"/>
      <c r="BQ71" s="368"/>
      <c r="BR71" s="368"/>
      <c r="BS71" s="369"/>
      <c r="BT71" s="369"/>
      <c r="BU71" s="369"/>
      <c r="BV71" s="369"/>
      <c r="BW71" s="369"/>
      <c r="BX71" s="369"/>
      <c r="BY71" s="369"/>
      <c r="BZ71" s="369"/>
    </row>
    <row r="72" spans="1:78" ht="13.5" customHeight="1">
      <c r="A72" s="364" t="s">
        <v>721</v>
      </c>
      <c r="B72" s="364"/>
      <c r="C72" s="364"/>
      <c r="D72" s="364"/>
      <c r="E72" s="364"/>
      <c r="F72" s="364"/>
      <c r="G72" s="364"/>
      <c r="H72" s="364"/>
      <c r="I72" s="364"/>
      <c r="J72" s="364"/>
      <c r="K72" s="364"/>
      <c r="L72" s="364"/>
      <c r="M72" s="364"/>
      <c r="N72" s="364"/>
      <c r="O72" s="365"/>
      <c r="P72" s="365"/>
      <c r="Q72" s="365"/>
      <c r="R72" s="365"/>
      <c r="S72" s="365"/>
      <c r="T72" s="365"/>
      <c r="U72" s="365"/>
      <c r="V72" s="365"/>
      <c r="W72" s="365"/>
      <c r="X72" s="365"/>
      <c r="Y72" s="365"/>
      <c r="Z72" s="366">
        <f t="shared" si="12"/>
        <v>0</v>
      </c>
      <c r="AA72" s="367">
        <f t="shared" si="12"/>
        <v>0</v>
      </c>
      <c r="AB72" s="369"/>
      <c r="AC72" s="369"/>
      <c r="AD72" s="369"/>
      <c r="AE72" s="369"/>
      <c r="AF72" s="369"/>
      <c r="AG72" s="369"/>
      <c r="AH72" s="369"/>
      <c r="AI72" s="369"/>
      <c r="AJ72" s="369"/>
      <c r="AK72" s="369"/>
      <c r="AL72" s="369"/>
      <c r="AM72" s="369"/>
      <c r="AN72" s="205"/>
      <c r="AO72" s="364"/>
      <c r="AP72" s="364"/>
      <c r="AQ72" s="364"/>
      <c r="AR72" s="364"/>
      <c r="AS72" s="364">
        <v>12</v>
      </c>
      <c r="AT72" s="364"/>
      <c r="AU72" s="364">
        <v>35</v>
      </c>
      <c r="AV72" s="364"/>
      <c r="AW72" s="364">
        <v>36</v>
      </c>
      <c r="AX72" s="364"/>
      <c r="AY72" s="364"/>
      <c r="AZ72" s="364"/>
      <c r="BA72" s="364">
        <v>8</v>
      </c>
      <c r="BB72" s="365"/>
      <c r="BC72" s="365">
        <v>7</v>
      </c>
      <c r="BD72" s="365"/>
      <c r="BE72" s="365">
        <v>0</v>
      </c>
      <c r="BF72" s="365"/>
      <c r="BG72" s="365"/>
      <c r="BH72" s="365"/>
      <c r="BI72" s="365">
        <v>3</v>
      </c>
      <c r="BJ72" s="365"/>
      <c r="BK72" s="365"/>
      <c r="BL72" s="365"/>
      <c r="BM72" s="366">
        <f t="shared" si="13"/>
        <v>101</v>
      </c>
      <c r="BN72" s="367">
        <f t="shared" si="13"/>
        <v>0</v>
      </c>
      <c r="BO72" s="368"/>
      <c r="BP72" s="368"/>
      <c r="BQ72" s="368"/>
      <c r="BR72" s="368"/>
      <c r="BS72" s="369"/>
      <c r="BT72" s="369"/>
      <c r="BU72" s="369"/>
      <c r="BV72" s="369"/>
      <c r="BW72" s="369"/>
      <c r="BX72" s="369"/>
      <c r="BY72" s="369"/>
      <c r="BZ72" s="369"/>
    </row>
    <row r="73" spans="1:78" ht="13.5" customHeight="1">
      <c r="A73" s="364" t="s">
        <v>722</v>
      </c>
      <c r="B73" s="364"/>
      <c r="C73" s="364"/>
      <c r="D73" s="364"/>
      <c r="E73" s="364"/>
      <c r="F73" s="364"/>
      <c r="G73" s="364"/>
      <c r="H73" s="364"/>
      <c r="I73" s="364"/>
      <c r="J73" s="364"/>
      <c r="K73" s="364"/>
      <c r="L73" s="364"/>
      <c r="M73" s="364"/>
      <c r="N73" s="364"/>
      <c r="O73" s="365"/>
      <c r="P73" s="365"/>
      <c r="Q73" s="365"/>
      <c r="R73" s="365"/>
      <c r="S73" s="365"/>
      <c r="T73" s="365"/>
      <c r="U73" s="365"/>
      <c r="V73" s="365"/>
      <c r="W73" s="365"/>
      <c r="X73" s="365"/>
      <c r="Y73" s="365"/>
      <c r="Z73" s="366">
        <f t="shared" si="12"/>
        <v>0</v>
      </c>
      <c r="AA73" s="367">
        <f t="shared" si="12"/>
        <v>0</v>
      </c>
      <c r="AB73" s="369"/>
      <c r="AC73" s="369"/>
      <c r="AD73" s="369"/>
      <c r="AE73" s="369"/>
      <c r="AF73" s="369"/>
      <c r="AG73" s="369"/>
      <c r="AH73" s="369"/>
      <c r="AI73" s="369"/>
      <c r="AJ73" s="369"/>
      <c r="AK73" s="369"/>
      <c r="AL73" s="369"/>
      <c r="AM73" s="369"/>
      <c r="AN73" s="205"/>
      <c r="AO73" s="364"/>
      <c r="AP73" s="364"/>
      <c r="AQ73" s="364"/>
      <c r="AR73" s="364"/>
      <c r="AS73" s="364">
        <v>7</v>
      </c>
      <c r="AT73" s="364"/>
      <c r="AU73" s="364"/>
      <c r="AV73" s="364"/>
      <c r="AW73" s="364">
        <v>3</v>
      </c>
      <c r="AX73" s="364"/>
      <c r="AY73" s="364"/>
      <c r="AZ73" s="364"/>
      <c r="BA73" s="364">
        <v>13</v>
      </c>
      <c r="BB73" s="365"/>
      <c r="BC73" s="365">
        <v>0</v>
      </c>
      <c r="BD73" s="365"/>
      <c r="BE73" s="365">
        <v>0</v>
      </c>
      <c r="BF73" s="365"/>
      <c r="BG73" s="365"/>
      <c r="BH73" s="365"/>
      <c r="BI73" s="365"/>
      <c r="BJ73" s="365"/>
      <c r="BK73" s="365"/>
      <c r="BL73" s="365"/>
      <c r="BM73" s="366">
        <f t="shared" si="13"/>
        <v>23</v>
      </c>
      <c r="BN73" s="367">
        <f t="shared" si="13"/>
        <v>0</v>
      </c>
      <c r="BO73" s="368"/>
      <c r="BP73" s="368"/>
      <c r="BQ73" s="368"/>
      <c r="BR73" s="368"/>
      <c r="BS73" s="369"/>
      <c r="BT73" s="369"/>
      <c r="BU73" s="369"/>
      <c r="BV73" s="369"/>
      <c r="BW73" s="369"/>
      <c r="BX73" s="369"/>
      <c r="BY73" s="369"/>
      <c r="BZ73" s="369"/>
    </row>
    <row r="74" spans="1:78" ht="13.5" customHeight="1">
      <c r="A74" s="364" t="s">
        <v>723</v>
      </c>
      <c r="B74" s="364"/>
      <c r="C74" s="364"/>
      <c r="D74" s="364"/>
      <c r="E74" s="364"/>
      <c r="F74" s="364"/>
      <c r="G74" s="364"/>
      <c r="H74" s="364"/>
      <c r="I74" s="364"/>
      <c r="J74" s="364"/>
      <c r="K74" s="364"/>
      <c r="L74" s="364"/>
      <c r="M74" s="364"/>
      <c r="N74" s="364"/>
      <c r="O74" s="365"/>
      <c r="P74" s="365"/>
      <c r="Q74" s="365"/>
      <c r="R74" s="365"/>
      <c r="S74" s="365"/>
      <c r="T74" s="365"/>
      <c r="U74" s="365"/>
      <c r="V74" s="365"/>
      <c r="W74" s="365"/>
      <c r="X74" s="365"/>
      <c r="Y74" s="365"/>
      <c r="Z74" s="366">
        <f t="shared" si="12"/>
        <v>0</v>
      </c>
      <c r="AA74" s="367">
        <f t="shared" si="12"/>
        <v>0</v>
      </c>
      <c r="AB74" s="369"/>
      <c r="AC74" s="369"/>
      <c r="AD74" s="369"/>
      <c r="AE74" s="369"/>
      <c r="AF74" s="369"/>
      <c r="AG74" s="369"/>
      <c r="AH74" s="369"/>
      <c r="AI74" s="369"/>
      <c r="AJ74" s="369"/>
      <c r="AK74" s="369"/>
      <c r="AL74" s="369"/>
      <c r="AM74" s="369"/>
      <c r="AN74" s="205"/>
      <c r="AO74" s="364"/>
      <c r="AP74" s="364"/>
      <c r="AQ74" s="364"/>
      <c r="AR74" s="364"/>
      <c r="AS74" s="364">
        <v>24</v>
      </c>
      <c r="AT74" s="364"/>
      <c r="AU74" s="364"/>
      <c r="AV74" s="364"/>
      <c r="AW74" s="364">
        <v>51</v>
      </c>
      <c r="AX74" s="364"/>
      <c r="AY74" s="364">
        <v>31</v>
      </c>
      <c r="AZ74" s="364"/>
      <c r="BA74" s="364">
        <v>8</v>
      </c>
      <c r="BB74" s="365"/>
      <c r="BC74" s="365">
        <v>230</v>
      </c>
      <c r="BD74" s="365"/>
      <c r="BE74" s="365">
        <v>119</v>
      </c>
      <c r="BF74" s="365"/>
      <c r="BG74" s="365">
        <v>15</v>
      </c>
      <c r="BH74" s="365"/>
      <c r="BI74" s="365"/>
      <c r="BJ74" s="365"/>
      <c r="BK74" s="365"/>
      <c r="BL74" s="365"/>
      <c r="BM74" s="366">
        <f t="shared" si="13"/>
        <v>478</v>
      </c>
      <c r="BN74" s="367">
        <f t="shared" si="13"/>
        <v>0</v>
      </c>
      <c r="BO74" s="368"/>
      <c r="BP74" s="368"/>
      <c r="BQ74" s="368"/>
      <c r="BR74" s="368"/>
      <c r="BS74" s="369"/>
      <c r="BT74" s="369"/>
      <c r="BU74" s="369"/>
      <c r="BV74" s="369"/>
      <c r="BW74" s="369"/>
      <c r="BX74" s="369"/>
      <c r="BY74" s="369"/>
      <c r="BZ74" s="369"/>
    </row>
    <row r="75" spans="1:78" ht="13.5" customHeight="1">
      <c r="A75" s="364" t="s">
        <v>724</v>
      </c>
      <c r="B75" s="364"/>
      <c r="C75" s="364"/>
      <c r="D75" s="364"/>
      <c r="E75" s="364"/>
      <c r="F75" s="364"/>
      <c r="G75" s="364"/>
      <c r="H75" s="364"/>
      <c r="I75" s="364"/>
      <c r="J75" s="364"/>
      <c r="K75" s="364"/>
      <c r="L75" s="364"/>
      <c r="M75" s="364"/>
      <c r="N75" s="364"/>
      <c r="O75" s="365"/>
      <c r="P75" s="365"/>
      <c r="Q75" s="365"/>
      <c r="R75" s="365"/>
      <c r="S75" s="365"/>
      <c r="T75" s="365"/>
      <c r="U75" s="365"/>
      <c r="V75" s="365"/>
      <c r="W75" s="365"/>
      <c r="X75" s="365"/>
      <c r="Y75" s="365"/>
      <c r="Z75" s="366">
        <f t="shared" si="12"/>
        <v>0</v>
      </c>
      <c r="AA75" s="367">
        <f t="shared" si="12"/>
        <v>0</v>
      </c>
      <c r="AB75" s="369"/>
      <c r="AC75" s="369"/>
      <c r="AD75" s="369"/>
      <c r="AE75" s="369"/>
      <c r="AF75" s="369"/>
      <c r="AG75" s="369"/>
      <c r="AH75" s="369"/>
      <c r="AI75" s="369"/>
      <c r="AJ75" s="369"/>
      <c r="AK75" s="369"/>
      <c r="AL75" s="369"/>
      <c r="AM75" s="369"/>
      <c r="AN75" s="205"/>
      <c r="AO75" s="364"/>
      <c r="AP75" s="364"/>
      <c r="AQ75" s="364">
        <v>19</v>
      </c>
      <c r="AR75" s="364"/>
      <c r="AS75" s="364">
        <f>45-AQ75</f>
        <v>26</v>
      </c>
      <c r="AT75" s="364"/>
      <c r="AU75" s="364">
        <v>41</v>
      </c>
      <c r="AV75" s="364"/>
      <c r="AW75" s="364">
        <v>68</v>
      </c>
      <c r="AX75" s="364"/>
      <c r="AY75" s="364">
        <v>16</v>
      </c>
      <c r="AZ75" s="364"/>
      <c r="BA75" s="364">
        <v>9</v>
      </c>
      <c r="BB75" s="365"/>
      <c r="BC75" s="365">
        <v>10</v>
      </c>
      <c r="BD75" s="365"/>
      <c r="BE75" s="365">
        <v>118</v>
      </c>
      <c r="BF75" s="365"/>
      <c r="BG75" s="365">
        <v>44</v>
      </c>
      <c r="BH75" s="365"/>
      <c r="BI75" s="365"/>
      <c r="BJ75" s="365"/>
      <c r="BK75" s="365"/>
      <c r="BL75" s="365"/>
      <c r="BM75" s="366">
        <f t="shared" si="13"/>
        <v>351</v>
      </c>
      <c r="BN75" s="367">
        <f t="shared" si="13"/>
        <v>0</v>
      </c>
      <c r="BO75" s="368"/>
      <c r="BP75" s="368"/>
      <c r="BQ75" s="368"/>
      <c r="BR75" s="368"/>
      <c r="BS75" s="369"/>
      <c r="BT75" s="369"/>
      <c r="BU75" s="369"/>
      <c r="BV75" s="369"/>
      <c r="BW75" s="369"/>
      <c r="BX75" s="369"/>
      <c r="BY75" s="369"/>
      <c r="BZ75" s="369"/>
    </row>
    <row r="76" spans="1:78" ht="13.5" customHeight="1">
      <c r="A76" s="364" t="s">
        <v>725</v>
      </c>
      <c r="B76" s="364"/>
      <c r="C76" s="364"/>
      <c r="D76" s="364"/>
      <c r="E76" s="364"/>
      <c r="F76" s="364"/>
      <c r="G76" s="364"/>
      <c r="H76" s="364"/>
      <c r="I76" s="364"/>
      <c r="J76" s="364"/>
      <c r="K76" s="364"/>
      <c r="L76" s="364"/>
      <c r="M76" s="364"/>
      <c r="N76" s="364"/>
      <c r="O76" s="365"/>
      <c r="P76" s="365"/>
      <c r="Q76" s="365"/>
      <c r="R76" s="365"/>
      <c r="S76" s="365"/>
      <c r="T76" s="365"/>
      <c r="U76" s="365"/>
      <c r="V76" s="365"/>
      <c r="W76" s="365"/>
      <c r="X76" s="365"/>
      <c r="Y76" s="365"/>
      <c r="Z76" s="366">
        <f t="shared" si="12"/>
        <v>0</v>
      </c>
      <c r="AA76" s="367">
        <f t="shared" si="12"/>
        <v>0</v>
      </c>
      <c r="AB76" s="369"/>
      <c r="AC76" s="369"/>
      <c r="AD76" s="369"/>
      <c r="AE76" s="369"/>
      <c r="AF76" s="369"/>
      <c r="AG76" s="369"/>
      <c r="AH76" s="369"/>
      <c r="AI76" s="369"/>
      <c r="AJ76" s="369"/>
      <c r="AK76" s="369"/>
      <c r="AL76" s="369"/>
      <c r="AM76" s="369"/>
      <c r="AN76" s="205"/>
      <c r="AO76" s="364"/>
      <c r="AP76" s="364"/>
      <c r="AQ76" s="364">
        <v>5</v>
      </c>
      <c r="AR76" s="364"/>
      <c r="AS76" s="364">
        <f>132-AQ76</f>
        <v>127</v>
      </c>
      <c r="AT76" s="364"/>
      <c r="AU76" s="364">
        <v>21</v>
      </c>
      <c r="AV76" s="364"/>
      <c r="AW76" s="364">
        <v>63</v>
      </c>
      <c r="AX76" s="364"/>
      <c r="AY76" s="364">
        <v>49</v>
      </c>
      <c r="AZ76" s="364"/>
      <c r="BA76" s="364">
        <v>33</v>
      </c>
      <c r="BB76" s="365"/>
      <c r="BC76" s="365">
        <v>37</v>
      </c>
      <c r="BD76" s="365"/>
      <c r="BE76" s="365">
        <v>0</v>
      </c>
      <c r="BF76" s="365"/>
      <c r="BG76" s="365">
        <v>39</v>
      </c>
      <c r="BH76" s="365"/>
      <c r="BI76" s="365"/>
      <c r="BJ76" s="365"/>
      <c r="BK76" s="365"/>
      <c r="BL76" s="365"/>
      <c r="BM76" s="366">
        <f t="shared" si="13"/>
        <v>374</v>
      </c>
      <c r="BN76" s="367">
        <f t="shared" si="13"/>
        <v>0</v>
      </c>
      <c r="BO76" s="368"/>
      <c r="BP76" s="368"/>
      <c r="BQ76" s="368"/>
      <c r="BR76" s="368"/>
      <c r="BS76" s="369"/>
      <c r="BT76" s="369"/>
      <c r="BU76" s="369"/>
      <c r="BV76" s="369"/>
      <c r="BW76" s="369"/>
      <c r="BX76" s="369"/>
      <c r="BY76" s="369"/>
      <c r="BZ76" s="369"/>
    </row>
    <row r="77" spans="1:78" ht="13.5" customHeight="1">
      <c r="A77" s="364" t="s">
        <v>726</v>
      </c>
      <c r="B77" s="364"/>
      <c r="C77" s="364"/>
      <c r="D77" s="364"/>
      <c r="E77" s="364"/>
      <c r="F77" s="364"/>
      <c r="G77" s="364"/>
      <c r="H77" s="364"/>
      <c r="I77" s="364"/>
      <c r="J77" s="364"/>
      <c r="K77" s="364"/>
      <c r="L77" s="364"/>
      <c r="M77" s="364"/>
      <c r="N77" s="364"/>
      <c r="O77" s="365"/>
      <c r="P77" s="365"/>
      <c r="Q77" s="365"/>
      <c r="R77" s="365"/>
      <c r="S77" s="365"/>
      <c r="T77" s="365"/>
      <c r="U77" s="365"/>
      <c r="V77" s="365"/>
      <c r="W77" s="365"/>
      <c r="X77" s="365"/>
      <c r="Y77" s="365"/>
      <c r="Z77" s="366">
        <f t="shared" si="12"/>
        <v>0</v>
      </c>
      <c r="AA77" s="367">
        <f t="shared" si="12"/>
        <v>0</v>
      </c>
      <c r="AB77" s="369"/>
      <c r="AC77" s="369"/>
      <c r="AD77" s="369"/>
      <c r="AE77" s="369"/>
      <c r="AF77" s="369"/>
      <c r="AG77" s="369"/>
      <c r="AH77" s="369"/>
      <c r="AI77" s="369"/>
      <c r="AJ77" s="369"/>
      <c r="AK77" s="369"/>
      <c r="AL77" s="369"/>
      <c r="AM77" s="369"/>
      <c r="AN77" s="205"/>
      <c r="AO77" s="364"/>
      <c r="AP77" s="364"/>
      <c r="AQ77" s="364">
        <v>16</v>
      </c>
      <c r="AR77" s="364"/>
      <c r="AS77" s="364">
        <f>90-AQ77</f>
        <v>74</v>
      </c>
      <c r="AT77" s="364"/>
      <c r="AU77" s="364">
        <v>25</v>
      </c>
      <c r="AV77" s="364"/>
      <c r="AW77" s="364">
        <v>63</v>
      </c>
      <c r="AX77" s="364"/>
      <c r="AY77" s="364"/>
      <c r="AZ77" s="364"/>
      <c r="BA77" s="364">
        <v>47</v>
      </c>
      <c r="BB77" s="365"/>
      <c r="BC77" s="365">
        <v>92</v>
      </c>
      <c r="BD77" s="365"/>
      <c r="BE77" s="365">
        <v>39</v>
      </c>
      <c r="BF77" s="365"/>
      <c r="BG77" s="365"/>
      <c r="BH77" s="365"/>
      <c r="BI77" s="365"/>
      <c r="BJ77" s="365"/>
      <c r="BK77" s="365"/>
      <c r="BL77" s="365"/>
      <c r="BM77" s="366">
        <f t="shared" si="13"/>
        <v>356</v>
      </c>
      <c r="BN77" s="367">
        <f t="shared" si="13"/>
        <v>0</v>
      </c>
      <c r="BO77" s="368"/>
      <c r="BP77" s="368"/>
      <c r="BQ77" s="368"/>
      <c r="BR77" s="368"/>
      <c r="BS77" s="369"/>
      <c r="BT77" s="369"/>
      <c r="BU77" s="369"/>
      <c r="BV77" s="369"/>
      <c r="BW77" s="369"/>
      <c r="BX77" s="369"/>
      <c r="BY77" s="369"/>
      <c r="BZ77" s="369"/>
    </row>
    <row r="78" spans="1:78" ht="13.5" customHeight="1">
      <c r="A78" s="364" t="s">
        <v>727</v>
      </c>
      <c r="B78" s="364"/>
      <c r="C78" s="364"/>
      <c r="D78" s="364"/>
      <c r="E78" s="364"/>
      <c r="F78" s="364"/>
      <c r="G78" s="364"/>
      <c r="H78" s="364"/>
      <c r="I78" s="364"/>
      <c r="J78" s="364"/>
      <c r="K78" s="364"/>
      <c r="L78" s="364"/>
      <c r="M78" s="364"/>
      <c r="N78" s="364"/>
      <c r="O78" s="365"/>
      <c r="P78" s="365"/>
      <c r="Q78" s="365"/>
      <c r="R78" s="365"/>
      <c r="S78" s="365"/>
      <c r="T78" s="365"/>
      <c r="U78" s="365"/>
      <c r="V78" s="365"/>
      <c r="W78" s="365"/>
      <c r="X78" s="365"/>
      <c r="Y78" s="365"/>
      <c r="Z78" s="366">
        <f t="shared" si="12"/>
        <v>0</v>
      </c>
      <c r="AA78" s="367">
        <f t="shared" si="12"/>
        <v>0</v>
      </c>
      <c r="AB78" s="369"/>
      <c r="AC78" s="369"/>
      <c r="AD78" s="369"/>
      <c r="AE78" s="369"/>
      <c r="AF78" s="369"/>
      <c r="AG78" s="369"/>
      <c r="AH78" s="369"/>
      <c r="AI78" s="369"/>
      <c r="AJ78" s="369"/>
      <c r="AK78" s="369"/>
      <c r="AL78" s="369"/>
      <c r="AM78" s="369"/>
      <c r="AN78" s="205"/>
      <c r="AO78" s="364"/>
      <c r="AP78" s="364"/>
      <c r="AQ78" s="364"/>
      <c r="AR78" s="364"/>
      <c r="AS78" s="364">
        <v>49</v>
      </c>
      <c r="AT78" s="364"/>
      <c r="AU78" s="364"/>
      <c r="AV78" s="364"/>
      <c r="AW78" s="364">
        <v>94</v>
      </c>
      <c r="AX78" s="364"/>
      <c r="AY78" s="364"/>
      <c r="AZ78" s="364"/>
      <c r="BA78" s="364">
        <v>51</v>
      </c>
      <c r="BB78" s="365"/>
      <c r="BC78" s="365">
        <v>27</v>
      </c>
      <c r="BD78" s="365"/>
      <c r="BE78" s="365">
        <v>3</v>
      </c>
      <c r="BF78" s="365"/>
      <c r="BG78" s="365"/>
      <c r="BH78" s="365"/>
      <c r="BI78" s="365"/>
      <c r="BJ78" s="365"/>
      <c r="BK78" s="365"/>
      <c r="BL78" s="365"/>
      <c r="BM78" s="366">
        <f t="shared" si="13"/>
        <v>224</v>
      </c>
      <c r="BN78" s="367">
        <f t="shared" si="13"/>
        <v>0</v>
      </c>
      <c r="BO78" s="368"/>
      <c r="BP78" s="368"/>
      <c r="BQ78" s="368"/>
      <c r="BR78" s="368"/>
      <c r="BS78" s="369"/>
      <c r="BT78" s="369"/>
      <c r="BU78" s="369"/>
      <c r="BV78" s="369"/>
      <c r="BW78" s="369"/>
      <c r="BX78" s="369"/>
      <c r="BY78" s="369"/>
      <c r="BZ78" s="369"/>
    </row>
    <row r="79" spans="1:78" ht="13.5" customHeight="1">
      <c r="A79" s="364" t="s">
        <v>728</v>
      </c>
      <c r="B79" s="364"/>
      <c r="C79" s="364"/>
      <c r="D79" s="364"/>
      <c r="E79" s="364"/>
      <c r="F79" s="364"/>
      <c r="G79" s="364"/>
      <c r="H79" s="364"/>
      <c r="I79" s="364"/>
      <c r="J79" s="364"/>
      <c r="K79" s="364"/>
      <c r="L79" s="364"/>
      <c r="M79" s="364"/>
      <c r="N79" s="364"/>
      <c r="O79" s="365"/>
      <c r="P79" s="365"/>
      <c r="Q79" s="365"/>
      <c r="R79" s="365"/>
      <c r="S79" s="365"/>
      <c r="T79" s="365"/>
      <c r="U79" s="365"/>
      <c r="V79" s="365"/>
      <c r="W79" s="365"/>
      <c r="X79" s="365"/>
      <c r="Y79" s="365"/>
      <c r="Z79" s="366">
        <f t="shared" si="12"/>
        <v>0</v>
      </c>
      <c r="AA79" s="367">
        <f t="shared" si="12"/>
        <v>0</v>
      </c>
      <c r="AB79" s="369"/>
      <c r="AC79" s="369"/>
      <c r="AD79" s="369"/>
      <c r="AE79" s="369"/>
      <c r="AF79" s="369"/>
      <c r="AG79" s="369"/>
      <c r="AH79" s="369"/>
      <c r="AI79" s="369"/>
      <c r="AJ79" s="369"/>
      <c r="AK79" s="369"/>
      <c r="AL79" s="369"/>
      <c r="AM79" s="369"/>
      <c r="AN79" s="205"/>
      <c r="AO79" s="364"/>
      <c r="AP79" s="364"/>
      <c r="AQ79" s="364"/>
      <c r="AR79" s="364"/>
      <c r="AS79" s="364">
        <v>9</v>
      </c>
      <c r="AT79" s="364"/>
      <c r="AU79" s="364">
        <v>7</v>
      </c>
      <c r="AV79" s="364"/>
      <c r="AW79" s="364">
        <v>15</v>
      </c>
      <c r="AX79" s="364"/>
      <c r="AY79" s="364"/>
      <c r="AZ79" s="364"/>
      <c r="BA79" s="364">
        <v>32</v>
      </c>
      <c r="BB79" s="365"/>
      <c r="BC79" s="365">
        <v>0</v>
      </c>
      <c r="BD79" s="365"/>
      <c r="BE79" s="365">
        <v>0</v>
      </c>
      <c r="BF79" s="365"/>
      <c r="BG79" s="365"/>
      <c r="BH79" s="365"/>
      <c r="BI79" s="365"/>
      <c r="BJ79" s="365"/>
      <c r="BK79" s="365"/>
      <c r="BL79" s="365"/>
      <c r="BM79" s="366">
        <f t="shared" si="13"/>
        <v>63</v>
      </c>
      <c r="BN79" s="367">
        <f t="shared" si="13"/>
        <v>0</v>
      </c>
      <c r="BO79" s="368"/>
      <c r="BP79" s="368"/>
      <c r="BQ79" s="368"/>
      <c r="BR79" s="368"/>
      <c r="BS79" s="369"/>
      <c r="BT79" s="369"/>
      <c r="BU79" s="369"/>
      <c r="BV79" s="369"/>
      <c r="BW79" s="369"/>
      <c r="BX79" s="369"/>
      <c r="BY79" s="369"/>
      <c r="BZ79" s="369"/>
    </row>
    <row r="80" spans="1:78" ht="13.5" customHeight="1">
      <c r="A80" s="364" t="s">
        <v>729</v>
      </c>
      <c r="B80" s="364"/>
      <c r="C80" s="364"/>
      <c r="D80" s="364"/>
      <c r="E80" s="364"/>
      <c r="F80" s="364"/>
      <c r="G80" s="364"/>
      <c r="H80" s="364"/>
      <c r="I80" s="364"/>
      <c r="J80" s="364"/>
      <c r="K80" s="364"/>
      <c r="L80" s="364"/>
      <c r="M80" s="364"/>
      <c r="N80" s="364"/>
      <c r="O80" s="365"/>
      <c r="P80" s="365"/>
      <c r="Q80" s="365"/>
      <c r="R80" s="365"/>
      <c r="S80" s="365"/>
      <c r="T80" s="365"/>
      <c r="U80" s="365"/>
      <c r="V80" s="365"/>
      <c r="W80" s="365"/>
      <c r="X80" s="365"/>
      <c r="Y80" s="365"/>
      <c r="Z80" s="366">
        <f t="shared" si="12"/>
        <v>0</v>
      </c>
      <c r="AA80" s="367">
        <f t="shared" si="12"/>
        <v>0</v>
      </c>
      <c r="AB80" s="369"/>
      <c r="AC80" s="369"/>
      <c r="AD80" s="369"/>
      <c r="AE80" s="369"/>
      <c r="AF80" s="369"/>
      <c r="AG80" s="369"/>
      <c r="AH80" s="369"/>
      <c r="AI80" s="369"/>
      <c r="AJ80" s="369"/>
      <c r="AK80" s="369"/>
      <c r="AL80" s="369"/>
      <c r="AM80" s="369"/>
      <c r="AN80" s="205"/>
      <c r="AO80" s="364"/>
      <c r="AP80" s="364"/>
      <c r="AQ80" s="364">
        <v>10</v>
      </c>
      <c r="AR80" s="364"/>
      <c r="AS80" s="364"/>
      <c r="AT80" s="364"/>
      <c r="AU80" s="364"/>
      <c r="AV80" s="364"/>
      <c r="AW80" s="364">
        <v>8</v>
      </c>
      <c r="AX80" s="364"/>
      <c r="AY80" s="364"/>
      <c r="AZ80" s="364"/>
      <c r="BA80" s="364">
        <v>56</v>
      </c>
      <c r="BB80" s="365"/>
      <c r="BC80" s="365">
        <v>42</v>
      </c>
      <c r="BD80" s="365"/>
      <c r="BE80" s="365">
        <v>15</v>
      </c>
      <c r="BF80" s="365"/>
      <c r="BG80" s="365">
        <v>6</v>
      </c>
      <c r="BH80" s="365"/>
      <c r="BI80" s="365"/>
      <c r="BJ80" s="365"/>
      <c r="BK80" s="365"/>
      <c r="BL80" s="365"/>
      <c r="BM80" s="366">
        <f t="shared" si="13"/>
        <v>137</v>
      </c>
      <c r="BN80" s="367">
        <f t="shared" si="13"/>
        <v>0</v>
      </c>
      <c r="BO80" s="368"/>
      <c r="BP80" s="368"/>
      <c r="BQ80" s="368"/>
      <c r="BR80" s="368"/>
      <c r="BS80" s="369"/>
      <c r="BT80" s="369"/>
      <c r="BU80" s="369"/>
      <c r="BV80" s="369"/>
      <c r="BW80" s="369"/>
      <c r="BX80" s="369"/>
      <c r="BY80" s="369"/>
      <c r="BZ80" s="369"/>
    </row>
    <row r="81" spans="1:78" ht="13.5" customHeight="1">
      <c r="A81" s="364" t="s">
        <v>730</v>
      </c>
      <c r="B81" s="364"/>
      <c r="C81" s="364"/>
      <c r="D81" s="364"/>
      <c r="E81" s="364"/>
      <c r="F81" s="364"/>
      <c r="G81" s="364"/>
      <c r="H81" s="364"/>
      <c r="I81" s="364"/>
      <c r="J81" s="364"/>
      <c r="K81" s="364"/>
      <c r="L81" s="364"/>
      <c r="M81" s="364"/>
      <c r="N81" s="364"/>
      <c r="O81" s="365"/>
      <c r="P81" s="365"/>
      <c r="Q81" s="365"/>
      <c r="R81" s="365"/>
      <c r="S81" s="365"/>
      <c r="T81" s="365"/>
      <c r="U81" s="365"/>
      <c r="V81" s="365"/>
      <c r="W81" s="365"/>
      <c r="X81" s="365"/>
      <c r="Y81" s="365"/>
      <c r="Z81" s="366">
        <f t="shared" si="12"/>
        <v>0</v>
      </c>
      <c r="AA81" s="367">
        <f t="shared" si="12"/>
        <v>0</v>
      </c>
      <c r="AB81" s="369"/>
      <c r="AC81" s="369"/>
      <c r="AD81" s="369"/>
      <c r="AE81" s="369"/>
      <c r="AF81" s="369"/>
      <c r="AG81" s="369"/>
      <c r="AH81" s="369"/>
      <c r="AI81" s="369"/>
      <c r="AJ81" s="369"/>
      <c r="AK81" s="369"/>
      <c r="AL81" s="369"/>
      <c r="AM81" s="369"/>
      <c r="AN81" s="205"/>
      <c r="AO81" s="364"/>
      <c r="AP81" s="364"/>
      <c r="AQ81" s="364">
        <v>8</v>
      </c>
      <c r="AR81" s="364"/>
      <c r="AS81" s="364">
        <f>24-AQ81</f>
        <v>16</v>
      </c>
      <c r="AT81" s="364"/>
      <c r="AU81" s="364">
        <v>16</v>
      </c>
      <c r="AV81" s="364"/>
      <c r="AW81" s="364">
        <v>16</v>
      </c>
      <c r="AX81" s="364"/>
      <c r="AY81" s="364"/>
      <c r="AZ81" s="364"/>
      <c r="BA81" s="364">
        <v>99</v>
      </c>
      <c r="BB81" s="365"/>
      <c r="BC81" s="365">
        <v>152</v>
      </c>
      <c r="BD81" s="365"/>
      <c r="BE81" s="365">
        <v>13</v>
      </c>
      <c r="BF81" s="365"/>
      <c r="BG81" s="365">
        <v>9</v>
      </c>
      <c r="BH81" s="365"/>
      <c r="BI81" s="365">
        <v>25</v>
      </c>
      <c r="BJ81" s="365"/>
      <c r="BK81" s="365"/>
      <c r="BL81" s="365"/>
      <c r="BM81" s="366">
        <f t="shared" si="13"/>
        <v>354</v>
      </c>
      <c r="BN81" s="367">
        <f t="shared" si="13"/>
        <v>0</v>
      </c>
      <c r="BO81" s="368"/>
      <c r="BP81" s="368"/>
      <c r="BQ81" s="368"/>
      <c r="BR81" s="368"/>
      <c r="BS81" s="369"/>
      <c r="BT81" s="369"/>
      <c r="BU81" s="369"/>
      <c r="BV81" s="369"/>
      <c r="BW81" s="369"/>
      <c r="BX81" s="369"/>
      <c r="BY81" s="369"/>
      <c r="BZ81" s="369"/>
    </row>
    <row r="82" spans="1:78" ht="13.5" customHeight="1">
      <c r="A82" s="364" t="s">
        <v>731</v>
      </c>
      <c r="B82" s="364"/>
      <c r="C82" s="364"/>
      <c r="D82" s="364"/>
      <c r="E82" s="364"/>
      <c r="F82" s="364"/>
      <c r="G82" s="364"/>
      <c r="H82" s="364"/>
      <c r="I82" s="364"/>
      <c r="J82" s="364"/>
      <c r="K82" s="364"/>
      <c r="L82" s="364"/>
      <c r="M82" s="364"/>
      <c r="N82" s="364"/>
      <c r="O82" s="365"/>
      <c r="P82" s="365"/>
      <c r="Q82" s="365"/>
      <c r="R82" s="365"/>
      <c r="S82" s="365"/>
      <c r="T82" s="365"/>
      <c r="U82" s="365"/>
      <c r="V82" s="365"/>
      <c r="W82" s="365"/>
      <c r="X82" s="365"/>
      <c r="Y82" s="365"/>
      <c r="Z82" s="366">
        <f t="shared" si="12"/>
        <v>0</v>
      </c>
      <c r="AA82" s="367">
        <f t="shared" si="12"/>
        <v>0</v>
      </c>
      <c r="AB82" s="369"/>
      <c r="AC82" s="369"/>
      <c r="AD82" s="369"/>
      <c r="AE82" s="369"/>
      <c r="AF82" s="369"/>
      <c r="AG82" s="369"/>
      <c r="AH82" s="369"/>
      <c r="AI82" s="369"/>
      <c r="AJ82" s="369"/>
      <c r="AK82" s="369"/>
      <c r="AL82" s="369"/>
      <c r="AM82" s="369"/>
      <c r="AN82" s="205"/>
      <c r="AO82" s="364"/>
      <c r="AP82" s="364"/>
      <c r="AQ82" s="364">
        <v>24</v>
      </c>
      <c r="AR82" s="364"/>
      <c r="AS82" s="364"/>
      <c r="AT82" s="364"/>
      <c r="AU82" s="364"/>
      <c r="AV82" s="364"/>
      <c r="AW82" s="364">
        <v>26</v>
      </c>
      <c r="AX82" s="364"/>
      <c r="AY82" s="364">
        <v>38</v>
      </c>
      <c r="AZ82" s="364"/>
      <c r="BA82" s="364">
        <v>71</v>
      </c>
      <c r="BB82" s="365"/>
      <c r="BC82" s="365">
        <v>32</v>
      </c>
      <c r="BD82" s="365"/>
      <c r="BE82" s="365">
        <v>43</v>
      </c>
      <c r="BF82" s="365"/>
      <c r="BG82" s="365"/>
      <c r="BH82" s="365"/>
      <c r="BI82" s="365"/>
      <c r="BJ82" s="365"/>
      <c r="BK82" s="365"/>
      <c r="BL82" s="365"/>
      <c r="BM82" s="366">
        <f t="shared" si="13"/>
        <v>234</v>
      </c>
      <c r="BN82" s="367">
        <f t="shared" si="13"/>
        <v>0</v>
      </c>
      <c r="BO82" s="368"/>
      <c r="BP82" s="368"/>
      <c r="BQ82" s="368"/>
      <c r="BR82" s="368"/>
      <c r="BS82" s="369"/>
      <c r="BT82" s="369"/>
      <c r="BU82" s="369"/>
      <c r="BV82" s="369"/>
      <c r="BW82" s="369"/>
      <c r="BX82" s="369"/>
      <c r="BY82" s="369"/>
      <c r="BZ82" s="369"/>
    </row>
    <row r="83" spans="1:78" ht="13.5" customHeight="1">
      <c r="A83" s="364" t="s">
        <v>732</v>
      </c>
      <c r="B83" s="364"/>
      <c r="C83" s="364"/>
      <c r="D83" s="364"/>
      <c r="E83" s="364"/>
      <c r="F83" s="364"/>
      <c r="G83" s="364"/>
      <c r="H83" s="364"/>
      <c r="I83" s="364"/>
      <c r="J83" s="364"/>
      <c r="K83" s="364"/>
      <c r="L83" s="364"/>
      <c r="M83" s="364"/>
      <c r="N83" s="364"/>
      <c r="O83" s="365"/>
      <c r="P83" s="365"/>
      <c r="Q83" s="365"/>
      <c r="R83" s="365"/>
      <c r="S83" s="365"/>
      <c r="T83" s="365"/>
      <c r="U83" s="365"/>
      <c r="V83" s="365"/>
      <c r="W83" s="365"/>
      <c r="X83" s="365"/>
      <c r="Y83" s="365"/>
      <c r="Z83" s="366">
        <f t="shared" si="12"/>
        <v>0</v>
      </c>
      <c r="AA83" s="367">
        <f t="shared" si="12"/>
        <v>0</v>
      </c>
      <c r="AB83" s="369"/>
      <c r="AC83" s="369"/>
      <c r="AD83" s="369"/>
      <c r="AE83" s="369"/>
      <c r="AF83" s="369"/>
      <c r="AG83" s="369"/>
      <c r="AH83" s="369"/>
      <c r="AI83" s="369"/>
      <c r="AJ83" s="369"/>
      <c r="AK83" s="369"/>
      <c r="AL83" s="369"/>
      <c r="AM83" s="369"/>
      <c r="AN83" s="205"/>
      <c r="AO83" s="364"/>
      <c r="AP83" s="364"/>
      <c r="AQ83" s="364"/>
      <c r="AR83" s="364"/>
      <c r="AS83" s="364"/>
      <c r="AT83" s="364"/>
      <c r="AU83" s="364">
        <v>29</v>
      </c>
      <c r="AV83" s="364"/>
      <c r="AW83" s="364">
        <v>12</v>
      </c>
      <c r="AX83" s="364"/>
      <c r="AY83" s="364">
        <v>52</v>
      </c>
      <c r="AZ83" s="364"/>
      <c r="BA83" s="364">
        <v>54</v>
      </c>
      <c r="BB83" s="365"/>
      <c r="BC83" s="365">
        <v>0</v>
      </c>
      <c r="BD83" s="365"/>
      <c r="BE83" s="365">
        <v>28</v>
      </c>
      <c r="BF83" s="365"/>
      <c r="BG83" s="365"/>
      <c r="BH83" s="365"/>
      <c r="BI83" s="365"/>
      <c r="BJ83" s="365"/>
      <c r="BK83" s="365"/>
      <c r="BL83" s="365"/>
      <c r="BM83" s="366">
        <f t="shared" si="13"/>
        <v>175</v>
      </c>
      <c r="BN83" s="367">
        <f t="shared" si="13"/>
        <v>0</v>
      </c>
      <c r="BO83" s="368"/>
      <c r="BP83" s="368"/>
      <c r="BQ83" s="368"/>
      <c r="BR83" s="368"/>
      <c r="BS83" s="369"/>
      <c r="BT83" s="369"/>
      <c r="BU83" s="369"/>
      <c r="BV83" s="369"/>
      <c r="BW83" s="369"/>
      <c r="BX83" s="369"/>
      <c r="BY83" s="369"/>
      <c r="BZ83" s="369"/>
    </row>
    <row r="84" spans="1:78" ht="13.5" customHeight="1">
      <c r="A84" s="364" t="s">
        <v>733</v>
      </c>
      <c r="B84" s="364"/>
      <c r="C84" s="364"/>
      <c r="D84" s="364"/>
      <c r="E84" s="364"/>
      <c r="F84" s="364"/>
      <c r="G84" s="364"/>
      <c r="H84" s="364"/>
      <c r="I84" s="364"/>
      <c r="J84" s="364"/>
      <c r="K84" s="364"/>
      <c r="L84" s="364"/>
      <c r="M84" s="364"/>
      <c r="N84" s="364"/>
      <c r="O84" s="365"/>
      <c r="P84" s="365"/>
      <c r="Q84" s="365"/>
      <c r="R84" s="365"/>
      <c r="S84" s="365"/>
      <c r="T84" s="365"/>
      <c r="U84" s="365"/>
      <c r="V84" s="365"/>
      <c r="W84" s="365"/>
      <c r="X84" s="365"/>
      <c r="Y84" s="365"/>
      <c r="Z84" s="366">
        <f t="shared" si="12"/>
        <v>0</v>
      </c>
      <c r="AA84" s="367">
        <f t="shared" si="12"/>
        <v>0</v>
      </c>
      <c r="AB84" s="369"/>
      <c r="AC84" s="369"/>
      <c r="AD84" s="369"/>
      <c r="AE84" s="369"/>
      <c r="AF84" s="369"/>
      <c r="AG84" s="369"/>
      <c r="AH84" s="369"/>
      <c r="AI84" s="369"/>
      <c r="AJ84" s="369"/>
      <c r="AK84" s="369"/>
      <c r="AL84" s="369"/>
      <c r="AM84" s="369"/>
      <c r="AN84" s="205"/>
      <c r="AO84" s="364"/>
      <c r="AP84" s="364"/>
      <c r="AQ84" s="364"/>
      <c r="AR84" s="364"/>
      <c r="AS84" s="364"/>
      <c r="AT84" s="364"/>
      <c r="AU84" s="364"/>
      <c r="AV84" s="364"/>
      <c r="AW84" s="364"/>
      <c r="AX84" s="364"/>
      <c r="AY84" s="364">
        <v>71</v>
      </c>
      <c r="AZ84" s="364"/>
      <c r="BA84" s="364">
        <v>0</v>
      </c>
      <c r="BB84" s="365"/>
      <c r="BC84" s="365">
        <v>0</v>
      </c>
      <c r="BD84" s="365"/>
      <c r="BE84" s="365">
        <v>9</v>
      </c>
      <c r="BF84" s="365"/>
      <c r="BG84" s="365"/>
      <c r="BH84" s="365"/>
      <c r="BI84" s="365">
        <v>8</v>
      </c>
      <c r="BJ84" s="365"/>
      <c r="BK84" s="365"/>
      <c r="BL84" s="365"/>
      <c r="BM84" s="366">
        <f t="shared" si="13"/>
        <v>88</v>
      </c>
      <c r="BN84" s="367">
        <f t="shared" si="13"/>
        <v>0</v>
      </c>
      <c r="BO84" s="368"/>
      <c r="BP84" s="368"/>
      <c r="BQ84" s="368"/>
      <c r="BR84" s="368"/>
      <c r="BS84" s="369"/>
      <c r="BT84" s="369"/>
      <c r="BU84" s="369"/>
      <c r="BV84" s="369"/>
      <c r="BW84" s="369"/>
      <c r="BX84" s="369"/>
      <c r="BY84" s="369"/>
      <c r="BZ84" s="369"/>
    </row>
    <row r="85" spans="1:78" ht="13.5" customHeight="1">
      <c r="A85" s="364" t="s">
        <v>734</v>
      </c>
      <c r="B85" s="364"/>
      <c r="C85" s="364"/>
      <c r="D85" s="364"/>
      <c r="E85" s="364"/>
      <c r="F85" s="364"/>
      <c r="G85" s="364"/>
      <c r="H85" s="364"/>
      <c r="I85" s="364"/>
      <c r="J85" s="364"/>
      <c r="K85" s="364"/>
      <c r="L85" s="364"/>
      <c r="M85" s="364"/>
      <c r="N85" s="364"/>
      <c r="O85" s="365"/>
      <c r="P85" s="365"/>
      <c r="Q85" s="365"/>
      <c r="R85" s="365"/>
      <c r="S85" s="365"/>
      <c r="T85" s="365"/>
      <c r="U85" s="365"/>
      <c r="V85" s="365"/>
      <c r="W85" s="365"/>
      <c r="X85" s="365"/>
      <c r="Y85" s="365"/>
      <c r="Z85" s="366">
        <f t="shared" si="12"/>
        <v>0</v>
      </c>
      <c r="AA85" s="367">
        <f t="shared" si="12"/>
        <v>0</v>
      </c>
      <c r="AB85" s="369"/>
      <c r="AC85" s="369"/>
      <c r="AD85" s="369"/>
      <c r="AE85" s="369"/>
      <c r="AF85" s="369"/>
      <c r="AG85" s="369"/>
      <c r="AH85" s="369"/>
      <c r="AI85" s="369"/>
      <c r="AJ85" s="369"/>
      <c r="AK85" s="369"/>
      <c r="AL85" s="369"/>
      <c r="AM85" s="369"/>
      <c r="AN85" s="205"/>
      <c r="AO85" s="364"/>
      <c r="AP85" s="364"/>
      <c r="AQ85" s="364"/>
      <c r="AR85" s="364"/>
      <c r="AS85" s="364"/>
      <c r="AT85" s="364"/>
      <c r="AU85" s="364">
        <v>18</v>
      </c>
      <c r="AV85" s="364"/>
      <c r="AW85" s="364">
        <v>11</v>
      </c>
      <c r="AX85" s="364"/>
      <c r="AY85" s="364">
        <v>8</v>
      </c>
      <c r="AZ85" s="364"/>
      <c r="BA85" s="364">
        <v>0</v>
      </c>
      <c r="BB85" s="365"/>
      <c r="BC85" s="365">
        <v>31</v>
      </c>
      <c r="BD85" s="365"/>
      <c r="BE85" s="365">
        <v>1</v>
      </c>
      <c r="BF85" s="365"/>
      <c r="BG85" s="365">
        <v>2</v>
      </c>
      <c r="BH85" s="365"/>
      <c r="BI85" s="365"/>
      <c r="BJ85" s="365"/>
      <c r="BK85" s="365"/>
      <c r="BL85" s="365"/>
      <c r="BM85" s="366">
        <f t="shared" si="13"/>
        <v>71</v>
      </c>
      <c r="BN85" s="367">
        <f t="shared" si="13"/>
        <v>0</v>
      </c>
      <c r="BO85" s="368"/>
      <c r="BP85" s="368"/>
      <c r="BQ85" s="368"/>
      <c r="BR85" s="368"/>
      <c r="BS85" s="369"/>
      <c r="BT85" s="369"/>
      <c r="BU85" s="369"/>
      <c r="BV85" s="369"/>
      <c r="BW85" s="369"/>
      <c r="BX85" s="369"/>
      <c r="BY85" s="369"/>
      <c r="BZ85" s="369"/>
    </row>
    <row r="86" spans="1:78" ht="13.5" customHeight="1">
      <c r="A86" s="364" t="s">
        <v>735</v>
      </c>
      <c r="B86" s="364"/>
      <c r="C86" s="364"/>
      <c r="D86" s="364"/>
      <c r="E86" s="364"/>
      <c r="F86" s="364"/>
      <c r="G86" s="364"/>
      <c r="H86" s="364"/>
      <c r="I86" s="364"/>
      <c r="J86" s="364"/>
      <c r="K86" s="364"/>
      <c r="L86" s="364"/>
      <c r="M86" s="364"/>
      <c r="N86" s="364"/>
      <c r="O86" s="365"/>
      <c r="P86" s="365"/>
      <c r="Q86" s="365"/>
      <c r="R86" s="365"/>
      <c r="S86" s="365"/>
      <c r="T86" s="365"/>
      <c r="U86" s="365"/>
      <c r="V86" s="365"/>
      <c r="W86" s="365"/>
      <c r="X86" s="365"/>
      <c r="Y86" s="365"/>
      <c r="Z86" s="366">
        <f t="shared" si="12"/>
        <v>0</v>
      </c>
      <c r="AA86" s="367">
        <f t="shared" si="12"/>
        <v>0</v>
      </c>
      <c r="AB86" s="369"/>
      <c r="AC86" s="369"/>
      <c r="AD86" s="369"/>
      <c r="AE86" s="369"/>
      <c r="AF86" s="369"/>
      <c r="AG86" s="369"/>
      <c r="AH86" s="369"/>
      <c r="AI86" s="369"/>
      <c r="AJ86" s="369"/>
      <c r="AK86" s="369"/>
      <c r="AL86" s="369"/>
      <c r="AM86" s="369"/>
      <c r="AN86" s="205"/>
      <c r="AO86" s="364"/>
      <c r="AP86" s="364"/>
      <c r="AQ86" s="364"/>
      <c r="AR86" s="364"/>
      <c r="AS86" s="364">
        <v>12</v>
      </c>
      <c r="AT86" s="364"/>
      <c r="AU86" s="364">
        <v>26</v>
      </c>
      <c r="AV86" s="364"/>
      <c r="AW86" s="364">
        <v>25</v>
      </c>
      <c r="AX86" s="364"/>
      <c r="AY86" s="364">
        <v>33</v>
      </c>
      <c r="AZ86" s="364"/>
      <c r="BA86" s="364">
        <v>32</v>
      </c>
      <c r="BB86" s="365"/>
      <c r="BC86" s="365">
        <v>58</v>
      </c>
      <c r="BD86" s="365"/>
      <c r="BE86" s="365">
        <v>0</v>
      </c>
      <c r="BF86" s="365"/>
      <c r="BG86" s="365"/>
      <c r="BH86" s="365"/>
      <c r="BI86" s="365"/>
      <c r="BJ86" s="365"/>
      <c r="BK86" s="365"/>
      <c r="BL86" s="365"/>
      <c r="BM86" s="366">
        <f t="shared" si="13"/>
        <v>186</v>
      </c>
      <c r="BN86" s="367">
        <f t="shared" si="13"/>
        <v>0</v>
      </c>
      <c r="BO86" s="368"/>
      <c r="BP86" s="368"/>
      <c r="BQ86" s="368"/>
      <c r="BR86" s="368"/>
      <c r="BS86" s="369"/>
      <c r="BT86" s="369"/>
      <c r="BU86" s="369"/>
      <c r="BV86" s="369"/>
      <c r="BW86" s="369"/>
      <c r="BX86" s="369"/>
      <c r="BY86" s="369"/>
      <c r="BZ86" s="369"/>
    </row>
    <row r="87" spans="1:78" ht="13.5" customHeight="1">
      <c r="A87" s="364" t="s">
        <v>736</v>
      </c>
      <c r="B87" s="364"/>
      <c r="C87" s="364"/>
      <c r="D87" s="364"/>
      <c r="E87" s="364"/>
      <c r="F87" s="364"/>
      <c r="G87" s="364"/>
      <c r="H87" s="364"/>
      <c r="I87" s="364"/>
      <c r="J87" s="364"/>
      <c r="K87" s="364"/>
      <c r="L87" s="364"/>
      <c r="M87" s="364"/>
      <c r="N87" s="364"/>
      <c r="O87" s="365"/>
      <c r="P87" s="365"/>
      <c r="Q87" s="365"/>
      <c r="R87" s="365"/>
      <c r="S87" s="365"/>
      <c r="T87" s="365"/>
      <c r="U87" s="365"/>
      <c r="V87" s="365"/>
      <c r="W87" s="365"/>
      <c r="X87" s="365"/>
      <c r="Y87" s="365"/>
      <c r="Z87" s="366">
        <f t="shared" si="12"/>
        <v>0</v>
      </c>
      <c r="AA87" s="367">
        <f t="shared" si="12"/>
        <v>0</v>
      </c>
      <c r="AB87" s="369"/>
      <c r="AC87" s="369"/>
      <c r="AD87" s="369"/>
      <c r="AE87" s="369"/>
      <c r="AF87" s="369"/>
      <c r="AG87" s="369"/>
      <c r="AH87" s="369"/>
      <c r="AI87" s="369"/>
      <c r="AJ87" s="369"/>
      <c r="AK87" s="369"/>
      <c r="AL87" s="369"/>
      <c r="AM87" s="369"/>
      <c r="AN87" s="205"/>
      <c r="AO87" s="364"/>
      <c r="AP87" s="364"/>
      <c r="AQ87" s="364"/>
      <c r="AR87" s="364"/>
      <c r="AS87" s="364"/>
      <c r="AT87" s="364"/>
      <c r="AU87" s="364"/>
      <c r="AV87" s="364"/>
      <c r="AW87" s="364"/>
      <c r="AX87" s="364"/>
      <c r="AY87" s="364"/>
      <c r="AZ87" s="364"/>
      <c r="BA87" s="364">
        <v>0</v>
      </c>
      <c r="BB87" s="365"/>
      <c r="BC87" s="365">
        <v>0</v>
      </c>
      <c r="BD87" s="365"/>
      <c r="BE87" s="365">
        <v>0</v>
      </c>
      <c r="BF87" s="365"/>
      <c r="BG87" s="365"/>
      <c r="BH87" s="365"/>
      <c r="BI87" s="365"/>
      <c r="BJ87" s="365"/>
      <c r="BK87" s="365"/>
      <c r="BL87" s="365"/>
      <c r="BM87" s="366">
        <f t="shared" si="13"/>
        <v>0</v>
      </c>
      <c r="BN87" s="367">
        <f t="shared" si="13"/>
        <v>0</v>
      </c>
      <c r="BO87" s="368"/>
      <c r="BP87" s="368"/>
      <c r="BQ87" s="368"/>
      <c r="BR87" s="368"/>
      <c r="BS87" s="369"/>
      <c r="BT87" s="369"/>
      <c r="BU87" s="369"/>
      <c r="BV87" s="369"/>
      <c r="BW87" s="369"/>
      <c r="BX87" s="369"/>
      <c r="BY87" s="369"/>
      <c r="BZ87" s="369"/>
    </row>
    <row r="88" spans="1:78" ht="13.5" customHeight="1">
      <c r="A88" s="372" t="s">
        <v>737</v>
      </c>
      <c r="B88" s="373">
        <f t="shared" ref="B88:AM88" si="14">SUM(B67:B87)</f>
        <v>0</v>
      </c>
      <c r="C88" s="373">
        <f t="shared" si="14"/>
        <v>0</v>
      </c>
      <c r="D88" s="373">
        <f t="shared" si="14"/>
        <v>0</v>
      </c>
      <c r="E88" s="373">
        <f t="shared" si="14"/>
        <v>0</v>
      </c>
      <c r="F88" s="373">
        <f t="shared" si="14"/>
        <v>0</v>
      </c>
      <c r="G88" s="373">
        <f t="shared" si="14"/>
        <v>0</v>
      </c>
      <c r="H88" s="373">
        <f t="shared" si="14"/>
        <v>0</v>
      </c>
      <c r="I88" s="373">
        <f t="shared" si="14"/>
        <v>0</v>
      </c>
      <c r="J88" s="373">
        <f t="shared" si="14"/>
        <v>0</v>
      </c>
      <c r="K88" s="373">
        <f t="shared" si="14"/>
        <v>0</v>
      </c>
      <c r="L88" s="373">
        <f t="shared" si="14"/>
        <v>0</v>
      </c>
      <c r="M88" s="373">
        <f t="shared" si="14"/>
        <v>0</v>
      </c>
      <c r="N88" s="373">
        <f t="shared" si="14"/>
        <v>0</v>
      </c>
      <c r="O88" s="373">
        <f t="shared" si="14"/>
        <v>0</v>
      </c>
      <c r="P88" s="373">
        <f t="shared" si="14"/>
        <v>0</v>
      </c>
      <c r="Q88" s="373">
        <f t="shared" si="14"/>
        <v>0</v>
      </c>
      <c r="R88" s="373">
        <f t="shared" si="14"/>
        <v>0</v>
      </c>
      <c r="S88" s="373">
        <f t="shared" si="14"/>
        <v>0</v>
      </c>
      <c r="T88" s="373">
        <f t="shared" si="14"/>
        <v>0</v>
      </c>
      <c r="U88" s="373">
        <f t="shared" si="14"/>
        <v>0</v>
      </c>
      <c r="V88" s="373">
        <f t="shared" si="14"/>
        <v>0</v>
      </c>
      <c r="W88" s="373">
        <f t="shared" si="14"/>
        <v>0</v>
      </c>
      <c r="X88" s="373">
        <f t="shared" si="14"/>
        <v>0</v>
      </c>
      <c r="Y88" s="373">
        <f t="shared" si="14"/>
        <v>0</v>
      </c>
      <c r="Z88" s="373">
        <f t="shared" si="14"/>
        <v>0</v>
      </c>
      <c r="AA88" s="367">
        <f t="shared" si="14"/>
        <v>0</v>
      </c>
      <c r="AB88" s="373">
        <f t="shared" si="14"/>
        <v>0</v>
      </c>
      <c r="AC88" s="373">
        <f t="shared" si="14"/>
        <v>0</v>
      </c>
      <c r="AD88" s="373">
        <f t="shared" si="14"/>
        <v>0</v>
      </c>
      <c r="AE88" s="373">
        <f t="shared" si="14"/>
        <v>0</v>
      </c>
      <c r="AF88" s="373">
        <f t="shared" si="14"/>
        <v>0</v>
      </c>
      <c r="AG88" s="373">
        <f t="shared" si="14"/>
        <v>0</v>
      </c>
      <c r="AH88" s="373">
        <f t="shared" si="14"/>
        <v>0</v>
      </c>
      <c r="AI88" s="373">
        <f t="shared" si="14"/>
        <v>0</v>
      </c>
      <c r="AJ88" s="373">
        <f t="shared" si="14"/>
        <v>0</v>
      </c>
      <c r="AK88" s="373">
        <f t="shared" si="14"/>
        <v>0</v>
      </c>
      <c r="AL88" s="373">
        <f t="shared" si="14"/>
        <v>0</v>
      </c>
      <c r="AM88" s="373">
        <f t="shared" si="14"/>
        <v>0</v>
      </c>
      <c r="AN88" s="205"/>
      <c r="AO88" s="373">
        <f t="shared" ref="AO88:BZ88" si="15">SUM(AO67:AO87)</f>
        <v>0</v>
      </c>
      <c r="AP88" s="373">
        <f t="shared" si="15"/>
        <v>0</v>
      </c>
      <c r="AQ88" s="373">
        <f t="shared" si="15"/>
        <v>181</v>
      </c>
      <c r="AR88" s="373">
        <f t="shared" si="15"/>
        <v>0</v>
      </c>
      <c r="AS88" s="373">
        <f t="shared" si="15"/>
        <v>469</v>
      </c>
      <c r="AT88" s="373">
        <f t="shared" si="15"/>
        <v>0</v>
      </c>
      <c r="AU88" s="373">
        <f t="shared" si="15"/>
        <v>336</v>
      </c>
      <c r="AV88" s="373">
        <f t="shared" si="15"/>
        <v>0</v>
      </c>
      <c r="AW88" s="373">
        <f t="shared" si="15"/>
        <v>691</v>
      </c>
      <c r="AX88" s="373">
        <f t="shared" si="15"/>
        <v>0</v>
      </c>
      <c r="AY88" s="373">
        <f t="shared" si="15"/>
        <v>355</v>
      </c>
      <c r="AZ88" s="373">
        <f t="shared" si="15"/>
        <v>0</v>
      </c>
      <c r="BA88" s="373">
        <f t="shared" si="15"/>
        <v>674</v>
      </c>
      <c r="BB88" s="373">
        <f t="shared" si="15"/>
        <v>0</v>
      </c>
      <c r="BC88" s="373">
        <f t="shared" si="15"/>
        <v>840</v>
      </c>
      <c r="BD88" s="373">
        <f t="shared" si="15"/>
        <v>0</v>
      </c>
      <c r="BE88" s="373">
        <f t="shared" si="15"/>
        <v>562</v>
      </c>
      <c r="BF88" s="373">
        <f t="shared" si="15"/>
        <v>0</v>
      </c>
      <c r="BG88" s="373">
        <f t="shared" si="15"/>
        <v>185</v>
      </c>
      <c r="BH88" s="373">
        <f t="shared" si="15"/>
        <v>0</v>
      </c>
      <c r="BI88" s="373">
        <f t="shared" si="15"/>
        <v>36</v>
      </c>
      <c r="BJ88" s="373">
        <f t="shared" si="15"/>
        <v>0</v>
      </c>
      <c r="BK88" s="373">
        <f t="shared" si="15"/>
        <v>0</v>
      </c>
      <c r="BL88" s="373">
        <f t="shared" si="15"/>
        <v>0</v>
      </c>
      <c r="BM88" s="375">
        <f t="shared" si="15"/>
        <v>4329</v>
      </c>
      <c r="BN88" s="367">
        <f t="shared" si="15"/>
        <v>0</v>
      </c>
      <c r="BO88" s="367">
        <f t="shared" si="15"/>
        <v>0</v>
      </c>
      <c r="BP88" s="367">
        <f t="shared" si="15"/>
        <v>0</v>
      </c>
      <c r="BQ88" s="367">
        <f t="shared" si="15"/>
        <v>0</v>
      </c>
      <c r="BR88" s="367">
        <f t="shared" si="15"/>
        <v>0</v>
      </c>
      <c r="BS88" s="373">
        <f t="shared" si="15"/>
        <v>0</v>
      </c>
      <c r="BT88" s="373">
        <f t="shared" si="15"/>
        <v>0</v>
      </c>
      <c r="BU88" s="373">
        <f t="shared" si="15"/>
        <v>0</v>
      </c>
      <c r="BV88" s="373">
        <f t="shared" si="15"/>
        <v>0</v>
      </c>
      <c r="BW88" s="373">
        <f t="shared" si="15"/>
        <v>0</v>
      </c>
      <c r="BX88" s="373">
        <f t="shared" si="15"/>
        <v>0</v>
      </c>
      <c r="BY88" s="373">
        <f t="shared" si="15"/>
        <v>0</v>
      </c>
      <c r="BZ88" s="373">
        <f t="shared" si="15"/>
        <v>0</v>
      </c>
    </row>
    <row r="89" spans="1:78" ht="13.5" customHeight="1">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row>
    <row r="90" spans="1:78" ht="13.5" customHeight="1">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05"/>
      <c r="BC90" s="205"/>
      <c r="BD90" s="205"/>
      <c r="BE90" s="205"/>
      <c r="BF90" s="205"/>
      <c r="BG90" s="205"/>
      <c r="BH90" s="205"/>
      <c r="BI90" s="205"/>
      <c r="BJ90" s="205"/>
      <c r="BK90" s="205"/>
      <c r="BL90" s="205"/>
      <c r="BM90" s="205"/>
      <c r="BN90" s="205"/>
      <c r="BO90" s="205"/>
      <c r="BP90" s="205"/>
      <c r="BQ90" s="205"/>
      <c r="BR90" s="205"/>
      <c r="BS90" s="205"/>
      <c r="BT90" s="205"/>
      <c r="BU90" s="205"/>
      <c r="BV90" s="205"/>
      <c r="BW90" s="205"/>
      <c r="BX90" s="205"/>
      <c r="BY90" s="205"/>
      <c r="BZ90" s="205"/>
    </row>
    <row r="91" spans="1:78" ht="13.5" customHeight="1">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05"/>
      <c r="BC91" s="205"/>
      <c r="BD91" s="205"/>
      <c r="BE91" s="205"/>
      <c r="BF91" s="205"/>
      <c r="BG91" s="205"/>
      <c r="BH91" s="205"/>
      <c r="BI91" s="205"/>
      <c r="BJ91" s="205"/>
      <c r="BK91" s="205"/>
      <c r="BL91" s="205"/>
      <c r="BM91" s="205"/>
      <c r="BN91" s="205"/>
      <c r="BO91" s="205"/>
      <c r="BP91" s="205"/>
      <c r="BQ91" s="205"/>
      <c r="BR91" s="205"/>
      <c r="BS91" s="205"/>
      <c r="BT91" s="205"/>
      <c r="BU91" s="205"/>
      <c r="BV91" s="205"/>
      <c r="BW91" s="205"/>
      <c r="BX91" s="205"/>
      <c r="BY91" s="205"/>
      <c r="BZ91" s="205"/>
    </row>
    <row r="92" spans="1:78" ht="13.5" customHeight="1">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205"/>
      <c r="BT92" s="205"/>
      <c r="BU92" s="205"/>
      <c r="BV92" s="205"/>
      <c r="BW92" s="205"/>
      <c r="BX92" s="205"/>
      <c r="BY92" s="205"/>
      <c r="BZ92" s="205"/>
    </row>
    <row r="93" spans="1:78" ht="13.5" customHeight="1">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row>
    <row r="94" spans="1:78" ht="13.5" customHeight="1">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05"/>
      <c r="BC94" s="205"/>
      <c r="BD94" s="205"/>
      <c r="BE94" s="205"/>
      <c r="BF94" s="205"/>
      <c r="BG94" s="205"/>
      <c r="BH94" s="205"/>
      <c r="BI94" s="205"/>
      <c r="BJ94" s="205"/>
      <c r="BK94" s="205"/>
      <c r="BL94" s="205"/>
      <c r="BM94" s="205"/>
      <c r="BN94" s="205"/>
      <c r="BO94" s="205"/>
      <c r="BP94" s="205"/>
      <c r="BQ94" s="205"/>
      <c r="BR94" s="205"/>
      <c r="BS94" s="205"/>
      <c r="BT94" s="205"/>
      <c r="BU94" s="205"/>
      <c r="BV94" s="205"/>
      <c r="BW94" s="205"/>
      <c r="BX94" s="205"/>
      <c r="BY94" s="205"/>
      <c r="BZ94" s="205"/>
    </row>
    <row r="95" spans="1:78" ht="13.5" customHeight="1">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05"/>
      <c r="BC95" s="205"/>
      <c r="BD95" s="205"/>
      <c r="BE95" s="205"/>
      <c r="BF95" s="205"/>
      <c r="BG95" s="205"/>
      <c r="BH95" s="205"/>
      <c r="BI95" s="205"/>
      <c r="BJ95" s="205"/>
      <c r="BK95" s="205"/>
      <c r="BL95" s="205"/>
      <c r="BM95" s="205"/>
      <c r="BN95" s="205"/>
      <c r="BO95" s="205"/>
      <c r="BP95" s="205"/>
      <c r="BQ95" s="205"/>
      <c r="BR95" s="205"/>
      <c r="BS95" s="205"/>
      <c r="BT95" s="205"/>
      <c r="BU95" s="205"/>
      <c r="BV95" s="205"/>
      <c r="BW95" s="205"/>
      <c r="BX95" s="205"/>
      <c r="BY95" s="205"/>
      <c r="BZ95" s="205"/>
    </row>
    <row r="96" spans="1:78" ht="13.5" customHeight="1">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05"/>
      <c r="BC96" s="205"/>
      <c r="BD96" s="205"/>
      <c r="BE96" s="205"/>
      <c r="BF96" s="205"/>
      <c r="BG96" s="205"/>
      <c r="BH96" s="205"/>
      <c r="BI96" s="205"/>
      <c r="BJ96" s="205"/>
      <c r="BK96" s="205"/>
      <c r="BL96" s="205"/>
      <c r="BM96" s="205"/>
      <c r="BN96" s="205"/>
      <c r="BO96" s="205"/>
      <c r="BP96" s="205"/>
      <c r="BQ96" s="205"/>
      <c r="BR96" s="205"/>
      <c r="BS96" s="205"/>
      <c r="BT96" s="205"/>
      <c r="BU96" s="205"/>
      <c r="BV96" s="205"/>
      <c r="BW96" s="205"/>
      <c r="BX96" s="205"/>
      <c r="BY96" s="205"/>
      <c r="BZ96" s="205"/>
    </row>
    <row r="97" spans="1:78" ht="13.5" customHeight="1">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05"/>
      <c r="BC97" s="205"/>
      <c r="BD97" s="205"/>
      <c r="BE97" s="205"/>
      <c r="BF97" s="205"/>
      <c r="BG97" s="205"/>
      <c r="BH97" s="205"/>
      <c r="BI97" s="205"/>
      <c r="BJ97" s="205"/>
      <c r="BK97" s="205"/>
      <c r="BL97" s="205"/>
      <c r="BM97" s="205"/>
      <c r="BN97" s="205"/>
      <c r="BO97" s="205"/>
      <c r="BP97" s="205"/>
      <c r="BQ97" s="205"/>
      <c r="BR97" s="205"/>
      <c r="BS97" s="205"/>
      <c r="BT97" s="205"/>
      <c r="BU97" s="205"/>
      <c r="BV97" s="205"/>
      <c r="BW97" s="205"/>
      <c r="BX97" s="205"/>
      <c r="BY97" s="205"/>
      <c r="BZ97" s="205"/>
    </row>
    <row r="98" spans="1:78" ht="13.5" customHeight="1">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05"/>
      <c r="BC98" s="205"/>
      <c r="BD98" s="205"/>
      <c r="BE98" s="205"/>
      <c r="BF98" s="205"/>
      <c r="BG98" s="205"/>
      <c r="BH98" s="205"/>
      <c r="BI98" s="205"/>
      <c r="BJ98" s="205"/>
      <c r="BK98" s="205"/>
      <c r="BL98" s="205"/>
      <c r="BM98" s="205"/>
      <c r="BN98" s="205"/>
      <c r="BO98" s="205"/>
      <c r="BP98" s="205"/>
      <c r="BQ98" s="205"/>
      <c r="BR98" s="205"/>
      <c r="BS98" s="205"/>
      <c r="BT98" s="205"/>
      <c r="BU98" s="205"/>
      <c r="BV98" s="205"/>
      <c r="BW98" s="205"/>
      <c r="BX98" s="205"/>
      <c r="BY98" s="205"/>
      <c r="BZ98" s="205"/>
    </row>
    <row r="99" spans="1:78" ht="13.5" customHeight="1">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I99" s="205"/>
      <c r="BJ99" s="205"/>
      <c r="BK99" s="205"/>
      <c r="BL99" s="205"/>
      <c r="BM99" s="205"/>
      <c r="BN99" s="205"/>
      <c r="BO99" s="205"/>
      <c r="BP99" s="205"/>
      <c r="BQ99" s="205"/>
      <c r="BR99" s="205"/>
      <c r="BS99" s="205"/>
      <c r="BT99" s="205"/>
      <c r="BU99" s="205"/>
      <c r="BV99" s="205"/>
      <c r="BW99" s="205"/>
      <c r="BX99" s="205"/>
      <c r="BY99" s="205"/>
      <c r="BZ99" s="205"/>
    </row>
    <row r="100" spans="1:78" ht="13.5" customHeight="1">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I100" s="205"/>
      <c r="BJ100" s="205"/>
      <c r="BK100" s="205"/>
      <c r="BL100" s="205"/>
      <c r="BM100" s="205"/>
      <c r="BN100" s="205"/>
      <c r="BO100" s="205"/>
      <c r="BP100" s="205"/>
      <c r="BQ100" s="205"/>
      <c r="BR100" s="205"/>
      <c r="BS100" s="205"/>
      <c r="BT100" s="205"/>
      <c r="BU100" s="205"/>
      <c r="BV100" s="205"/>
      <c r="BW100" s="205"/>
      <c r="BX100" s="205"/>
      <c r="BY100" s="205"/>
      <c r="BZ100" s="205"/>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rintOptions horizontalCentered="1" verticalCentered="1"/>
  <pageMargins left="0.23622047244094491" right="0.23622047244094491" top="0.74803149606299213" bottom="0.74803149606299213" header="0.31496062992125984" footer="0.31496062992125984"/>
  <pageSetup paperSize="5" scale="36" orientation="landscape" r:id="rId1"/>
  <rowBreaks count="1" manualBreakCount="1">
    <brk id="60" max="7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2.xml><?xml version="1.0" encoding="utf-8"?>
<ds:datastoreItem xmlns:ds="http://schemas.openxmlformats.org/officeDocument/2006/customXml" ds:itemID="{7F35D61A-E2A0-4E09-B780-C2EAD445D1DE}">
  <ds:schemaRefs>
    <ds:schemaRef ds:uri="http://schemas.microsoft.com/sharepoint/v3/contenttype/forms"/>
  </ds:schemaRefs>
</ds:datastoreItem>
</file>

<file path=customXml/itemProps3.xml><?xml version="1.0" encoding="utf-8"?>
<ds:datastoreItem xmlns:ds="http://schemas.openxmlformats.org/officeDocument/2006/customXml" ds:itemID="{13E70745-BC4E-4189-8BEB-207176F7AE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Indicadores PA</vt:lpstr>
      <vt:lpstr>Metas 1</vt:lpstr>
      <vt:lpstr>Meta 1..n</vt:lpstr>
      <vt:lpstr>Metas 2</vt:lpstr>
      <vt:lpstr>Metas 3</vt:lpstr>
      <vt:lpstr>Metas 4 (Contrato relevos)</vt:lpstr>
      <vt:lpstr>Metas 5</vt:lpstr>
      <vt:lpstr>Ptto2022</vt:lpstr>
      <vt:lpstr>Indic Gestión SPI</vt:lpstr>
      <vt:lpstr>ejec31may</vt:lpstr>
      <vt:lpstr>Metas 6 (ONU Mujeres)</vt:lpstr>
      <vt:lpstr>Metas 7 (Unidades Moviles)</vt:lpstr>
      <vt:lpstr>Relevos 2021-2022</vt:lpstr>
      <vt:lpstr>Manzanas2020-2022</vt:lpstr>
      <vt:lpstr>Formación 2020-2022</vt:lpstr>
      <vt:lpstr>Instructivo</vt:lpstr>
      <vt:lpstr>Generalidades</vt:lpstr>
      <vt:lpstr>Hoja13</vt:lpstr>
      <vt:lpstr>Hoja1</vt:lpstr>
      <vt:lpstr>Territorialización PA - PMR</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cp:lastPrinted>2022-12-07T19:52:49Z</cp:lastPrinted>
  <dcterms:created xsi:type="dcterms:W3CDTF">2011-04-26T22:16:52Z</dcterms:created>
  <dcterms:modified xsi:type="dcterms:W3CDTF">2022-12-13T02:26:21Z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