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secretariadistritald-my.sharepoint.com/personal/aforero_sdmujer_gov_co/Documents/SDM/SDM 2022/01 PROYECTOS DE INVERSIÓN/7673/PLAN DE ACCIÓN/"/>
    </mc:Choice>
  </mc:AlternateContent>
  <xr:revisionPtr revIDLastSave="30" documentId="8_{3D98E19A-0DAB-4730-9E2A-945627DAF780}" xr6:coauthVersionLast="47" xr6:coauthVersionMax="47" xr10:uidLastSave="{E2BF1D94-8BD9-410F-B621-C2D316A825D8}"/>
  <bookViews>
    <workbookView xWindow="-120" yWindow="-120" windowWidth="20730" windowHeight="11160" tabRatio="853" activeTab="3" xr2:uid="{00000000-000D-0000-FFFF-FFFF00000000}"/>
  </bookViews>
  <sheets>
    <sheet name="Meta 1" sheetId="43" r:id="rId1"/>
    <sheet name="Meta 2" sheetId="41" r:id="rId2"/>
    <sheet name="Meta 3" sheetId="42" r:id="rId3"/>
    <sheet name="Meta 4" sheetId="40" r:id="rId4"/>
    <sheet name="Meta 1..n" sheetId="1" state="hidden" r:id="rId5"/>
    <sheet name="Territorialización PA" sheetId="53" r:id="rId6"/>
    <sheet name="Indicadores PA" sheetId="36" r:id="rId7"/>
    <sheet name="Prog.Pptal" sheetId="46" r:id="rId8"/>
    <sheet name="Reserva" sheetId="54" r:id="rId9"/>
    <sheet name="Vigencia" sheetId="47" r:id="rId10"/>
    <sheet name="Avance PDD" sheetId="50" r:id="rId11"/>
    <sheet name="Instructivo" sheetId="39" r:id="rId12"/>
    <sheet name="Generalidades" sheetId="38" r:id="rId13"/>
    <sheet name="Hoja2" sheetId="51" r:id="rId14"/>
    <sheet name="Hoja13" sheetId="32" state="hidden" r:id="rId15"/>
    <sheet name="Hoja1" sheetId="20" state="hidden" r:id="rId16"/>
  </sheets>
  <definedNames>
    <definedName name="_xlnm._FilterDatabase" localSheetId="6" hidden="1">'Indicadores PA'!$A$12:$AX$12</definedName>
    <definedName name="_xlnm._FilterDatabase" localSheetId="9" hidden="1">Vigencia!$A$1:$BB$78</definedName>
    <definedName name="_xlnm.Print_Area" localSheetId="0">'Meta 1'!$A$1:$AD$49</definedName>
    <definedName name="_xlnm.Print_Area" localSheetId="1">'Meta 2'!$A$1:$AD$39</definedName>
    <definedName name="_xlnm.Print_Area" localSheetId="2">'Meta 3'!$A$1:$AD$47</definedName>
    <definedName name="_xlnm.Print_Area" localSheetId="3">'Meta 4'!$A$1:$AD$45</definedName>
    <definedName name="_xlnm.Print_Area" localSheetId="5">'Territorialización PA'!$A$1:$CG$61</definedName>
    <definedName name="_xlnm.Print_Titles" localSheetId="6">'Indicadores PA'!$1:$12</definedName>
    <definedName name="_xlnm.Print_Titles" localSheetId="5">'Territorialización PA'!$1:$4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5" i="42" l="1"/>
  <c r="O25" i="43"/>
  <c r="J25" i="43"/>
  <c r="AM5" i="54"/>
  <c r="AR35" i="40"/>
  <c r="AR61" i="42"/>
  <c r="AR57" i="42"/>
  <c r="AR53" i="42"/>
  <c r="AR48" i="42"/>
  <c r="AR45" i="42"/>
  <c r="AR35" i="42"/>
  <c r="AM35" i="41"/>
  <c r="AP35" i="43"/>
  <c r="K43" i="40"/>
  <c r="P43" i="40" s="1"/>
  <c r="BU40" i="53"/>
  <c r="C132" i="53"/>
  <c r="F6" i="46"/>
  <c r="F5" i="46"/>
  <c r="F4" i="46"/>
  <c r="F3" i="46"/>
  <c r="AT23" i="36" l="1"/>
  <c r="AQ35" i="40"/>
  <c r="AO35" i="43"/>
  <c r="I25" i="43"/>
  <c r="I25" i="42"/>
  <c r="BI37" i="54"/>
  <c r="BI36" i="54"/>
  <c r="AM36" i="54"/>
  <c r="BA41" i="54"/>
  <c r="AM41" i="54"/>
  <c r="AK47" i="54"/>
  <c r="AJ47" i="54"/>
  <c r="AI47" i="54"/>
  <c r="AM47" i="54"/>
  <c r="AL47" i="54"/>
  <c r="BA36" i="54"/>
  <c r="BA34" i="54"/>
  <c r="AN36" i="54"/>
  <c r="AT26" i="36"/>
  <c r="J44" i="40"/>
  <c r="J42" i="40"/>
  <c r="AQ45" i="42"/>
  <c r="AP45" i="42"/>
  <c r="AQ57" i="42"/>
  <c r="AQ61" i="42"/>
  <c r="AQ53" i="42"/>
  <c r="AQ48" i="42"/>
  <c r="AQ35" i="42"/>
  <c r="P47" i="42"/>
  <c r="P46" i="42"/>
  <c r="P45" i="42"/>
  <c r="P44" i="42"/>
  <c r="P43" i="42"/>
  <c r="P42" i="42"/>
  <c r="P41" i="42"/>
  <c r="P40" i="42"/>
  <c r="P39" i="42"/>
  <c r="P38" i="42"/>
  <c r="AB24" i="42"/>
  <c r="W22" i="43"/>
  <c r="AB24" i="41"/>
  <c r="AA24" i="41"/>
  <c r="Y24" i="41"/>
  <c r="W22" i="41"/>
  <c r="AB24" i="43"/>
  <c r="AL35" i="41"/>
  <c r="C122" i="53"/>
  <c r="BS32" i="53"/>
  <c r="BR32" i="53"/>
  <c r="BQ32" i="53"/>
  <c r="BP32" i="53"/>
  <c r="BO32" i="53"/>
  <c r="BN32" i="53"/>
  <c r="BM32" i="53"/>
  <c r="BL32" i="53"/>
  <c r="BK32" i="53"/>
  <c r="BJ32" i="53"/>
  <c r="BI32" i="53"/>
  <c r="BH32" i="53"/>
  <c r="BE32" i="53"/>
  <c r="BD32" i="53"/>
  <c r="BC32" i="53"/>
  <c r="BB32" i="53"/>
  <c r="BA32" i="53"/>
  <c r="AX32" i="53"/>
  <c r="AV32" i="53"/>
  <c r="AU32" i="53"/>
  <c r="AT32" i="53"/>
  <c r="AQ32" i="53"/>
  <c r="AP32" i="53"/>
  <c r="AO32" i="53"/>
  <c r="AN32" i="53"/>
  <c r="AM32" i="53"/>
  <c r="AL32" i="53"/>
  <c r="AK32" i="53"/>
  <c r="AJ32" i="53"/>
  <c r="AI32" i="53"/>
  <c r="AH32" i="53"/>
  <c r="AG32" i="53"/>
  <c r="AF32" i="53"/>
  <c r="AA32" i="53"/>
  <c r="Z32" i="53"/>
  <c r="Y32" i="53"/>
  <c r="X32" i="53"/>
  <c r="W32" i="53"/>
  <c r="T32" i="53"/>
  <c r="S32" i="53"/>
  <c r="R32" i="53"/>
  <c r="Q32" i="53"/>
  <c r="P32" i="53"/>
  <c r="M32" i="53"/>
  <c r="L32" i="53"/>
  <c r="K32" i="53"/>
  <c r="J32" i="53"/>
  <c r="I32" i="53"/>
  <c r="F32" i="53"/>
  <c r="E32" i="53"/>
  <c r="D32" i="53"/>
  <c r="C32" i="53"/>
  <c r="B32" i="53"/>
  <c r="BT31" i="53"/>
  <c r="BG31" i="53"/>
  <c r="BF31" i="53"/>
  <c r="AZ31" i="53"/>
  <c r="BU31" i="53" s="1"/>
  <c r="AY31" i="53"/>
  <c r="AD31" i="53"/>
  <c r="AC31" i="53"/>
  <c r="AE31" i="53" s="1"/>
  <c r="V31" i="53"/>
  <c r="O31" i="53"/>
  <c r="H31" i="53"/>
  <c r="G31" i="53"/>
  <c r="N31" i="53" s="1"/>
  <c r="U31" i="53" s="1"/>
  <c r="AB31" i="53" s="1"/>
  <c r="BT30" i="53"/>
  <c r="BG30" i="53"/>
  <c r="BF30" i="53"/>
  <c r="AZ30" i="53"/>
  <c r="BU30" i="53" s="1"/>
  <c r="AY30" i="53"/>
  <c r="AD30" i="53"/>
  <c r="AC30" i="53"/>
  <c r="AE30" i="53" s="1"/>
  <c r="V30" i="53"/>
  <c r="O30" i="53"/>
  <c r="H30" i="53"/>
  <c r="G30" i="53"/>
  <c r="N30" i="53" s="1"/>
  <c r="U30" i="53" s="1"/>
  <c r="AB30" i="53" s="1"/>
  <c r="BT29" i="53"/>
  <c r="BG29" i="53"/>
  <c r="BF29" i="53"/>
  <c r="AZ29" i="53"/>
  <c r="BU29" i="53" s="1"/>
  <c r="AY29" i="53"/>
  <c r="AD29" i="53"/>
  <c r="AC29" i="53"/>
  <c r="AE29" i="53" s="1"/>
  <c r="V29" i="53"/>
  <c r="O29" i="53"/>
  <c r="H29" i="53"/>
  <c r="G29" i="53"/>
  <c r="N29" i="53" s="1"/>
  <c r="U29" i="53" s="1"/>
  <c r="AB29" i="53" s="1"/>
  <c r="BT28" i="53"/>
  <c r="BG28" i="53"/>
  <c r="BF28" i="53"/>
  <c r="AZ28" i="53"/>
  <c r="BU28" i="53" s="1"/>
  <c r="AY28" i="53"/>
  <c r="AD28" i="53"/>
  <c r="AC28" i="53"/>
  <c r="AE28" i="53" s="1"/>
  <c r="V28" i="53"/>
  <c r="O28" i="53"/>
  <c r="H28" i="53"/>
  <c r="G28" i="53"/>
  <c r="N28" i="53" s="1"/>
  <c r="U28" i="53" s="1"/>
  <c r="AB28" i="53" s="1"/>
  <c r="BT27" i="53"/>
  <c r="BG27" i="53"/>
  <c r="BF27" i="53"/>
  <c r="AZ27" i="53"/>
  <c r="BU27" i="53" s="1"/>
  <c r="AY27" i="53"/>
  <c r="AD27" i="53"/>
  <c r="AC27" i="53"/>
  <c r="AE27" i="53" s="1"/>
  <c r="V27" i="53"/>
  <c r="O27" i="53"/>
  <c r="H27" i="53"/>
  <c r="G27" i="53"/>
  <c r="N27" i="53" s="1"/>
  <c r="U27" i="53" s="1"/>
  <c r="AB27" i="53" s="1"/>
  <c r="BT26" i="53"/>
  <c r="BG26" i="53"/>
  <c r="BF26" i="53"/>
  <c r="AZ26" i="53"/>
  <c r="BU26" i="53" s="1"/>
  <c r="AY26" i="53"/>
  <c r="AD26" i="53"/>
  <c r="AC26" i="53"/>
  <c r="AE26" i="53" s="1"/>
  <c r="V26" i="53"/>
  <c r="O26" i="53"/>
  <c r="H26" i="53"/>
  <c r="G26" i="53"/>
  <c r="N26" i="53" s="1"/>
  <c r="U26" i="53" s="1"/>
  <c r="AB26" i="53" s="1"/>
  <c r="BT25" i="53"/>
  <c r="BG25" i="53"/>
  <c r="BF25" i="53"/>
  <c r="AZ25" i="53"/>
  <c r="BU25" i="53" s="1"/>
  <c r="AY25" i="53"/>
  <c r="AD25" i="53"/>
  <c r="AC25" i="53"/>
  <c r="AE25" i="53" s="1"/>
  <c r="V25" i="53"/>
  <c r="O25" i="53"/>
  <c r="H25" i="53"/>
  <c r="G25" i="53"/>
  <c r="N25" i="53" s="1"/>
  <c r="U25" i="53" s="1"/>
  <c r="AB25" i="53" s="1"/>
  <c r="BT24" i="53"/>
  <c r="BG24" i="53"/>
  <c r="BF24" i="53"/>
  <c r="AZ24" i="53"/>
  <c r="BU24" i="53" s="1"/>
  <c r="AY24" i="53"/>
  <c r="AD24" i="53"/>
  <c r="AC24" i="53"/>
  <c r="AE24" i="53" s="1"/>
  <c r="V24" i="53"/>
  <c r="O24" i="53"/>
  <c r="H24" i="53"/>
  <c r="G24" i="53"/>
  <c r="N24" i="53" s="1"/>
  <c r="U24" i="53" s="1"/>
  <c r="AB24" i="53" s="1"/>
  <c r="BT23" i="53"/>
  <c r="BG23" i="53"/>
  <c r="BF23" i="53"/>
  <c r="AZ23" i="53"/>
  <c r="BU23" i="53" s="1"/>
  <c r="AY23" i="53"/>
  <c r="AD23" i="53"/>
  <c r="AC23" i="53"/>
  <c r="AE23" i="53" s="1"/>
  <c r="V23" i="53"/>
  <c r="O23" i="53"/>
  <c r="N23" i="53"/>
  <c r="U23" i="53" s="1"/>
  <c r="AB23" i="53"/>
  <c r="H23" i="53"/>
  <c r="G23" i="53"/>
  <c r="BT22" i="53"/>
  <c r="BG22" i="53"/>
  <c r="BF22" i="53"/>
  <c r="AZ22" i="53"/>
  <c r="AY22" i="53"/>
  <c r="AD22" i="53"/>
  <c r="AC22" i="53"/>
  <c r="AE22" i="53" s="1"/>
  <c r="V22" i="53"/>
  <c r="O22" i="53"/>
  <c r="N22" i="53"/>
  <c r="U22" i="53" s="1"/>
  <c r="AB22" i="53" s="1"/>
  <c r="H22" i="53"/>
  <c r="G22" i="53"/>
  <c r="BT21" i="53"/>
  <c r="BG21" i="53"/>
  <c r="BF21" i="53"/>
  <c r="AZ21" i="53"/>
  <c r="AY21" i="53"/>
  <c r="AD21" i="53"/>
  <c r="AC21" i="53"/>
  <c r="AE21" i="53" s="1"/>
  <c r="V21" i="53"/>
  <c r="O21" i="53"/>
  <c r="H21" i="53"/>
  <c r="G21" i="53"/>
  <c r="N21" i="53" s="1"/>
  <c r="U21" i="53" s="1"/>
  <c r="AB21" i="53" s="1"/>
  <c r="BT20" i="53"/>
  <c r="BG20" i="53"/>
  <c r="BF20" i="53"/>
  <c r="AZ20" i="53"/>
  <c r="BU20" i="53" s="1"/>
  <c r="AY20" i="53"/>
  <c r="AD20" i="53"/>
  <c r="AC20" i="53"/>
  <c r="AE20" i="53" s="1"/>
  <c r="V20" i="53"/>
  <c r="O20" i="53"/>
  <c r="H20" i="53"/>
  <c r="G20" i="53"/>
  <c r="N20" i="53" s="1"/>
  <c r="U20" i="53" s="1"/>
  <c r="AB20" i="53" s="1"/>
  <c r="BT19" i="53"/>
  <c r="BG19" i="53"/>
  <c r="BF19" i="53"/>
  <c r="AZ19" i="53"/>
  <c r="BU19" i="53" s="1"/>
  <c r="AY19" i="53"/>
  <c r="AD19" i="53"/>
  <c r="AC19" i="53"/>
  <c r="AE19" i="53" s="1"/>
  <c r="V19" i="53"/>
  <c r="O19" i="53"/>
  <c r="N19" i="53"/>
  <c r="U19" i="53" s="1"/>
  <c r="AB19" i="53"/>
  <c r="H19" i="53"/>
  <c r="G19" i="53"/>
  <c r="BT18" i="53"/>
  <c r="BG18" i="53"/>
  <c r="BF18" i="53"/>
  <c r="AZ18" i="53"/>
  <c r="AY18" i="53"/>
  <c r="AD18" i="53"/>
  <c r="AC18" i="53"/>
  <c r="AE18" i="53" s="1"/>
  <c r="V18" i="53"/>
  <c r="O18" i="53"/>
  <c r="N18" i="53"/>
  <c r="U18" i="53" s="1"/>
  <c r="AB18" i="53" s="1"/>
  <c r="H18" i="53"/>
  <c r="G18" i="53"/>
  <c r="BT17" i="53"/>
  <c r="BG17" i="53"/>
  <c r="BF17" i="53"/>
  <c r="AZ17" i="53"/>
  <c r="AY17" i="53"/>
  <c r="AD17" i="53"/>
  <c r="AC17" i="53"/>
  <c r="AE17" i="53" s="1"/>
  <c r="V17" i="53"/>
  <c r="O17" i="53"/>
  <c r="H17" i="53"/>
  <c r="G17" i="53"/>
  <c r="N17" i="53" s="1"/>
  <c r="U17" i="53" s="1"/>
  <c r="AB17" i="53" s="1"/>
  <c r="BT16" i="53"/>
  <c r="BG16" i="53"/>
  <c r="BF16" i="53"/>
  <c r="AZ16" i="53"/>
  <c r="BU16" i="53" s="1"/>
  <c r="AY16" i="53"/>
  <c r="AD16" i="53"/>
  <c r="AC16" i="53"/>
  <c r="AE16" i="53" s="1"/>
  <c r="V16" i="53"/>
  <c r="V32" i="53" s="1"/>
  <c r="O16" i="53"/>
  <c r="H16" i="53"/>
  <c r="G16" i="53"/>
  <c r="N16" i="53" s="1"/>
  <c r="U16" i="53" s="1"/>
  <c r="AB16" i="53" s="1"/>
  <c r="BT15" i="53"/>
  <c r="BG15" i="53"/>
  <c r="BF15" i="53"/>
  <c r="AZ15" i="53"/>
  <c r="BU15" i="53" s="1"/>
  <c r="AY15" i="53"/>
  <c r="AD15" i="53"/>
  <c r="AC15" i="53"/>
  <c r="AE15" i="53" s="1"/>
  <c r="V15" i="53"/>
  <c r="O15" i="53"/>
  <c r="N15" i="53"/>
  <c r="U15" i="53" s="1"/>
  <c r="AB15" i="53"/>
  <c r="H15" i="53"/>
  <c r="G15" i="53"/>
  <c r="BT14" i="53"/>
  <c r="BG14" i="53"/>
  <c r="BF14" i="53"/>
  <c r="AZ14" i="53"/>
  <c r="AY14" i="53"/>
  <c r="AD14" i="53"/>
  <c r="AC14" i="53"/>
  <c r="AE14" i="53" s="1"/>
  <c r="V14" i="53"/>
  <c r="O14" i="53"/>
  <c r="N14" i="53"/>
  <c r="U14" i="53" s="1"/>
  <c r="AB14" i="53" s="1"/>
  <c r="H14" i="53"/>
  <c r="G14" i="53"/>
  <c r="BT13" i="53"/>
  <c r="BG13" i="53"/>
  <c r="BF13" i="53"/>
  <c r="AZ13" i="53"/>
  <c r="AY13" i="53"/>
  <c r="AD13" i="53"/>
  <c r="AC13" i="53"/>
  <c r="AE13" i="53" s="1"/>
  <c r="V13" i="53"/>
  <c r="O13" i="53"/>
  <c r="H13" i="53"/>
  <c r="G13" i="53"/>
  <c r="N13" i="53" s="1"/>
  <c r="U13" i="53" s="1"/>
  <c r="AB13" i="53" s="1"/>
  <c r="BT12" i="53"/>
  <c r="BF12" i="53"/>
  <c r="BG12" i="53" s="1"/>
  <c r="AZ12" i="53"/>
  <c r="AY12" i="53"/>
  <c r="AE12" i="53"/>
  <c r="AD12" i="53"/>
  <c r="AC12" i="53"/>
  <c r="V12" i="53"/>
  <c r="O12" i="53"/>
  <c r="O32" i="53"/>
  <c r="U12" i="53"/>
  <c r="AB12" i="53" s="1"/>
  <c r="H12" i="53"/>
  <c r="H32" i="53" s="1"/>
  <c r="G12" i="53"/>
  <c r="N12" i="53" s="1"/>
  <c r="BT11" i="53"/>
  <c r="BT32" i="53" s="1"/>
  <c r="BF11" i="53"/>
  <c r="BF32" i="53" s="1"/>
  <c r="AY11" i="53"/>
  <c r="AY32" i="53" s="1"/>
  <c r="AD11" i="53"/>
  <c r="AD32" i="53"/>
  <c r="G11" i="53"/>
  <c r="B59" i="40"/>
  <c r="A59" i="40"/>
  <c r="B57" i="40"/>
  <c r="A57" i="40"/>
  <c r="B55" i="40"/>
  <c r="A55" i="40"/>
  <c r="B53" i="40"/>
  <c r="A53" i="40"/>
  <c r="P45" i="40"/>
  <c r="N44" i="40"/>
  <c r="M44" i="40"/>
  <c r="L44" i="40"/>
  <c r="K44" i="40"/>
  <c r="I44" i="40"/>
  <c r="H44" i="40"/>
  <c r="G44" i="40"/>
  <c r="F44" i="40"/>
  <c r="L42" i="40"/>
  <c r="K42" i="40"/>
  <c r="I42" i="40"/>
  <c r="H42" i="40"/>
  <c r="G42" i="40"/>
  <c r="F42" i="40"/>
  <c r="P41" i="40"/>
  <c r="G40" i="40"/>
  <c r="F40" i="40"/>
  <c r="P39" i="40"/>
  <c r="G38" i="40"/>
  <c r="P38" i="40" s="1"/>
  <c r="O54" i="40" s="1"/>
  <c r="F38" i="40"/>
  <c r="AP35" i="40"/>
  <c r="AO35" i="40"/>
  <c r="AN35" i="40"/>
  <c r="AM35" i="40"/>
  <c r="AL35" i="40"/>
  <c r="B34" i="40"/>
  <c r="P30" i="40"/>
  <c r="A30" i="40"/>
  <c r="AC25" i="40"/>
  <c r="O25" i="40"/>
  <c r="AB24" i="40"/>
  <c r="AC24" i="40" s="1"/>
  <c r="AD25" i="40" s="1"/>
  <c r="O24" i="40"/>
  <c r="AC23" i="40"/>
  <c r="O23" i="40"/>
  <c r="P23" i="40" s="1"/>
  <c r="AC22" i="40"/>
  <c r="O22" i="40"/>
  <c r="N11" i="53"/>
  <c r="AT24" i="36"/>
  <c r="AU24" i="36"/>
  <c r="AM17" i="36"/>
  <c r="C113" i="53"/>
  <c r="E107" i="47"/>
  <c r="E106" i="47"/>
  <c r="E108" i="47"/>
  <c r="E109" i="47"/>
  <c r="H25" i="42"/>
  <c r="H25" i="43"/>
  <c r="AM18" i="54"/>
  <c r="AO18" i="54" s="1"/>
  <c r="AM3" i="54"/>
  <c r="BB47" i="54"/>
  <c r="AW47" i="54"/>
  <c r="BD46" i="54"/>
  <c r="BF46" i="54" s="1"/>
  <c r="BD45" i="54"/>
  <c r="BF45" i="54"/>
  <c r="AV45" i="54"/>
  <c r="AY45" i="54" s="1"/>
  <c r="AN45" i="54"/>
  <c r="B45" i="54"/>
  <c r="BA44" i="54"/>
  <c r="BD44" i="54"/>
  <c r="BF44" i="54" s="1"/>
  <c r="AV44" i="54"/>
  <c r="AY44" i="54" s="1"/>
  <c r="AN44" i="54"/>
  <c r="B44" i="54"/>
  <c r="BD43" i="54"/>
  <c r="BF43" i="54" s="1"/>
  <c r="AV43" i="54"/>
  <c r="AY43" i="54"/>
  <c r="AN43" i="54"/>
  <c r="B43" i="54"/>
  <c r="BD42" i="54"/>
  <c r="BF42" i="54"/>
  <c r="AV42" i="54"/>
  <c r="AY42" i="54" s="1"/>
  <c r="AN42" i="54"/>
  <c r="B42" i="54"/>
  <c r="BD41" i="54"/>
  <c r="BF41" i="54" s="1"/>
  <c r="AV41" i="54"/>
  <c r="AY41" i="54"/>
  <c r="AN41" i="54"/>
  <c r="B41" i="54"/>
  <c r="BD40" i="54"/>
  <c r="BF40" i="54"/>
  <c r="AV40" i="54"/>
  <c r="AY40" i="54" s="1"/>
  <c r="AN40" i="54"/>
  <c r="B40" i="54"/>
  <c r="BD39" i="54"/>
  <c r="BF39" i="54" s="1"/>
  <c r="AW39" i="54"/>
  <c r="AY39" i="54"/>
  <c r="AN39" i="54"/>
  <c r="B39" i="54"/>
  <c r="BD38" i="54"/>
  <c r="BF38" i="54"/>
  <c r="AY38" i="54"/>
  <c r="AN38" i="54"/>
  <c r="B38" i="54"/>
  <c r="BD37" i="54"/>
  <c r="BF37" i="54" s="1"/>
  <c r="AY37" i="54"/>
  <c r="AN37" i="54"/>
  <c r="B37" i="54"/>
  <c r="BC36" i="54"/>
  <c r="BD36" i="54" s="1"/>
  <c r="BF36" i="54" s="1"/>
  <c r="AX36" i="54"/>
  <c r="AV36" i="54"/>
  <c r="B36" i="54"/>
  <c r="BC35" i="54"/>
  <c r="AY35" i="54"/>
  <c r="AN35" i="54"/>
  <c r="B35" i="54"/>
  <c r="BD34" i="54"/>
  <c r="BF34" i="54"/>
  <c r="AV34" i="54"/>
  <c r="B34" i="54"/>
  <c r="BN16" i="54"/>
  <c r="BL16" i="54"/>
  <c r="BJ16" i="54"/>
  <c r="BE16" i="54"/>
  <c r="AK15" i="54"/>
  <c r="AJ15" i="54"/>
  <c r="AI15" i="54"/>
  <c r="BD14" i="54"/>
  <c r="BF14" i="54" s="1"/>
  <c r="AN14" i="54"/>
  <c r="AL14" i="54"/>
  <c r="AV14" i="54" s="1"/>
  <c r="AY14" i="54" s="1"/>
  <c r="BA13" i="54"/>
  <c r="BD13" i="54" s="1"/>
  <c r="BF13" i="54" s="1"/>
  <c r="AV13" i="54"/>
  <c r="AY13" i="54" s="1"/>
  <c r="AN13" i="54"/>
  <c r="BD12" i="54"/>
  <c r="BF12" i="54" s="1"/>
  <c r="AN12" i="54"/>
  <c r="AL12" i="54"/>
  <c r="BD11" i="54"/>
  <c r="BF11" i="54"/>
  <c r="AY11" i="54"/>
  <c r="AV11" i="54"/>
  <c r="AN11" i="54"/>
  <c r="BD10" i="54"/>
  <c r="BA10" i="54"/>
  <c r="AV10" i="54"/>
  <c r="AY10" i="54"/>
  <c r="AN10" i="54"/>
  <c r="AM10" i="54"/>
  <c r="BD9" i="54"/>
  <c r="BF9" i="54"/>
  <c r="AY9" i="54"/>
  <c r="AV9" i="54"/>
  <c r="AN9" i="54"/>
  <c r="BD8" i="54"/>
  <c r="BF8" i="54" s="1"/>
  <c r="BB8" i="54"/>
  <c r="BB16" i="54"/>
  <c r="AW8" i="54"/>
  <c r="AW16" i="54"/>
  <c r="BB18" i="54" s="1"/>
  <c r="AN8" i="54"/>
  <c r="BD7" i="54"/>
  <c r="BF7" i="54" s="1"/>
  <c r="AY7" i="54"/>
  <c r="AN7" i="54"/>
  <c r="BD6" i="54"/>
  <c r="BF6" i="54" s="1"/>
  <c r="AY6" i="54"/>
  <c r="AN6" i="54"/>
  <c r="BM5" i="54"/>
  <c r="BM16" i="54"/>
  <c r="AY5" i="54"/>
  <c r="AX5" i="54"/>
  <c r="AX16" i="54" s="1"/>
  <c r="AV5" i="54"/>
  <c r="AN5" i="54"/>
  <c r="BC4" i="54"/>
  <c r="BD4" i="54" s="1"/>
  <c r="BF4" i="54" s="1"/>
  <c r="AY4" i="54"/>
  <c r="AN4" i="54"/>
  <c r="AV3" i="54"/>
  <c r="AY3" i="54" s="1"/>
  <c r="BF10" i="54"/>
  <c r="AM15" i="54"/>
  <c r="BA5" i="54"/>
  <c r="AY8" i="54"/>
  <c r="BC5" i="54"/>
  <c r="BC16" i="54"/>
  <c r="BA47" i="54"/>
  <c r="AO19" i="54"/>
  <c r="AP61" i="42"/>
  <c r="AP57" i="42"/>
  <c r="AP53" i="42"/>
  <c r="AP48" i="42"/>
  <c r="AP35" i="42"/>
  <c r="AO61" i="42"/>
  <c r="AN61" i="42"/>
  <c r="AM61" i="42"/>
  <c r="AL61" i="42"/>
  <c r="AO57" i="42"/>
  <c r="AN57" i="42"/>
  <c r="AM57" i="42"/>
  <c r="AL57" i="42"/>
  <c r="AO53" i="42"/>
  <c r="AN53" i="42"/>
  <c r="AM53" i="42"/>
  <c r="AL53" i="42"/>
  <c r="AO48" i="42"/>
  <c r="AN48" i="42"/>
  <c r="AM48" i="42"/>
  <c r="AL48" i="42"/>
  <c r="AK48" i="42"/>
  <c r="AO45" i="42"/>
  <c r="AN45" i="42"/>
  <c r="AM45" i="42"/>
  <c r="AL45" i="42"/>
  <c r="AK45" i="42"/>
  <c r="AO35" i="42"/>
  <c r="AN35" i="42"/>
  <c r="AM35" i="42"/>
  <c r="AL35" i="42"/>
  <c r="AK35" i="42"/>
  <c r="AK35" i="41"/>
  <c r="AJ35" i="41"/>
  <c r="AI35" i="41"/>
  <c r="AH35" i="41"/>
  <c r="AG35" i="41"/>
  <c r="AF35" i="41"/>
  <c r="AN35" i="43"/>
  <c r="AM35" i="43"/>
  <c r="AL35" i="43"/>
  <c r="AK35" i="43"/>
  <c r="AJ35" i="43"/>
  <c r="AI35" i="43"/>
  <c r="C106" i="53"/>
  <c r="C100" i="53"/>
  <c r="C93" i="53"/>
  <c r="C95" i="53" s="1"/>
  <c r="A91" i="53"/>
  <c r="AS68" i="53"/>
  <c r="CG61" i="53"/>
  <c r="CF61" i="53"/>
  <c r="CE61" i="53"/>
  <c r="CD61" i="53"/>
  <c r="CC61" i="53"/>
  <c r="CB61" i="53"/>
  <c r="CA61" i="53"/>
  <c r="BZ61" i="53"/>
  <c r="BY61" i="53"/>
  <c r="BX61" i="53"/>
  <c r="BW61" i="53"/>
  <c r="BV61" i="53"/>
  <c r="BS61" i="53"/>
  <c r="BR61" i="53"/>
  <c r="BQ61" i="53"/>
  <c r="BP61" i="53"/>
  <c r="BO61" i="53"/>
  <c r="BN61" i="53"/>
  <c r="BM61" i="53"/>
  <c r="BL61" i="53"/>
  <c r="BK61" i="53"/>
  <c r="BJ61" i="53"/>
  <c r="BI61" i="53"/>
  <c r="BG61" i="53"/>
  <c r="BD61" i="53"/>
  <c r="BB61" i="53"/>
  <c r="AZ61" i="53"/>
  <c r="AW61" i="53"/>
  <c r="AU61" i="53"/>
  <c r="AQ61" i="53"/>
  <c r="AP61" i="53"/>
  <c r="AO61" i="53"/>
  <c r="AN61" i="53"/>
  <c r="AM61" i="53"/>
  <c r="AL61" i="53"/>
  <c r="AK61" i="53"/>
  <c r="AJ61" i="53"/>
  <c r="AI61" i="53"/>
  <c r="AH61" i="53"/>
  <c r="AG61" i="53"/>
  <c r="AF61" i="53"/>
  <c r="AC61" i="53"/>
  <c r="AA61" i="53"/>
  <c r="Z61" i="53"/>
  <c r="Y61" i="53"/>
  <c r="X61" i="53"/>
  <c r="W61" i="53"/>
  <c r="V61" i="53"/>
  <c r="T61" i="53"/>
  <c r="S61" i="53"/>
  <c r="R61" i="53"/>
  <c r="Q61" i="53"/>
  <c r="P61" i="53"/>
  <c r="O61" i="53"/>
  <c r="M61" i="53"/>
  <c r="L61" i="53"/>
  <c r="K61" i="53"/>
  <c r="J61" i="53"/>
  <c r="I61" i="53"/>
  <c r="H61" i="53"/>
  <c r="F61" i="53"/>
  <c r="E61" i="53"/>
  <c r="D61" i="53"/>
  <c r="C61" i="53"/>
  <c r="B61" i="53"/>
  <c r="BU60" i="53"/>
  <c r="BT60" i="53"/>
  <c r="AE60" i="53"/>
  <c r="AD60" i="53"/>
  <c r="BU59" i="53"/>
  <c r="BT59" i="53"/>
  <c r="AE59" i="53"/>
  <c r="AD59" i="53"/>
  <c r="BU58" i="53"/>
  <c r="BT58" i="53"/>
  <c r="AE58" i="53"/>
  <c r="AD58" i="53"/>
  <c r="BU57" i="53"/>
  <c r="BT57" i="53"/>
  <c r="AE57" i="53"/>
  <c r="AD57" i="53"/>
  <c r="BU56" i="53"/>
  <c r="BT56" i="53"/>
  <c r="AE56" i="53"/>
  <c r="AD56" i="53"/>
  <c r="BU55" i="53"/>
  <c r="BT55" i="53"/>
  <c r="AE55" i="53"/>
  <c r="AD55" i="53"/>
  <c r="BU54" i="53"/>
  <c r="BT54" i="53"/>
  <c r="AE54" i="53"/>
  <c r="AD54" i="53"/>
  <c r="BU53" i="53"/>
  <c r="BT53" i="53"/>
  <c r="AE53" i="53"/>
  <c r="AD53" i="53"/>
  <c r="BU52" i="53"/>
  <c r="BT52" i="53"/>
  <c r="AE52" i="53"/>
  <c r="AD52" i="53"/>
  <c r="BU51" i="53"/>
  <c r="BT51" i="53"/>
  <c r="AE51" i="53"/>
  <c r="AD51" i="53"/>
  <c r="BU50" i="53"/>
  <c r="BT50" i="53"/>
  <c r="AE50" i="53"/>
  <c r="AD50" i="53"/>
  <c r="BU49" i="53"/>
  <c r="BT49" i="53"/>
  <c r="AE49" i="53"/>
  <c r="AD49" i="53"/>
  <c r="BU48" i="53"/>
  <c r="BT48" i="53"/>
  <c r="AE48" i="53"/>
  <c r="AD48" i="53"/>
  <c r="BU47" i="53"/>
  <c r="BT47" i="53"/>
  <c r="AE47" i="53"/>
  <c r="AD47" i="53"/>
  <c r="BU46" i="53"/>
  <c r="BT46" i="53"/>
  <c r="AE46" i="53"/>
  <c r="AD46" i="53"/>
  <c r="BU45" i="53"/>
  <c r="BT45" i="53"/>
  <c r="AE45" i="53"/>
  <c r="AD45" i="53"/>
  <c r="BU44" i="53"/>
  <c r="BT44" i="53"/>
  <c r="AE44" i="53"/>
  <c r="AD44" i="53"/>
  <c r="BU43" i="53"/>
  <c r="BT43" i="53"/>
  <c r="AE43" i="53"/>
  <c r="AD43" i="53"/>
  <c r="BU42" i="53"/>
  <c r="BT42" i="53"/>
  <c r="AE42" i="53"/>
  <c r="AD42" i="53"/>
  <c r="BU41" i="53"/>
  <c r="BT41" i="53"/>
  <c r="AE41" i="53"/>
  <c r="AD41" i="53"/>
  <c r="BU61" i="53"/>
  <c r="AE40" i="53"/>
  <c r="AE61" i="53"/>
  <c r="AD40" i="53"/>
  <c r="AD61" i="53" s="1"/>
  <c r="G40" i="53"/>
  <c r="CG32" i="53"/>
  <c r="CF32" i="53"/>
  <c r="CE32" i="53"/>
  <c r="CD32" i="53"/>
  <c r="CC32" i="53"/>
  <c r="CB32" i="53"/>
  <c r="CA32" i="53"/>
  <c r="BZ32" i="53"/>
  <c r="BY32" i="53"/>
  <c r="BX32" i="53"/>
  <c r="BW32" i="53"/>
  <c r="BV32" i="53"/>
  <c r="P49" i="43"/>
  <c r="P48" i="43"/>
  <c r="P47" i="43"/>
  <c r="P46" i="43"/>
  <c r="P45" i="43"/>
  <c r="P44" i="43"/>
  <c r="P43" i="43"/>
  <c r="P42" i="43"/>
  <c r="P41" i="43"/>
  <c r="P40" i="43"/>
  <c r="P39" i="43"/>
  <c r="P38" i="43"/>
  <c r="P35" i="43"/>
  <c r="P34" i="43"/>
  <c r="B34" i="43"/>
  <c r="P30" i="43"/>
  <c r="A30" i="43"/>
  <c r="A34" i="43" s="1"/>
  <c r="AC25" i="43"/>
  <c r="G25" i="43"/>
  <c r="F25" i="43"/>
  <c r="AC24" i="43"/>
  <c r="B108" i="47"/>
  <c r="F24" i="43"/>
  <c r="O24" i="43"/>
  <c r="AC23" i="43"/>
  <c r="B107" i="47" s="1"/>
  <c r="O23" i="43"/>
  <c r="P23" i="43" s="1"/>
  <c r="V22" i="43"/>
  <c r="U22" i="43"/>
  <c r="T22" i="43"/>
  <c r="AC22" i="43" s="1"/>
  <c r="O22" i="43"/>
  <c r="B109" i="47"/>
  <c r="P25" i="43"/>
  <c r="AD25" i="43"/>
  <c r="AE38" i="43"/>
  <c r="AE48" i="43"/>
  <c r="AE46" i="43"/>
  <c r="AE44" i="43"/>
  <c r="AE42" i="43"/>
  <c r="AE40" i="43"/>
  <c r="D19" i="51"/>
  <c r="C19" i="51"/>
  <c r="B19" i="51"/>
  <c r="E17" i="51"/>
  <c r="E16" i="51"/>
  <c r="E15" i="51"/>
  <c r="E14" i="51"/>
  <c r="E13" i="51"/>
  <c r="E12" i="51"/>
  <c r="E11" i="51"/>
  <c r="E10" i="51"/>
  <c r="E9" i="51"/>
  <c r="E8" i="51"/>
  <c r="E7" i="51"/>
  <c r="E6" i="51"/>
  <c r="E5" i="51"/>
  <c r="E4" i="51"/>
  <c r="E3" i="51"/>
  <c r="P3" i="50"/>
  <c r="J2" i="50"/>
  <c r="AT13" i="36"/>
  <c r="AU13" i="36"/>
  <c r="AC23" i="42"/>
  <c r="D107" i="47" s="1"/>
  <c r="L3" i="50"/>
  <c r="K3" i="50"/>
  <c r="J3" i="50"/>
  <c r="AT25" i="36"/>
  <c r="AU25" i="36" s="1"/>
  <c r="AU23" i="36"/>
  <c r="AT22" i="36"/>
  <c r="AU22" i="36" s="1"/>
  <c r="AT21" i="36"/>
  <c r="AU21" i="36" s="1"/>
  <c r="AT20" i="36"/>
  <c r="AU20" i="36" s="1"/>
  <c r="AT19" i="36"/>
  <c r="AU19" i="36" s="1"/>
  <c r="AT18" i="36"/>
  <c r="AU18" i="36" s="1"/>
  <c r="AT17" i="36"/>
  <c r="AU17" i="36" s="1"/>
  <c r="AT16" i="36"/>
  <c r="AU16" i="36" s="1"/>
  <c r="AT15" i="36"/>
  <c r="AU15" i="36" s="1"/>
  <c r="I3" i="50"/>
  <c r="I2" i="50"/>
  <c r="AC25" i="42"/>
  <c r="D109" i="47" s="1"/>
  <c r="D24" i="42"/>
  <c r="P39" i="41"/>
  <c r="P38" i="41"/>
  <c r="P35" i="41"/>
  <c r="P34" i="41"/>
  <c r="B34" i="41"/>
  <c r="A34" i="41"/>
  <c r="Q3" i="50"/>
  <c r="R3" i="50"/>
  <c r="S3" i="50"/>
  <c r="T3" i="50"/>
  <c r="U3" i="50"/>
  <c r="V3" i="50"/>
  <c r="W3" i="50"/>
  <c r="X3" i="50"/>
  <c r="Y3" i="50"/>
  <c r="Z3" i="50"/>
  <c r="O3" i="50"/>
  <c r="AA3" i="50" s="1"/>
  <c r="P2" i="50"/>
  <c r="Q2" i="50"/>
  <c r="R2" i="50"/>
  <c r="S2" i="50"/>
  <c r="T2" i="50"/>
  <c r="U2" i="50"/>
  <c r="V2" i="50"/>
  <c r="W2" i="50"/>
  <c r="X2" i="50"/>
  <c r="Y2" i="50"/>
  <c r="Z2" i="50"/>
  <c r="O2" i="50"/>
  <c r="G6" i="50"/>
  <c r="F5" i="50"/>
  <c r="E5" i="50"/>
  <c r="D5" i="50"/>
  <c r="C5" i="50"/>
  <c r="B5" i="50"/>
  <c r="G4" i="50"/>
  <c r="G3" i="50"/>
  <c r="G2" i="50"/>
  <c r="AA2" i="50"/>
  <c r="M3" i="50"/>
  <c r="M2" i="50"/>
  <c r="B34" i="42"/>
  <c r="AK83" i="47"/>
  <c r="AL83" i="47"/>
  <c r="AM83" i="47"/>
  <c r="AN83" i="47"/>
  <c r="AO83" i="47"/>
  <c r="AP83" i="47"/>
  <c r="AQ83" i="47"/>
  <c r="AR83" i="47"/>
  <c r="AS83" i="47"/>
  <c r="O23" i="41"/>
  <c r="O22" i="41"/>
  <c r="T22" i="42"/>
  <c r="AA75" i="47"/>
  <c r="U22" i="42"/>
  <c r="AA67" i="47"/>
  <c r="AV67" i="47" s="1"/>
  <c r="V22" i="42"/>
  <c r="AA65" i="47"/>
  <c r="AA61" i="47"/>
  <c r="AA59" i="47"/>
  <c r="AA78" i="47" s="1"/>
  <c r="AA57" i="47"/>
  <c r="F7" i="46"/>
  <c r="J3" i="46" s="1"/>
  <c r="B62" i="42"/>
  <c r="A62" i="42"/>
  <c r="A60" i="42"/>
  <c r="A58" i="42"/>
  <c r="B54" i="42"/>
  <c r="A54" i="42"/>
  <c r="B60" i="42"/>
  <c r="B58" i="42"/>
  <c r="B56" i="42"/>
  <c r="AA81" i="47"/>
  <c r="AT68" i="47"/>
  <c r="AT67" i="47"/>
  <c r="AS81" i="47"/>
  <c r="AQ81" i="47"/>
  <c r="AO81" i="47"/>
  <c r="AN81" i="47"/>
  <c r="AM81" i="47"/>
  <c r="AL81" i="47"/>
  <c r="AU81" i="47" s="1"/>
  <c r="AW81" i="47" s="1"/>
  <c r="AK81" i="47"/>
  <c r="AJ81" i="47"/>
  <c r="AI81" i="47"/>
  <c r="AU77" i="47"/>
  <c r="AX77" i="47" s="1"/>
  <c r="BB77" i="47" s="1"/>
  <c r="AT55" i="47"/>
  <c r="AT81" i="47"/>
  <c r="AR55" i="47"/>
  <c r="AP55" i="47"/>
  <c r="AP81" i="47"/>
  <c r="AR81" i="47"/>
  <c r="A34" i="42"/>
  <c r="K7" i="46"/>
  <c r="M59" i="42"/>
  <c r="E59" i="42"/>
  <c r="H58" i="42"/>
  <c r="L59" i="42"/>
  <c r="O58" i="42"/>
  <c r="G58" i="42"/>
  <c r="I59" i="42"/>
  <c r="O59" i="42"/>
  <c r="K59" i="42"/>
  <c r="N58" i="42"/>
  <c r="F58" i="42"/>
  <c r="H59" i="42"/>
  <c r="K58" i="42"/>
  <c r="D58" i="42"/>
  <c r="G59" i="42"/>
  <c r="N59" i="42"/>
  <c r="F59" i="42"/>
  <c r="J59" i="42"/>
  <c r="M58" i="42"/>
  <c r="E58" i="42"/>
  <c r="L58" i="42"/>
  <c r="D59" i="42"/>
  <c r="J58" i="42"/>
  <c r="I58" i="42"/>
  <c r="AR76" i="47"/>
  <c r="AR75" i="47"/>
  <c r="AP76" i="47"/>
  <c r="AP75" i="47"/>
  <c r="AN76" i="47"/>
  <c r="AU76" i="47" s="1"/>
  <c r="AZ76" i="47" s="1"/>
  <c r="AN75" i="47"/>
  <c r="AS68" i="47"/>
  <c r="AS67" i="47"/>
  <c r="AR68" i="47"/>
  <c r="AR67" i="47"/>
  <c r="AQ68" i="47"/>
  <c r="AQ67" i="47"/>
  <c r="AP68" i="47"/>
  <c r="AP67" i="47"/>
  <c r="AO68" i="47"/>
  <c r="AO67" i="47"/>
  <c r="AN68" i="47"/>
  <c r="AU68" i="47" s="1"/>
  <c r="AN67" i="47"/>
  <c r="AM68" i="47"/>
  <c r="AM67" i="47"/>
  <c r="AB68" i="47"/>
  <c r="AB67" i="47"/>
  <c r="AT62" i="47"/>
  <c r="AS62" i="47"/>
  <c r="AR62" i="47"/>
  <c r="AR82" i="47" s="1"/>
  <c r="AQ62" i="47"/>
  <c r="AP62" i="47"/>
  <c r="AO62" i="47"/>
  <c r="AN62" i="47"/>
  <c r="AM62" i="47"/>
  <c r="AL62" i="47"/>
  <c r="AK62" i="47"/>
  <c r="AK82" i="47"/>
  <c r="AJ62" i="47"/>
  <c r="AI62" i="47"/>
  <c r="AT61" i="47"/>
  <c r="AS61" i="47"/>
  <c r="AR61" i="47"/>
  <c r="AQ61" i="47"/>
  <c r="AP61" i="47"/>
  <c r="AO61" i="47"/>
  <c r="AN61" i="47"/>
  <c r="AM61" i="47"/>
  <c r="AL61" i="47"/>
  <c r="AK61" i="47"/>
  <c r="AJ61" i="47"/>
  <c r="AI61" i="47"/>
  <c r="AB62" i="47"/>
  <c r="AB61" i="47"/>
  <c r="AT60" i="47"/>
  <c r="AT59" i="47"/>
  <c r="AN58" i="47"/>
  <c r="AN57" i="47"/>
  <c r="AN80" i="47" s="1"/>
  <c r="AT58" i="47"/>
  <c r="AT57" i="47"/>
  <c r="AS58" i="47"/>
  <c r="AS57" i="47"/>
  <c r="AR58" i="47"/>
  <c r="AR57" i="47"/>
  <c r="AQ58" i="47"/>
  <c r="AQ57" i="47"/>
  <c r="AP58" i="47"/>
  <c r="AP57" i="47"/>
  <c r="AO58" i="47"/>
  <c r="AO57" i="47"/>
  <c r="AO78" i="47" s="1"/>
  <c r="AB60" i="47"/>
  <c r="AB59" i="47"/>
  <c r="AA60" i="47"/>
  <c r="AB58" i="47"/>
  <c r="AA58" i="47"/>
  <c r="AB57" i="47"/>
  <c r="AT66" i="47"/>
  <c r="AT65" i="47"/>
  <c r="AS66" i="47"/>
  <c r="AS65" i="47"/>
  <c r="AR66" i="47"/>
  <c r="AR65" i="47"/>
  <c r="AR80" i="47" s="1"/>
  <c r="AQ66" i="47"/>
  <c r="AQ65" i="47"/>
  <c r="AP66" i="47"/>
  <c r="AP65" i="47"/>
  <c r="AP78" i="47" s="1"/>
  <c r="AO66" i="47"/>
  <c r="AO65" i="47"/>
  <c r="AN66" i="47"/>
  <c r="AN65" i="47"/>
  <c r="AM66" i="47"/>
  <c r="AM65" i="47"/>
  <c r="AL66" i="47"/>
  <c r="AL65" i="47"/>
  <c r="AL78" i="47" s="1"/>
  <c r="AK66" i="47"/>
  <c r="AK65" i="47"/>
  <c r="AJ66" i="47"/>
  <c r="AJ65" i="47"/>
  <c r="AI66" i="47"/>
  <c r="AI65" i="47"/>
  <c r="AB66" i="47"/>
  <c r="AB65" i="47"/>
  <c r="AA76" i="47"/>
  <c r="AA68" i="47"/>
  <c r="AA66" i="47"/>
  <c r="AA62" i="47"/>
  <c r="AT76" i="47"/>
  <c r="AJ76" i="47"/>
  <c r="AI76" i="47"/>
  <c r="AU60" i="47"/>
  <c r="AO82" i="47"/>
  <c r="AQ82" i="47"/>
  <c r="AS82" i="47"/>
  <c r="AL80" i="47"/>
  <c r="AL82" i="47"/>
  <c r="AM78" i="47"/>
  <c r="AM80" i="47"/>
  <c r="AM82" i="47"/>
  <c r="AP82" i="47"/>
  <c r="AU55" i="47"/>
  <c r="AV55" i="47" s="1"/>
  <c r="AX76" i="47"/>
  <c r="BB76" i="47" s="1"/>
  <c r="AU58" i="47"/>
  <c r="AZ58" i="47" s="1"/>
  <c r="AU66" i="47"/>
  <c r="AZ66" i="47"/>
  <c r="AT69" i="47"/>
  <c r="AS69" i="47"/>
  <c r="AR69" i="47"/>
  <c r="AR78" i="47"/>
  <c r="AQ69" i="47"/>
  <c r="AP69" i="47"/>
  <c r="AP80" i="47"/>
  <c r="AO69" i="47"/>
  <c r="O24" i="42"/>
  <c r="AV68" i="47"/>
  <c r="AO80" i="47"/>
  <c r="AX58" i="47"/>
  <c r="BB58" i="47" s="1"/>
  <c r="AV66" i="47"/>
  <c r="AV76" i="47"/>
  <c r="AV58" i="47"/>
  <c r="AX66" i="47"/>
  <c r="AU53" i="47"/>
  <c r="AV53" i="47" s="1"/>
  <c r="AT6" i="47"/>
  <c r="AT3" i="47"/>
  <c r="AT4" i="47"/>
  <c r="AT5" i="47"/>
  <c r="AT8" i="47"/>
  <c r="AT9" i="47"/>
  <c r="AT10" i="47"/>
  <c r="AT11" i="47"/>
  <c r="AT12" i="47"/>
  <c r="AT13" i="47"/>
  <c r="AU13" i="47" s="1"/>
  <c r="AT14" i="47"/>
  <c r="AT15" i="47"/>
  <c r="AT16" i="47"/>
  <c r="AT17" i="47"/>
  <c r="AT18" i="47"/>
  <c r="AT19" i="47"/>
  <c r="AT20" i="47"/>
  <c r="AT21" i="47"/>
  <c r="AT22" i="47"/>
  <c r="AT23" i="47"/>
  <c r="AT24" i="47"/>
  <c r="AT25" i="47"/>
  <c r="AT26" i="47"/>
  <c r="AT27" i="47"/>
  <c r="AT28" i="47"/>
  <c r="AT29" i="47"/>
  <c r="AT30" i="47"/>
  <c r="AT31" i="47"/>
  <c r="AT32" i="47"/>
  <c r="AT33" i="47"/>
  <c r="AT82" i="47" s="1"/>
  <c r="AT34" i="47"/>
  <c r="AT35" i="47"/>
  <c r="AT36" i="47"/>
  <c r="AT37" i="47"/>
  <c r="AT38" i="47"/>
  <c r="AT39" i="47"/>
  <c r="AT40" i="47"/>
  <c r="AT41" i="47"/>
  <c r="AT42" i="47"/>
  <c r="AT43" i="47"/>
  <c r="AT44" i="47"/>
  <c r="AT45" i="47"/>
  <c r="AU45" i="47" s="1"/>
  <c r="AT46" i="47"/>
  <c r="AT47" i="47"/>
  <c r="AT48" i="47"/>
  <c r="AT49" i="47"/>
  <c r="AT50" i="47"/>
  <c r="AT51" i="47"/>
  <c r="AT52" i="47"/>
  <c r="AU54" i="47"/>
  <c r="AU59" i="47"/>
  <c r="AZ59" i="47" s="1"/>
  <c r="AU71" i="47"/>
  <c r="AT73" i="47"/>
  <c r="AT74" i="47"/>
  <c r="AT83" i="47" s="1"/>
  <c r="AT75" i="47"/>
  <c r="AT2" i="47"/>
  <c r="AU56" i="47"/>
  <c r="AV56" i="47" s="1"/>
  <c r="AU63" i="47"/>
  <c r="AV63" i="47" s="1"/>
  <c r="AU64" i="47"/>
  <c r="AV64" i="47" s="1"/>
  <c r="AU67" i="47"/>
  <c r="AU69" i="47"/>
  <c r="AV69" i="47" s="1"/>
  <c r="AU70" i="47"/>
  <c r="AZ70" i="47" s="1"/>
  <c r="BB70" i="47" s="1"/>
  <c r="AJ3" i="47"/>
  <c r="AJ4" i="47"/>
  <c r="AJ5" i="47"/>
  <c r="AU5" i="47" s="1"/>
  <c r="AX5" i="47" s="1"/>
  <c r="BB5" i="47" s="1"/>
  <c r="AJ6" i="47"/>
  <c r="AU6" i="47" s="1"/>
  <c r="AJ7" i="47"/>
  <c r="AU7" i="47" s="1"/>
  <c r="AX7" i="47" s="1"/>
  <c r="BB7" i="47" s="1"/>
  <c r="AJ8" i="47"/>
  <c r="AJ9" i="47"/>
  <c r="AJ10" i="47"/>
  <c r="AJ11" i="47"/>
  <c r="AJ12" i="47"/>
  <c r="AJ13" i="47"/>
  <c r="AJ14" i="47"/>
  <c r="AJ15" i="47"/>
  <c r="AJ16" i="47"/>
  <c r="AJ17" i="47"/>
  <c r="AJ18" i="47"/>
  <c r="AJ19" i="47"/>
  <c r="AJ20" i="47"/>
  <c r="AJ21" i="47"/>
  <c r="AJ22" i="47"/>
  <c r="AJ23" i="47"/>
  <c r="AJ24" i="47"/>
  <c r="AJ25" i="47"/>
  <c r="AJ26" i="47"/>
  <c r="AJ27" i="47"/>
  <c r="AJ28" i="47"/>
  <c r="AJ29" i="47"/>
  <c r="AJ30" i="47"/>
  <c r="AJ31" i="47"/>
  <c r="AJ32" i="47"/>
  <c r="AJ33" i="47"/>
  <c r="AJ34" i="47"/>
  <c r="AJ35" i="47"/>
  <c r="AJ36" i="47"/>
  <c r="AJ37" i="47"/>
  <c r="AJ38" i="47"/>
  <c r="AJ39" i="47"/>
  <c r="AJ40" i="47"/>
  <c r="AJ41" i="47"/>
  <c r="AJ42" i="47"/>
  <c r="AJ43" i="47"/>
  <c r="AJ44" i="47"/>
  <c r="AJ45" i="47"/>
  <c r="AJ46" i="47"/>
  <c r="AJ47" i="47"/>
  <c r="AJ48" i="47"/>
  <c r="AJ49" i="47"/>
  <c r="AJ50" i="47"/>
  <c r="AJ51" i="47"/>
  <c r="AJ52" i="47"/>
  <c r="AJ73" i="47"/>
  <c r="AJ83" i="47" s="1"/>
  <c r="AJ74" i="47"/>
  <c r="AU74" i="47" s="1"/>
  <c r="AV74" i="47" s="1"/>
  <c r="AJ75" i="47"/>
  <c r="AJ2" i="47"/>
  <c r="AI3" i="47"/>
  <c r="AI4" i="47"/>
  <c r="AU4" i="47" s="1"/>
  <c r="AV4" i="47" s="1"/>
  <c r="AI5" i="47"/>
  <c r="AI8" i="47"/>
  <c r="AU8" i="47" s="1"/>
  <c r="AX8" i="47" s="1"/>
  <c r="AI9" i="47"/>
  <c r="AI10" i="47"/>
  <c r="AU10" i="47" s="1"/>
  <c r="AX10" i="47" s="1"/>
  <c r="BB10" i="47" s="1"/>
  <c r="AI11" i="47"/>
  <c r="AI12" i="47"/>
  <c r="AI13" i="47"/>
  <c r="AI14" i="47"/>
  <c r="AI15" i="47"/>
  <c r="AI16" i="47"/>
  <c r="AU16" i="47" s="1"/>
  <c r="AI17" i="47"/>
  <c r="AI18" i="47"/>
  <c r="AI19" i="47"/>
  <c r="AI20" i="47"/>
  <c r="AU20" i="47" s="1"/>
  <c r="AV20" i="47" s="1"/>
  <c r="AI21" i="47"/>
  <c r="AI22" i="47"/>
  <c r="AI23" i="47"/>
  <c r="AI24" i="47"/>
  <c r="AI25" i="47"/>
  <c r="AU25" i="47" s="1"/>
  <c r="AI26" i="47"/>
  <c r="AU26" i="47" s="1"/>
  <c r="AX26" i="47" s="1"/>
  <c r="BB26" i="47" s="1"/>
  <c r="AI27" i="47"/>
  <c r="AI28" i="47"/>
  <c r="AU28" i="47" s="1"/>
  <c r="AX28" i="47" s="1"/>
  <c r="AI29" i="47"/>
  <c r="AU29" i="47" s="1"/>
  <c r="AI30" i="47"/>
  <c r="AI31" i="47"/>
  <c r="AI32" i="47"/>
  <c r="AI33" i="47"/>
  <c r="AI34" i="47"/>
  <c r="AI35" i="47"/>
  <c r="AI36" i="47"/>
  <c r="AI37" i="47"/>
  <c r="AI38" i="47"/>
  <c r="AI39" i="47"/>
  <c r="AI40" i="47"/>
  <c r="AU40" i="47" s="1"/>
  <c r="AI41" i="47"/>
  <c r="AI42" i="47"/>
  <c r="AU42" i="47" s="1"/>
  <c r="AV42" i="47" s="1"/>
  <c r="AI43" i="47"/>
  <c r="AI44" i="47"/>
  <c r="AI45" i="47"/>
  <c r="AI46" i="47"/>
  <c r="AI47" i="47"/>
  <c r="AI48" i="47"/>
  <c r="AI49" i="47"/>
  <c r="AI50" i="47"/>
  <c r="AI51" i="47"/>
  <c r="AI52" i="47"/>
  <c r="AU52" i="47" s="1"/>
  <c r="AZ52" i="47" s="1"/>
  <c r="AU72" i="47"/>
  <c r="AV72" i="47" s="1"/>
  <c r="AI73" i="47"/>
  <c r="AI83" i="47" s="1"/>
  <c r="AI74" i="47"/>
  <c r="AI75" i="47"/>
  <c r="AI2" i="47"/>
  <c r="AI80" i="47" s="1"/>
  <c r="A56" i="42"/>
  <c r="AC24" i="41"/>
  <c r="C108" i="47" s="1"/>
  <c r="A30" i="42"/>
  <c r="A30" i="41"/>
  <c r="B51" i="43"/>
  <c r="P30" i="42"/>
  <c r="O25" i="42"/>
  <c r="P25" i="42"/>
  <c r="AC24" i="42"/>
  <c r="AD25" i="42" s="1"/>
  <c r="O23" i="42"/>
  <c r="P23" i="42"/>
  <c r="AC22" i="42"/>
  <c r="O22" i="42"/>
  <c r="P30" i="41"/>
  <c r="AC25" i="41"/>
  <c r="O25" i="41"/>
  <c r="P25" i="41" s="1"/>
  <c r="O24" i="41"/>
  <c r="AC23" i="41"/>
  <c r="P23" i="41"/>
  <c r="AC22" i="41"/>
  <c r="P28" i="1"/>
  <c r="P24" i="1"/>
  <c r="P29" i="1"/>
  <c r="P32" i="1"/>
  <c r="P34" i="1"/>
  <c r="P35" i="1"/>
  <c r="P36" i="1"/>
  <c r="P37" i="1"/>
  <c r="P38" i="1"/>
  <c r="P39" i="1"/>
  <c r="N4" i="20"/>
  <c r="N3" i="20"/>
  <c r="F8" i="20"/>
  <c r="F7" i="20"/>
  <c r="J7" i="20"/>
  <c r="J6" i="20"/>
  <c r="J5" i="20"/>
  <c r="J4" i="20"/>
  <c r="J3" i="20"/>
  <c r="F6" i="20"/>
  <c r="F5" i="20"/>
  <c r="F4" i="20"/>
  <c r="F3" i="20"/>
  <c r="P33" i="1"/>
  <c r="D108" i="47"/>
  <c r="F108" i="47"/>
  <c r="C106" i="47"/>
  <c r="AD25" i="41"/>
  <c r="C109" i="47"/>
  <c r="F109" i="47" s="1"/>
  <c r="G109" i="47" s="1"/>
  <c r="O61" i="42"/>
  <c r="G61" i="42"/>
  <c r="J60" i="42"/>
  <c r="I61" i="42"/>
  <c r="N61" i="42"/>
  <c r="F61" i="42"/>
  <c r="I60" i="42"/>
  <c r="K61" i="42"/>
  <c r="F60" i="42"/>
  <c r="H61" i="42"/>
  <c r="M61" i="42"/>
  <c r="E61" i="42"/>
  <c r="H60" i="42"/>
  <c r="D61" i="42"/>
  <c r="M60" i="42"/>
  <c r="L61" i="42"/>
  <c r="O60" i="42"/>
  <c r="G60" i="42"/>
  <c r="D60" i="42"/>
  <c r="N60" i="42"/>
  <c r="J61" i="42"/>
  <c r="E60" i="42"/>
  <c r="L60" i="42"/>
  <c r="K60" i="42"/>
  <c r="D55" i="42"/>
  <c r="I55" i="42"/>
  <c r="L54" i="42"/>
  <c r="H55" i="42"/>
  <c r="K54" i="42"/>
  <c r="M55" i="42"/>
  <c r="N54" i="42"/>
  <c r="O55" i="42"/>
  <c r="G55" i="42"/>
  <c r="J54" i="42"/>
  <c r="O54" i="42"/>
  <c r="O67" i="42" s="1"/>
  <c r="K55" i="42"/>
  <c r="D54" i="42"/>
  <c r="J55" i="42"/>
  <c r="N55" i="42"/>
  <c r="F55" i="42"/>
  <c r="I54" i="42"/>
  <c r="E55" i="42"/>
  <c r="H54" i="42"/>
  <c r="L55" i="42"/>
  <c r="G54" i="42"/>
  <c r="F54" i="42"/>
  <c r="M54" i="42"/>
  <c r="M67" i="42" s="1"/>
  <c r="E54" i="42"/>
  <c r="K57" i="42"/>
  <c r="N56" i="42"/>
  <c r="N67" i="42" s="1"/>
  <c r="N68" i="42" s="1"/>
  <c r="F56" i="42"/>
  <c r="J57" i="42"/>
  <c r="M56" i="42"/>
  <c r="E56" i="42"/>
  <c r="O57" i="42"/>
  <c r="I56" i="42"/>
  <c r="M57" i="42"/>
  <c r="G56" i="42"/>
  <c r="I57" i="42"/>
  <c r="L56" i="42"/>
  <c r="F57" i="42"/>
  <c r="E57" i="42"/>
  <c r="D57" i="42"/>
  <c r="P57" i="42" s="1"/>
  <c r="L57" i="42"/>
  <c r="D56" i="42"/>
  <c r="H57" i="42"/>
  <c r="K56" i="42"/>
  <c r="G57" i="42"/>
  <c r="J56" i="42"/>
  <c r="N57" i="42"/>
  <c r="H56" i="42"/>
  <c r="O56" i="42"/>
  <c r="I63" i="42"/>
  <c r="L62" i="42"/>
  <c r="D63" i="42"/>
  <c r="M62" i="42"/>
  <c r="H63" i="42"/>
  <c r="K62" i="42"/>
  <c r="D62" i="42"/>
  <c r="P62" i="42" s="1"/>
  <c r="M63" i="42"/>
  <c r="E63" i="42"/>
  <c r="H62" i="42"/>
  <c r="O62" i="42"/>
  <c r="K63" i="42"/>
  <c r="F62" i="42"/>
  <c r="O63" i="42"/>
  <c r="G63" i="42"/>
  <c r="J62" i="42"/>
  <c r="G62" i="42"/>
  <c r="E62" i="42"/>
  <c r="N63" i="42"/>
  <c r="F63" i="42"/>
  <c r="I62" i="42"/>
  <c r="L63" i="42"/>
  <c r="N62" i="42"/>
  <c r="J63" i="42"/>
  <c r="AU51" i="47"/>
  <c r="AV51" i="47" s="1"/>
  <c r="AZ51" i="47"/>
  <c r="BB51" i="47" s="1"/>
  <c r="AU47" i="47"/>
  <c r="AZ47" i="47"/>
  <c r="BB47" i="47"/>
  <c r="AU43" i="47"/>
  <c r="AZ43" i="47" s="1"/>
  <c r="BB43" i="47" s="1"/>
  <c r="AU39" i="47"/>
  <c r="AU35" i="47"/>
  <c r="AZ35" i="47"/>
  <c r="BB35" i="47" s="1"/>
  <c r="AU31" i="47"/>
  <c r="AX31" i="47" s="1"/>
  <c r="BB31" i="47"/>
  <c r="AU27" i="47"/>
  <c r="AX27" i="47" s="1"/>
  <c r="BB27" i="47" s="1"/>
  <c r="AU23" i="47"/>
  <c r="AX23" i="47" s="1"/>
  <c r="BB23" i="47" s="1"/>
  <c r="AU19" i="47"/>
  <c r="AX19" i="47" s="1"/>
  <c r="BB19" i="47"/>
  <c r="AU15" i="47"/>
  <c r="AU11" i="47"/>
  <c r="AX11" i="47"/>
  <c r="BB11" i="47" s="1"/>
  <c r="AX4" i="47"/>
  <c r="BB4" i="47" s="1"/>
  <c r="AU41" i="47"/>
  <c r="AV41" i="47" s="1"/>
  <c r="AU9" i="47"/>
  <c r="AX9" i="47" s="1"/>
  <c r="BB9" i="47" s="1"/>
  <c r="BB52" i="47"/>
  <c r="AU48" i="47"/>
  <c r="AU44" i="47"/>
  <c r="AV44" i="47"/>
  <c r="AU36" i="47"/>
  <c r="AV36" i="47" s="1"/>
  <c r="BB28" i="47"/>
  <c r="AU24" i="47"/>
  <c r="AX20" i="47"/>
  <c r="BB20" i="47"/>
  <c r="AU12" i="47"/>
  <c r="AV8" i="47"/>
  <c r="AU73" i="47"/>
  <c r="BA74" i="47"/>
  <c r="BB74" i="47" s="1"/>
  <c r="AV7" i="47"/>
  <c r="AV70" i="47"/>
  <c r="AX69" i="47"/>
  <c r="BB69" i="47"/>
  <c r="AV71" i="47"/>
  <c r="AX71" i="47"/>
  <c r="BB71" i="47" s="1"/>
  <c r="AX63" i="47"/>
  <c r="BB63" i="47" s="1"/>
  <c r="AX53" i="47"/>
  <c r="BB53" i="47" s="1"/>
  <c r="AX67" i="47"/>
  <c r="AZ67" i="47"/>
  <c r="AU75" i="47"/>
  <c r="AZ75" i="47" s="1"/>
  <c r="AV59" i="47"/>
  <c r="AX59" i="47"/>
  <c r="BB59" i="47" s="1"/>
  <c r="AU50" i="47"/>
  <c r="AU46" i="47"/>
  <c r="AV46" i="47" s="1"/>
  <c r="AU38" i="47"/>
  <c r="AV38" i="47" s="1"/>
  <c r="AU34" i="47"/>
  <c r="AZ34" i="47" s="1"/>
  <c r="BB34" i="47" s="1"/>
  <c r="AU30" i="47"/>
  <c r="AU22" i="47"/>
  <c r="AU18" i="47"/>
  <c r="AX18" i="47" s="1"/>
  <c r="BB18" i="47" s="1"/>
  <c r="AU14" i="47"/>
  <c r="AX14" i="47" s="1"/>
  <c r="BB14" i="47" s="1"/>
  <c r="AX64" i="47"/>
  <c r="BB64" i="47"/>
  <c r="AU65" i="47"/>
  <c r="E67" i="42"/>
  <c r="E68" i="42" s="1"/>
  <c r="E34" i="42" s="1"/>
  <c r="M68" i="42"/>
  <c r="M34" i="42" s="1"/>
  <c r="N64" i="42"/>
  <c r="N65" i="42" s="1"/>
  <c r="N35" i="42" s="1"/>
  <c r="Y4" i="50" s="1"/>
  <c r="Y5" i="50" s="1"/>
  <c r="O68" i="42"/>
  <c r="O34" i="42" s="1"/>
  <c r="N34" i="42"/>
  <c r="L67" i="42"/>
  <c r="L68" i="42" s="1"/>
  <c r="L34" i="42" s="1"/>
  <c r="F67" i="42"/>
  <c r="F68" i="42" s="1"/>
  <c r="F34" i="42" s="1"/>
  <c r="J67" i="42"/>
  <c r="J68" i="42" s="1"/>
  <c r="J34" i="42" s="1"/>
  <c r="M64" i="42"/>
  <c r="M65" i="42" s="1"/>
  <c r="M35" i="42" s="1"/>
  <c r="I67" i="42"/>
  <c r="I68" i="42" s="1"/>
  <c r="I34" i="42" s="1"/>
  <c r="D67" i="42"/>
  <c r="D68" i="42" s="1"/>
  <c r="K67" i="42"/>
  <c r="K68" i="42" s="1"/>
  <c r="K34" i="42" s="1"/>
  <c r="P63" i="42"/>
  <c r="L64" i="42"/>
  <c r="L65" i="42" s="1"/>
  <c r="H64" i="42"/>
  <c r="H65" i="42" s="1"/>
  <c r="I64" i="42"/>
  <c r="I65" i="42" s="1"/>
  <c r="G64" i="42"/>
  <c r="G65" i="42" s="1"/>
  <c r="G35" i="42" s="1"/>
  <c r="F64" i="42"/>
  <c r="F65" i="42"/>
  <c r="F35" i="42" s="1"/>
  <c r="AX40" i="53" s="1"/>
  <c r="AX61" i="53"/>
  <c r="O64" i="42"/>
  <c r="O65" i="42" s="1"/>
  <c r="P60" i="42"/>
  <c r="P59" i="42"/>
  <c r="P58" i="42"/>
  <c r="P61" i="42"/>
  <c r="P56" i="42"/>
  <c r="AV27" i="47"/>
  <c r="AV11" i="47"/>
  <c r="AV35" i="47"/>
  <c r="BB8" i="47"/>
  <c r="AV31" i="47"/>
  <c r="AV43" i="47"/>
  <c r="AV47" i="47"/>
  <c r="AZ44" i="47"/>
  <c r="BB44" i="47"/>
  <c r="AV28" i="47"/>
  <c r="AV9" i="47"/>
  <c r="AV52" i="47"/>
  <c r="AV75" i="47"/>
  <c r="AV18" i="47"/>
  <c r="AZ50" i="47"/>
  <c r="BB50" i="47" s="1"/>
  <c r="AV50" i="47"/>
  <c r="AX75" i="47"/>
  <c r="BB75" i="47" s="1"/>
  <c r="AX22" i="47"/>
  <c r="BB22" i="47" s="1"/>
  <c r="AV22" i="47"/>
  <c r="AZ38" i="47"/>
  <c r="BB38" i="47" s="1"/>
  <c r="AV26" i="47"/>
  <c r="AV65" i="47"/>
  <c r="AZ65" i="47"/>
  <c r="BB65" i="47" s="1"/>
  <c r="AX65" i="47"/>
  <c r="AV14" i="47"/>
  <c r="AX30" i="47"/>
  <c r="BB30" i="47" s="1"/>
  <c r="AV30" i="47"/>
  <c r="AZ46" i="47"/>
  <c r="BB46" i="47"/>
  <c r="P54" i="42"/>
  <c r="O35" i="42"/>
  <c r="Z4" i="50" s="1"/>
  <c r="Z5" i="50" s="1"/>
  <c r="I35" i="42"/>
  <c r="BE40" i="53" s="1"/>
  <c r="BE61" i="53" s="1"/>
  <c r="H35" i="42"/>
  <c r="BC40" i="53" s="1"/>
  <c r="BC61" i="53" s="1"/>
  <c r="L35" i="42"/>
  <c r="W4" i="50" s="1"/>
  <c r="W5" i="50"/>
  <c r="Q4" i="50"/>
  <c r="T4" i="50"/>
  <c r="T5" i="50" s="1"/>
  <c r="AM14" i="36"/>
  <c r="Q5" i="50"/>
  <c r="AJ14" i="36" s="1"/>
  <c r="K64" i="42" l="1"/>
  <c r="K65" i="42" s="1"/>
  <c r="K35" i="42" s="1"/>
  <c r="V4" i="50" s="1"/>
  <c r="V5" i="50" s="1"/>
  <c r="BD5" i="54"/>
  <c r="BF5" i="54" s="1"/>
  <c r="BK5" i="54" s="1"/>
  <c r="BK16" i="54" s="1"/>
  <c r="BC18" i="54"/>
  <c r="J5" i="46"/>
  <c r="J6" i="46"/>
  <c r="J4" i="46"/>
  <c r="J7" i="46" s="1"/>
  <c r="AX13" i="47"/>
  <c r="BB13" i="47" s="1"/>
  <c r="AV13" i="47"/>
  <c r="L4" i="50"/>
  <c r="L5" i="50" s="1"/>
  <c r="X4" i="50"/>
  <c r="X5" i="50" s="1"/>
  <c r="AX29" i="47"/>
  <c r="BB29" i="47" s="1"/>
  <c r="AV29" i="47"/>
  <c r="AX25" i="47"/>
  <c r="BB25" i="47" s="1"/>
  <c r="AV25" i="47"/>
  <c r="J4" i="50"/>
  <c r="J5" i="50" s="1"/>
  <c r="BA40" i="53"/>
  <c r="R4" i="50"/>
  <c r="R5" i="50" s="1"/>
  <c r="AK14" i="36" s="1"/>
  <c r="AX6" i="47"/>
  <c r="BB6" i="47" s="1"/>
  <c r="AV6" i="47"/>
  <c r="AZ45" i="47"/>
  <c r="BB45" i="47" s="1"/>
  <c r="AV45" i="47"/>
  <c r="D34" i="42"/>
  <c r="AD23" i="43"/>
  <c r="B106" i="47"/>
  <c r="AY36" i="54"/>
  <c r="AX47" i="54"/>
  <c r="AT80" i="47"/>
  <c r="S4" i="50"/>
  <c r="S5" i="50" s="1"/>
  <c r="AL14" i="36" s="1"/>
  <c r="AY55" i="47"/>
  <c r="BB55" i="47" s="1"/>
  <c r="BB67" i="47"/>
  <c r="AV73" i="47"/>
  <c r="BA73" i="47"/>
  <c r="BB73" i="47" s="1"/>
  <c r="AT78" i="47"/>
  <c r="AU49" i="47"/>
  <c r="AU33" i="47"/>
  <c r="AU17" i="47"/>
  <c r="AU3" i="47"/>
  <c r="AV10" i="47"/>
  <c r="AV34" i="47"/>
  <c r="AV5" i="47"/>
  <c r="BA72" i="47"/>
  <c r="BB72" i="47" s="1"/>
  <c r="AV23" i="47"/>
  <c r="AV39" i="47"/>
  <c r="AZ39" i="47"/>
  <c r="BB39" i="47" s="1"/>
  <c r="E64" i="42"/>
  <c r="E65" i="42" s="1"/>
  <c r="E35" i="42" s="1"/>
  <c r="J64" i="42"/>
  <c r="J65" i="42" s="1"/>
  <c r="J35" i="42" s="1"/>
  <c r="AD23" i="42"/>
  <c r="D106" i="47"/>
  <c r="AZ40" i="47"/>
  <c r="BB40" i="47" s="1"/>
  <c r="AV40" i="47"/>
  <c r="AI82" i="47"/>
  <c r="AX16" i="47"/>
  <c r="BB16" i="47" s="1"/>
  <c r="AV16" i="47"/>
  <c r="AJ80" i="47"/>
  <c r="AU80" i="47" s="1"/>
  <c r="AW80" i="47" s="1"/>
  <c r="AJ82" i="47"/>
  <c r="C107" i="47"/>
  <c r="F107" i="47" s="1"/>
  <c r="AD23" i="41"/>
  <c r="AU83" i="47"/>
  <c r="AW83" i="47" s="1"/>
  <c r="AV54" i="47"/>
  <c r="AX54" i="47"/>
  <c r="BB54" i="47" s="1"/>
  <c r="M53" i="40"/>
  <c r="K54" i="40"/>
  <c r="D53" i="40"/>
  <c r="J54" i="40"/>
  <c r="M54" i="40"/>
  <c r="H54" i="40"/>
  <c r="E53" i="40"/>
  <c r="L53" i="40"/>
  <c r="N53" i="40"/>
  <c r="O53" i="40"/>
  <c r="J53" i="40"/>
  <c r="L54" i="40"/>
  <c r="G54" i="40"/>
  <c r="F54" i="40"/>
  <c r="D54" i="40"/>
  <c r="H53" i="40"/>
  <c r="K53" i="40"/>
  <c r="I53" i="40"/>
  <c r="I54" i="40"/>
  <c r="E54" i="40"/>
  <c r="N54" i="40"/>
  <c r="G53" i="40"/>
  <c r="F53" i="40"/>
  <c r="AI78" i="47"/>
  <c r="AU2" i="47"/>
  <c r="AU37" i="47"/>
  <c r="AU21" i="47"/>
  <c r="AZ42" i="47"/>
  <c r="BB42" i="47" s="1"/>
  <c r="AV12" i="47"/>
  <c r="AX12" i="47"/>
  <c r="BB12" i="47" s="1"/>
  <c r="AV24" i="47"/>
  <c r="AX24" i="47"/>
  <c r="BB24" i="47" s="1"/>
  <c r="AZ36" i="47"/>
  <c r="BB36" i="47" s="1"/>
  <c r="AZ48" i="47"/>
  <c r="BB48" i="47" s="1"/>
  <c r="AV48" i="47"/>
  <c r="AZ41" i="47"/>
  <c r="BB41" i="47" s="1"/>
  <c r="AX15" i="47"/>
  <c r="BB15" i="47" s="1"/>
  <c r="AV15" i="47"/>
  <c r="G67" i="42"/>
  <c r="G68" i="42" s="1"/>
  <c r="G34" i="42" s="1"/>
  <c r="P55" i="42"/>
  <c r="P64" i="42" s="1"/>
  <c r="D64" i="42"/>
  <c r="D65" i="42" s="1"/>
  <c r="H67" i="42"/>
  <c r="H68" i="42" s="1"/>
  <c r="H34" i="42" s="1"/>
  <c r="AM21" i="54"/>
  <c r="BD35" i="54"/>
  <c r="BF35" i="54" s="1"/>
  <c r="BC47" i="54"/>
  <c r="BD47" i="54" s="1"/>
  <c r="AN3" i="54"/>
  <c r="AN15" i="54" s="1"/>
  <c r="BA3" i="54"/>
  <c r="N32" i="53"/>
  <c r="U11" i="53"/>
  <c r="K57" i="40"/>
  <c r="AV19" i="47"/>
  <c r="AX56" i="47"/>
  <c r="BB56" i="47" s="1"/>
  <c r="AU32" i="47"/>
  <c r="AJ78" i="47"/>
  <c r="BB66" i="47"/>
  <c r="G5" i="50"/>
  <c r="AV12" i="54"/>
  <c r="AL15" i="54"/>
  <c r="AZ60" i="47"/>
  <c r="AV60" i="47"/>
  <c r="AX60" i="47"/>
  <c r="AQ80" i="47"/>
  <c r="AQ78" i="47"/>
  <c r="AS78" i="47"/>
  <c r="AS80" i="47"/>
  <c r="AU57" i="47"/>
  <c r="AN78" i="47"/>
  <c r="AK80" i="47"/>
  <c r="AK78" i="47"/>
  <c r="AU61" i="47"/>
  <c r="AU62" i="47"/>
  <c r="AN82" i="47"/>
  <c r="AX68" i="47"/>
  <c r="AZ68" i="47"/>
  <c r="AY34" i="54"/>
  <c r="AV47" i="54"/>
  <c r="AN47" i="54"/>
  <c r="BG32" i="53"/>
  <c r="BU12" i="53"/>
  <c r="G55" i="40"/>
  <c r="G57" i="40"/>
  <c r="AD23" i="40"/>
  <c r="AC32" i="53"/>
  <c r="AE11" i="53"/>
  <c r="AE32" i="53" s="1"/>
  <c r="BU13" i="53"/>
  <c r="BU17" i="53"/>
  <c r="BU21" i="53"/>
  <c r="P40" i="40"/>
  <c r="P42" i="40"/>
  <c r="G32" i="53"/>
  <c r="BU14" i="53"/>
  <c r="BU18" i="53"/>
  <c r="BU22" i="53"/>
  <c r="P44" i="40"/>
  <c r="H108" i="47" l="1"/>
  <c r="I59" i="40"/>
  <c r="D60" i="40"/>
  <c r="O60" i="40"/>
  <c r="I60" i="40"/>
  <c r="F60" i="40"/>
  <c r="L60" i="40"/>
  <c r="M60" i="40"/>
  <c r="G60" i="40"/>
  <c r="N60" i="40"/>
  <c r="E60" i="40"/>
  <c r="L59" i="40"/>
  <c r="K60" i="40"/>
  <c r="O59" i="40"/>
  <c r="M59" i="40"/>
  <c r="H60" i="40"/>
  <c r="D59" i="40"/>
  <c r="F59" i="40"/>
  <c r="E59" i="40"/>
  <c r="J59" i="40"/>
  <c r="N59" i="40"/>
  <c r="J60" i="40"/>
  <c r="AV62" i="47"/>
  <c r="AZ62" i="47"/>
  <c r="AX62" i="47"/>
  <c r="BB62" i="47" s="1"/>
  <c r="BD3" i="54"/>
  <c r="BA16" i="54"/>
  <c r="AU78" i="47"/>
  <c r="M64" i="40"/>
  <c r="M65" i="40" s="1"/>
  <c r="M34" i="40" s="1"/>
  <c r="P4" i="50"/>
  <c r="P5" i="50" s="1"/>
  <c r="AV40" i="53"/>
  <c r="AV61" i="53" s="1"/>
  <c r="AV3" i="47"/>
  <c r="AX3" i="47"/>
  <c r="BB3" i="47" s="1"/>
  <c r="H59" i="40"/>
  <c r="G59" i="40"/>
  <c r="AZ61" i="47"/>
  <c r="AV61" i="47"/>
  <c r="AX61" i="47"/>
  <c r="BB61" i="47" s="1"/>
  <c r="AV57" i="47"/>
  <c r="AZ57" i="47"/>
  <c r="AX57" i="47"/>
  <c r="BB57" i="47" s="1"/>
  <c r="AX21" i="47"/>
  <c r="BB21" i="47" s="1"/>
  <c r="AV21" i="47"/>
  <c r="K59" i="40"/>
  <c r="P67" i="42"/>
  <c r="P34" i="42"/>
  <c r="BF40" i="53"/>
  <c r="BF61" i="53" s="1"/>
  <c r="BA61" i="53"/>
  <c r="AY47" i="54"/>
  <c r="BB60" i="47"/>
  <c r="AY12" i="54"/>
  <c r="AY16" i="54" s="1"/>
  <c r="AV16" i="54"/>
  <c r="AV32" i="47"/>
  <c r="AZ32" i="47"/>
  <c r="BB32" i="47" s="1"/>
  <c r="AB11" i="53"/>
  <c r="AB32" i="53" s="1"/>
  <c r="U32" i="53"/>
  <c r="AV37" i="47"/>
  <c r="AZ37" i="47"/>
  <c r="BB37" i="47" s="1"/>
  <c r="P54" i="40"/>
  <c r="P53" i="40"/>
  <c r="AU82" i="47"/>
  <c r="AW82" i="47" s="1"/>
  <c r="AV33" i="47"/>
  <c r="AZ33" i="47"/>
  <c r="BB33" i="47" s="1"/>
  <c r="P68" i="42"/>
  <c r="H64" i="40"/>
  <c r="H65" i="40" s="1"/>
  <c r="H34" i="40" s="1"/>
  <c r="AX17" i="47"/>
  <c r="BB17" i="47" s="1"/>
  <c r="AV17" i="47"/>
  <c r="L58" i="40"/>
  <c r="L61" i="40" s="1"/>
  <c r="L62" i="40" s="1"/>
  <c r="L35" i="40" s="1"/>
  <c r="E57" i="40"/>
  <c r="D57" i="40"/>
  <c r="N58" i="40"/>
  <c r="N57" i="40"/>
  <c r="F57" i="40"/>
  <c r="D58" i="40"/>
  <c r="K58" i="40"/>
  <c r="I58" i="40"/>
  <c r="F58" i="40"/>
  <c r="H58" i="40"/>
  <c r="M58" i="40"/>
  <c r="J57" i="40"/>
  <c r="J64" i="40" s="1"/>
  <c r="J65" i="40" s="1"/>
  <c r="J34" i="40" s="1"/>
  <c r="I57" i="40"/>
  <c r="M57" i="40"/>
  <c r="E58" i="40"/>
  <c r="O58" i="40"/>
  <c r="J58" i="40"/>
  <c r="H57" i="40"/>
  <c r="G58" i="40"/>
  <c r="O57" i="40"/>
  <c r="L57" i="40"/>
  <c r="BB68" i="47"/>
  <c r="BU11" i="53"/>
  <c r="BU32" i="53" s="1"/>
  <c r="AZ32" i="53"/>
  <c r="L56" i="40"/>
  <c r="I55" i="40"/>
  <c r="G56" i="40"/>
  <c r="G61" i="40" s="1"/>
  <c r="G62" i="40" s="1"/>
  <c r="G35" i="40" s="1"/>
  <c r="N56" i="40"/>
  <c r="N61" i="40" s="1"/>
  <c r="N62" i="40" s="1"/>
  <c r="N35" i="40" s="1"/>
  <c r="K55" i="40"/>
  <c r="K64" i="40" s="1"/>
  <c r="K65" i="40" s="1"/>
  <c r="K34" i="40" s="1"/>
  <c r="N55" i="40"/>
  <c r="N64" i="40" s="1"/>
  <c r="N65" i="40" s="1"/>
  <c r="N34" i="40" s="1"/>
  <c r="D56" i="40"/>
  <c r="O56" i="40"/>
  <c r="O61" i="40" s="1"/>
  <c r="O62" i="40" s="1"/>
  <c r="O35" i="40" s="1"/>
  <c r="H55" i="40"/>
  <c r="F56" i="40"/>
  <c r="I56" i="40"/>
  <c r="I61" i="40" s="1"/>
  <c r="I62" i="40" s="1"/>
  <c r="I35" i="40" s="1"/>
  <c r="F55" i="40"/>
  <c r="F64" i="40" s="1"/>
  <c r="F65" i="40" s="1"/>
  <c r="F34" i="40" s="1"/>
  <c r="E55" i="40"/>
  <c r="E64" i="40" s="1"/>
  <c r="E65" i="40" s="1"/>
  <c r="E34" i="40" s="1"/>
  <c r="J56" i="40"/>
  <c r="J55" i="40"/>
  <c r="K56" i="40"/>
  <c r="O55" i="40"/>
  <c r="O64" i="40" s="1"/>
  <c r="O65" i="40" s="1"/>
  <c r="O34" i="40" s="1"/>
  <c r="H56" i="40"/>
  <c r="L55" i="40"/>
  <c r="L64" i="40" s="1"/>
  <c r="L65" i="40" s="1"/>
  <c r="L34" i="40" s="1"/>
  <c r="M56" i="40"/>
  <c r="M61" i="40" s="1"/>
  <c r="M62" i="40" s="1"/>
  <c r="M35" i="40" s="1"/>
  <c r="E56" i="40"/>
  <c r="E61" i="40" s="1"/>
  <c r="E62" i="40" s="1"/>
  <c r="E35" i="40" s="1"/>
  <c r="M55" i="40"/>
  <c r="D55" i="40"/>
  <c r="P65" i="42"/>
  <c r="D35" i="42"/>
  <c r="AX2" i="47"/>
  <c r="BB2" i="47" s="1"/>
  <c r="AV2" i="47"/>
  <c r="G64" i="40"/>
  <c r="G65" i="40" s="1"/>
  <c r="G34" i="40" s="1"/>
  <c r="I64" i="40"/>
  <c r="I65" i="40" s="1"/>
  <c r="I34" i="40" s="1"/>
  <c r="F61" i="40"/>
  <c r="F62" i="40" s="1"/>
  <c r="F35" i="40" s="1"/>
  <c r="H61" i="40"/>
  <c r="H62" i="40" s="1"/>
  <c r="H35" i="40" s="1"/>
  <c r="BH40" i="53"/>
  <c r="BH61" i="53" s="1"/>
  <c r="K4" i="50"/>
  <c r="K5" i="50" s="1"/>
  <c r="U4" i="50"/>
  <c r="U5" i="50" s="1"/>
  <c r="AN14" i="36" s="1"/>
  <c r="AZ49" i="47"/>
  <c r="BB49" i="47" s="1"/>
  <c r="AV49" i="47"/>
  <c r="F106" i="47"/>
  <c r="G107" i="47" s="1"/>
  <c r="K61" i="40" l="1"/>
  <c r="K62" i="40" s="1"/>
  <c r="K35" i="40" s="1"/>
  <c r="J61" i="40"/>
  <c r="J62" i="40" s="1"/>
  <c r="J35" i="40" s="1"/>
  <c r="P60" i="40"/>
  <c r="P55" i="40"/>
  <c r="P56" i="40"/>
  <c r="D64" i="40"/>
  <c r="BF3" i="54"/>
  <c r="BF16" i="54" s="1"/>
  <c r="BD16" i="54"/>
  <c r="BB78" i="47"/>
  <c r="P58" i="40"/>
  <c r="P57" i="40"/>
  <c r="P61" i="40" s="1"/>
  <c r="D61" i="40"/>
  <c r="D62" i="40" s="1"/>
  <c r="P59" i="40"/>
  <c r="AT40" i="53"/>
  <c r="I4" i="50"/>
  <c r="P35" i="42"/>
  <c r="O4" i="50"/>
  <c r="BA18" i="54"/>
  <c r="BD18" i="54" s="1"/>
  <c r="AI14" i="36"/>
  <c r="P6" i="50"/>
  <c r="O5" i="50" l="1"/>
  <c r="AA4" i="50"/>
  <c r="D65" i="40"/>
  <c r="P64" i="40"/>
  <c r="D35" i="40"/>
  <c r="P35" i="40" s="1"/>
  <c r="P62" i="40"/>
  <c r="BT40" i="53"/>
  <c r="BT61" i="53" s="1"/>
  <c r="AT61" i="53"/>
  <c r="AY40" i="53"/>
  <c r="M4" i="50"/>
  <c r="M5" i="50" s="1"/>
  <c r="I5" i="50"/>
  <c r="D34" i="40" l="1"/>
  <c r="P34" i="40" s="1"/>
  <c r="P65" i="40"/>
  <c r="AA5" i="50"/>
  <c r="AO14" i="36" s="1"/>
  <c r="AH14" i="36"/>
  <c r="AT14" i="36" s="1"/>
  <c r="AU14"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tc={99670F4B-7746-4724-AE5E-73E371D851EF}</author>
    <author>tc={388F3DCC-A166-4ED4-A18D-503E5E909C66}</author>
    <author>Ángela Adriana Ávila Ospina</author>
    <author>Microsoft Office User</author>
    <author/>
    <author>Angela Marcela Forero Ruiz</author>
    <author>ANGELA MARCELA FORERO RUIZ</author>
  </authors>
  <commentList>
    <comment ref="W22" authorId="0" shapeId="0" xr:uid="{99670F4B-7746-4724-AE5E-73E371D851EF}">
      <text>
        <t>[Comentario encadenado]
Su versión de Excel le permite leer este comentario encadenado; sin embargo, las ediciones que se apliquen se quitarán si el archivo se abre en una versión más reciente de Excel. Más información: https://go.microsoft.com/fwlink/?linkid=870924
Comentario:
    Mod.Presupuestal - se disminuye el valor programado en $67.649.873, lo anterior teniendo en cuenta el ajuste en el valor de la meta de $2.401.870.787 a $2.334.220.914 realizado en el mes de julio de 2022.</t>
      </text>
    </comment>
    <comment ref="O24" authorId="1" shapeId="0" xr:uid="{388F3DCC-A166-4ED4-A18D-503E5E909C66}">
      <text>
        <t>[Comentario encadenado]
Su versión de Excel le permite leer este comentario encadenado; sin embargo, las ediciones que se apliquen se quitarán si el archivo se abre en una versión más reciente de Excel. Más información: https://go.microsoft.com/fwlink/?linkid=870924
Comentario:
    En junio no se presentan liberaciones
En mayo se restan $4,167,765 asociados a la liberación del contrato 163-2020 con ETB.
En abril se restan $4.759.996, asociados a la liberación del contrato con PANAMERICANA.</t>
      </text>
    </comment>
    <comment ref="AB24" authorId="2" shapeId="0" xr:uid="{59E48185-A648-4959-BE22-D2CD51850E29}">
      <text>
        <r>
          <rPr>
            <b/>
            <sz val="9"/>
            <color indexed="81"/>
            <rFont val="Tahoma"/>
            <family val="2"/>
          </rPr>
          <t>Ángela Adriana Ávila Ospina:</t>
        </r>
        <r>
          <rPr>
            <sz val="9"/>
            <color indexed="81"/>
            <rFont val="Tahoma"/>
            <family val="2"/>
          </rPr>
          <t xml:space="preserve">
Mod.Presupuestal - se disminuye el valor programado en giros en $67.649.873, lo anterior teniendo en cuenta el ajuste en el valor de la meta de $2.401.870.787 a $2.334.220.914 realizado en el mes de julio de 2022.</t>
        </r>
      </text>
    </comment>
    <comment ref="Q30" authorId="2" shapeId="0" xr:uid="{88E50870-C92C-4789-B4DE-3B5C7433FD95}">
      <text>
        <r>
          <rPr>
            <b/>
            <sz val="9"/>
            <color indexed="81"/>
            <rFont val="Tahoma"/>
            <family val="2"/>
          </rPr>
          <t>Ángela Adriana Ávila Ospina:</t>
        </r>
        <r>
          <rPr>
            <sz val="9"/>
            <color indexed="81"/>
            <rFont val="Tahoma"/>
            <family val="2"/>
          </rPr>
          <t xml:space="preserve">
Dada la restricción de caracteres se incluye la información de segundo semestre. 
</t>
        </r>
      </text>
    </comment>
    <comment ref="C32" authorId="3" shapeId="0" xr:uid="{E7F5D3E5-FAB1-46B8-9D02-8FEC78554453}">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4" shapeId="0" xr:uid="{CF70A2DD-9275-44A7-9D66-AD1BD8F3F55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3" shapeId="0" xr:uid="{479692B9-269B-40BF-90E8-0E7E3C237CFE}">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W34" authorId="5" shapeId="0" xr:uid="{F29B9CEC-18AB-4FD2-A364-245D4565E07B}">
      <text>
        <r>
          <rPr>
            <b/>
            <sz val="10"/>
            <color rgb="FF000000"/>
            <rFont val="Tahoma"/>
            <family val="2"/>
          </rPr>
          <t>Angela Marcela Forero Ruiz:</t>
        </r>
        <r>
          <rPr>
            <sz val="10"/>
            <color rgb="FF000000"/>
            <rFont val="Tahoma"/>
            <family val="2"/>
          </rPr>
          <t xml:space="preserve">
</t>
        </r>
        <r>
          <rPr>
            <sz val="12"/>
            <color rgb="FF000000"/>
            <rFont val="Tahoma"/>
            <family val="2"/>
          </rPr>
          <t>Actualizar los retrasos con la información a julio</t>
        </r>
      </text>
    </comment>
    <comment ref="Q40" authorId="6" shapeId="0" xr:uid="{75D069EE-E1C2-48B1-BD3C-98D3F87D866E}">
      <text>
        <r>
          <rPr>
            <b/>
            <sz val="10"/>
            <color indexed="81"/>
            <rFont val="Tahoma"/>
            <family val="2"/>
          </rPr>
          <t>ANGELA MARCELA FORERO RUIZ:</t>
        </r>
        <r>
          <rPr>
            <sz val="10"/>
            <color indexed="81"/>
            <rFont val="Tahoma"/>
            <family val="2"/>
          </rPr>
          <t xml:space="preserve">
Ajustar redacción que incluya el mes de mayo en la frase resaltada, dado que abajo en la letra b se menciona el avance de mayo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Ángela Adriana Ávila Ospina</author>
    <author>Microsoft Office User</author>
    <author/>
  </authors>
  <commentList>
    <comment ref="AC22" authorId="0" shapeId="0" xr:uid="{3FB1583D-D073-48BE-AD44-9A9D7B51A4A1}">
      <text>
        <r>
          <rPr>
            <b/>
            <sz val="9"/>
            <color indexed="81"/>
            <rFont val="Tahoma"/>
            <family val="2"/>
          </rPr>
          <t>Ángela Adriana Ávila Ospina:</t>
        </r>
        <r>
          <rPr>
            <sz val="9"/>
            <color indexed="81"/>
            <rFont val="Tahoma"/>
            <family val="2"/>
          </rPr>
          <t xml:space="preserve">
Mod.Presupuestal  julio de 2022 - se aumenta el valor programado en la meta  $67.649.873, lo anterior teniendo en cuenta el ajuste en el valor de la meta de $184.761.500  a $280.463.582.</t>
        </r>
      </text>
    </comment>
    <comment ref="AC24" authorId="0" shapeId="0" xr:uid="{DB008E28-76DA-450C-A0B9-A18A367C7359}">
      <text>
        <r>
          <rPr>
            <b/>
            <sz val="9"/>
            <color indexed="81"/>
            <rFont val="Tahoma"/>
            <family val="2"/>
          </rPr>
          <t>Ángela Adriana Ávila Ospina:</t>
        </r>
        <r>
          <rPr>
            <sz val="9"/>
            <color indexed="81"/>
            <rFont val="Tahoma"/>
            <family val="2"/>
          </rPr>
          <t xml:space="preserve">
Mod.Presupuestal  julio de 2022 - se aumenta el valor programado en giros de  la meta  $95.702.082, lo anterior teniendo en cuenta el ajuste en el valor de la meta de $184.761.500  a $280.463.582.</t>
        </r>
      </text>
    </comment>
    <comment ref="C32" authorId="1" shapeId="0" xr:uid="{1CFF4DFD-8C56-4667-A644-C0D794841ED3}">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8471B7C-AD44-4AEB-8E36-2A663B431B3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EE564F65-072E-472B-B248-B6BBD4DA6256}">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tc={6FEB5E4C-DB18-413F-9D43-D0B9CAFACD5D}</author>
    <author>tc={E3BC3753-A808-42C8-8CE5-3F084592B09F}</author>
    <author>Ángela Adriana Ávila Ospina</author>
    <author>Microsoft Office User</author>
    <author/>
  </authors>
  <commentList>
    <comment ref="W17" authorId="0" shapeId="0" xr:uid="{D8D301C1-600F-4C0C-A5AE-D730FA6EC8BA}">
      <text>
        <r>
          <rPr>
            <b/>
            <sz val="9"/>
            <color indexed="81"/>
            <rFont val="Tahoma"/>
            <family val="2"/>
          </rPr>
          <t>ANGELA MARCELA FORERO RUIZ:</t>
        </r>
        <r>
          <rPr>
            <sz val="9"/>
            <color indexed="81"/>
            <rFont val="Tahoma"/>
            <family val="2"/>
          </rPr>
          <t xml:space="preserve">
Se ajusta la meta a 0,2 (no 2 como figuraba)</t>
        </r>
      </text>
    </comment>
    <comment ref="W22" authorId="1" shapeId="0" xr:uid="{6FEB5E4C-DB18-413F-9D43-D0B9CAFACD5D}">
      <text>
        <t>[Comentario encadenado]
Su versión de Excel le permite leer este comentario encadenado; sin embargo, las ediciones que se apliquen se quitarán si el archivo se abre en una versión más reciente de Excel. Más información: https://go.microsoft.com/fwlink/?linkid=870924
Comentario:
    Mod.Presupuestal - se disminuye el valor programado en $28.052.082, lo anterior teniendo en cuenta el ajuste en el valor de la meta de $1.608.626.713 a $1.580.574.504 realizado en el mes de julio de 2022.</t>
      </text>
    </comment>
    <comment ref="AB24" authorId="2" shapeId="0" xr:uid="{E3BC3753-A808-42C8-8CE5-3F084592B09F}">
      <text>
        <t>[Comentario encadenado]
Su versión de Excel le permite leer este comentario encadenado; sin embargo, las ediciones que se apliquen se quitarán si el archivo se abre en una versión más reciente de Excel. Más información: https://go.microsoft.com/fwlink/?linkid=870924
Comentario:
    Mod.Presupuestal - se disminuye el valor programado en giros $28.052.082, lo anterior teniendo en cuenta el ajuste en el valor de la meta de $1.608.626.713 a $1.580.574.504 realizado en el mes de julio de 2022.</t>
      </text>
    </comment>
    <comment ref="Q30" authorId="3" shapeId="0" xr:uid="{9EF48253-4E57-4F1D-8588-54A274970233}">
      <text>
        <r>
          <rPr>
            <b/>
            <sz val="9"/>
            <color indexed="81"/>
            <rFont val="Tahoma"/>
            <family val="2"/>
          </rPr>
          <t>Ángela Adriana Ávila Ospina:</t>
        </r>
        <r>
          <rPr>
            <sz val="9"/>
            <color indexed="81"/>
            <rFont val="Tahoma"/>
            <family val="2"/>
          </rPr>
          <t xml:space="preserve">
Dada la restricción de caracteres se incluye la información de segundo semestre. 
</t>
        </r>
      </text>
    </comment>
    <comment ref="C32" authorId="4"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5"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4"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D34" authorId="0" shapeId="0" xr:uid="{618A8AA9-BD32-4EB4-AEC7-1805AB7BB2F3}">
      <text>
        <r>
          <rPr>
            <b/>
            <sz val="9"/>
            <color indexed="81"/>
            <rFont val="Tahoma"/>
            <family val="2"/>
          </rPr>
          <t>ANGELA MARCELA FORERO RUIZ:</t>
        </r>
        <r>
          <rPr>
            <sz val="9"/>
            <color indexed="81"/>
            <rFont val="Tahoma"/>
            <family val="2"/>
          </rPr>
          <t xml:space="preserve">
No está trayendo la meta programada</t>
        </r>
      </text>
    </comment>
    <comment ref="E34" authorId="0" shapeId="0" xr:uid="{509C41C9-1714-4527-BD07-5C192AABFB4E}">
      <text>
        <r>
          <rPr>
            <b/>
            <sz val="9"/>
            <color indexed="81"/>
            <rFont val="Tahoma"/>
            <family val="2"/>
          </rPr>
          <t>ANGELA MARCELA FORERO RUIZ:</t>
        </r>
        <r>
          <rPr>
            <sz val="9"/>
            <color indexed="81"/>
            <rFont val="Tahoma"/>
            <family val="2"/>
          </rPr>
          <t xml:space="preserve">
No está trayendo la meta programada</t>
        </r>
      </text>
    </comment>
    <comment ref="F34" authorId="0" shapeId="0" xr:uid="{BB5FD17C-3AD9-4FF2-A9D6-F58B8379460D}">
      <text>
        <r>
          <rPr>
            <b/>
            <sz val="9"/>
            <color indexed="81"/>
            <rFont val="Tahoma"/>
            <family val="2"/>
          </rPr>
          <t>ANGELA MARCELA FORERO RUIZ:</t>
        </r>
        <r>
          <rPr>
            <sz val="9"/>
            <color indexed="81"/>
            <rFont val="Tahoma"/>
            <family val="2"/>
          </rPr>
          <t xml:space="preserve">
No está trayendo la meta programada</t>
        </r>
      </text>
    </comment>
    <comment ref="G34" authorId="0" shapeId="0" xr:uid="{EEB78220-9385-43C6-BFBD-9D5F2E9E8306}">
      <text>
        <r>
          <rPr>
            <b/>
            <sz val="9"/>
            <color indexed="81"/>
            <rFont val="Tahoma"/>
            <family val="2"/>
          </rPr>
          <t>ANGELA MARCELA FORERO RUIZ:</t>
        </r>
        <r>
          <rPr>
            <sz val="9"/>
            <color indexed="81"/>
            <rFont val="Tahoma"/>
            <family val="2"/>
          </rPr>
          <t xml:space="preserve">
No está trayendo la meta programada</t>
        </r>
      </text>
    </comment>
    <comment ref="H34" authorId="0" shapeId="0" xr:uid="{61A4DD9F-B17E-48A8-8D74-8B2E22F8132D}">
      <text>
        <r>
          <rPr>
            <b/>
            <sz val="9"/>
            <color indexed="81"/>
            <rFont val="Tahoma"/>
            <family val="2"/>
          </rPr>
          <t>ANGELA MARCELA FORERO RUIZ:</t>
        </r>
        <r>
          <rPr>
            <sz val="9"/>
            <color indexed="81"/>
            <rFont val="Tahoma"/>
            <family val="2"/>
          </rPr>
          <t xml:space="preserve">
No está trayendo la meta programada</t>
        </r>
      </text>
    </comment>
    <comment ref="I34" authorId="0" shapeId="0" xr:uid="{EFE8BD7C-A646-43EB-BB36-3FE95329B2B2}">
      <text>
        <r>
          <rPr>
            <b/>
            <sz val="9"/>
            <color indexed="81"/>
            <rFont val="Tahoma"/>
            <family val="2"/>
          </rPr>
          <t>ANGELA MARCELA FORERO RUIZ:</t>
        </r>
        <r>
          <rPr>
            <sz val="9"/>
            <color indexed="81"/>
            <rFont val="Tahoma"/>
            <family val="2"/>
          </rPr>
          <t xml:space="preserve">
No está trayendo la meta programada</t>
        </r>
      </text>
    </comment>
    <comment ref="J34" authorId="0" shapeId="0" xr:uid="{59682363-2B61-43CC-922D-1A3AC865C4F1}">
      <text>
        <r>
          <rPr>
            <b/>
            <sz val="9"/>
            <color indexed="81"/>
            <rFont val="Tahoma"/>
            <family val="2"/>
          </rPr>
          <t>ANGELA MARCELA FORERO RUIZ:</t>
        </r>
        <r>
          <rPr>
            <sz val="9"/>
            <color indexed="81"/>
            <rFont val="Tahoma"/>
            <family val="2"/>
          </rPr>
          <t xml:space="preserve">
No está trayendo la meta programada</t>
        </r>
      </text>
    </comment>
    <comment ref="K34" authorId="0" shapeId="0" xr:uid="{EF57793C-8691-4334-9BD4-0A0DE82A6BDD}">
      <text>
        <r>
          <rPr>
            <b/>
            <sz val="9"/>
            <color indexed="81"/>
            <rFont val="Tahoma"/>
            <family val="2"/>
          </rPr>
          <t>ANGELA MARCELA FORERO RUIZ:</t>
        </r>
        <r>
          <rPr>
            <sz val="9"/>
            <color indexed="81"/>
            <rFont val="Tahoma"/>
            <family val="2"/>
          </rPr>
          <t xml:space="preserve">
No está trayendo la meta programada</t>
        </r>
      </text>
    </comment>
    <comment ref="L34" authorId="0" shapeId="0" xr:uid="{EAB73F9D-6802-435D-B762-45F91C54EB9C}">
      <text>
        <r>
          <rPr>
            <b/>
            <sz val="9"/>
            <color indexed="81"/>
            <rFont val="Tahoma"/>
            <family val="2"/>
          </rPr>
          <t>ANGELA MARCELA FORERO RUIZ:</t>
        </r>
        <r>
          <rPr>
            <sz val="9"/>
            <color indexed="81"/>
            <rFont val="Tahoma"/>
            <family val="2"/>
          </rPr>
          <t xml:space="preserve">
No está trayendo la meta programada</t>
        </r>
      </text>
    </comment>
    <comment ref="M34" authorId="0" shapeId="0" xr:uid="{E6BD0394-89E4-4956-97EA-602C22D50652}">
      <text>
        <r>
          <rPr>
            <b/>
            <sz val="9"/>
            <color indexed="81"/>
            <rFont val="Tahoma"/>
            <family val="2"/>
          </rPr>
          <t>ANGELA MARCELA FORERO RUIZ:</t>
        </r>
        <r>
          <rPr>
            <sz val="9"/>
            <color indexed="81"/>
            <rFont val="Tahoma"/>
            <family val="2"/>
          </rPr>
          <t xml:space="preserve">
No está trayendo la meta programada</t>
        </r>
      </text>
    </comment>
    <comment ref="N34" authorId="0" shapeId="0" xr:uid="{CAB7F6F1-9EF5-4C34-8B56-E376CD5BFA78}">
      <text>
        <r>
          <rPr>
            <b/>
            <sz val="9"/>
            <color indexed="81"/>
            <rFont val="Tahoma"/>
            <family val="2"/>
          </rPr>
          <t>ANGELA MARCELA FORERO RUIZ:</t>
        </r>
        <r>
          <rPr>
            <sz val="9"/>
            <color indexed="81"/>
            <rFont val="Tahoma"/>
            <family val="2"/>
          </rPr>
          <t xml:space="preserve">
No está trayendo la meta programada</t>
        </r>
      </text>
    </comment>
    <comment ref="O34" authorId="0" shapeId="0" xr:uid="{A2576D39-665F-4B43-9B13-C2074A32E1F5}">
      <text>
        <r>
          <rPr>
            <b/>
            <sz val="9"/>
            <color indexed="81"/>
            <rFont val="Tahoma"/>
            <family val="2"/>
          </rPr>
          <t>ANGELA MARCELA FORERO RUIZ:</t>
        </r>
        <r>
          <rPr>
            <sz val="9"/>
            <color indexed="81"/>
            <rFont val="Tahoma"/>
            <family val="2"/>
          </rPr>
          <t xml:space="preserve">
No está trayendo la meta programada</t>
        </r>
      </text>
    </comment>
    <comment ref="AA34" authorId="0" shapeId="0" xr:uid="{ACE183F3-46D7-4A0F-84C4-85DF5834C775}">
      <text>
        <r>
          <rPr>
            <b/>
            <sz val="9"/>
            <color indexed="81"/>
            <rFont val="Tahoma"/>
            <family val="2"/>
          </rPr>
          <t>ANGELA MARCELA FORERO RUIZ:</t>
        </r>
        <r>
          <rPr>
            <sz val="9"/>
            <color indexed="81"/>
            <rFont val="Tahoma"/>
            <family val="2"/>
          </rPr>
          <t xml:space="preserve">
</t>
        </r>
      </text>
    </comment>
    <comment ref="Q40" authorId="0" shapeId="0" xr:uid="{AE04A910-64CE-47B2-8F24-68A4DBD13DB1}">
      <text>
        <r>
          <rPr>
            <b/>
            <sz val="10"/>
            <color indexed="81"/>
            <rFont val="Tahoma"/>
            <family val="2"/>
          </rPr>
          <t>ANGELA MARCELA FORERO RUIZ:</t>
        </r>
        <r>
          <rPr>
            <sz val="10"/>
            <color indexed="81"/>
            <rFont val="Tahoma"/>
            <family val="2"/>
          </rPr>
          <t xml:space="preserve">
No se refleja el avance cualitativo correspondiente al mes de abril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Angela Marcela Forero Ruiz</author>
    <author>ANGELA MARCELA FORERO RUIZ</author>
  </authors>
  <commentList>
    <comment ref="C32" authorId="0" shapeId="0" xr:uid="{0700521F-2C5B-4B1E-98D3-93A04D2A5EDA}">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EBE48F8F-5275-46B2-860C-DE73BC9B7D25}">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4" authorId="2" shapeId="0" xr:uid="{E5D5F289-88EC-4F51-BD6E-9435E676AC92}">
      <text>
        <r>
          <rPr>
            <b/>
            <sz val="11"/>
            <color indexed="81"/>
            <rFont val="Tahoma"/>
            <family val="2"/>
          </rPr>
          <t>Angela Marcela Forero Ruiz:</t>
        </r>
        <r>
          <rPr>
            <sz val="11"/>
            <color indexed="81"/>
            <rFont val="Tahoma"/>
            <family val="2"/>
          </rPr>
          <t xml:space="preserve">
De acuerdo a lo programado el avance a Agosto debería ser del 0,92 y van en 0,79
En este campo mencionan que los retrasos identificados en julio se solucionarin y que otros retrasos observados corresponden al periodo feb-may pero que se realizó comité extraordinario el 4 de mayo.
Considero importante indicar cual es el retraso a 31 de agosto y mecionar la solución.  Según las actividades, la número 3 debería ir en 86% y va en 42%.  Justificar</t>
        </r>
      </text>
    </comment>
    <comment ref="Q38" authorId="3" shapeId="0" xr:uid="{706F946A-C57A-412F-82F7-41AE2A7ADAB4}">
      <text>
        <r>
          <rPr>
            <b/>
            <sz val="9"/>
            <color indexed="81"/>
            <rFont val="Tahoma"/>
            <family val="2"/>
          </rPr>
          <t>ANGELA MARCELA FORERO RUIZ:</t>
        </r>
        <r>
          <rPr>
            <sz val="9"/>
            <color indexed="81"/>
            <rFont val="Tahoma"/>
            <family val="2"/>
          </rPr>
          <t xml:space="preserve">
ANGELA MARCELA FORERO RUIZ:
Se presentaron avances cualitativos pero no cuantitativos y nos pueden mencionar que porqué está en 0% si hubo avances
Se sugiere mejorar la redacción indicando que aunque no se tenían actividades programadas para el mes de enero, se pudo avanzar en actividades de alistamiento relacionadas con xxx y mencionar muy corto lo que se hizo</t>
        </r>
      </text>
    </comment>
    <comment ref="Q42" authorId="2" shapeId="0" xr:uid="{C69A590E-A61D-444F-9DE7-F21185B25ADB}">
      <text>
        <r>
          <rPr>
            <b/>
            <sz val="11"/>
            <color indexed="81"/>
            <rFont val="Tahoma"/>
            <family val="2"/>
          </rPr>
          <t>Angela Marcela Forero Ruiz:</t>
        </r>
        <r>
          <rPr>
            <sz val="11"/>
            <color indexed="81"/>
            <rFont val="Tahoma"/>
            <family val="2"/>
          </rPr>
          <t xml:space="preserve">
Indicar el retraso dado que debe ir en 86% de acuerdo a lo programado y van en 42%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Ángela Adriana Ávila Ospina</author>
  </authors>
  <commentList>
    <comment ref="B7" authorId="0" shapeId="0" xr:uid="{D6541161-B684-4018-A31F-D6E2DC8FE9B8}">
      <text>
        <r>
          <rPr>
            <b/>
            <sz val="9"/>
            <color indexed="81"/>
            <rFont val="Tahoma"/>
            <family val="2"/>
          </rPr>
          <t>ANGELA MARCELA FORERO RUIZ:</t>
        </r>
        <r>
          <rPr>
            <sz val="9"/>
            <color indexed="81"/>
            <rFont val="Tahoma"/>
            <family val="2"/>
          </rPr>
          <t xml:space="preserve">
Se diligencia el nombre de la meta</t>
        </r>
      </text>
    </comment>
    <comment ref="AW10" authorId="0" shapeId="0" xr:uid="{F19CF617-AAB2-42AA-B412-7564993163F8}">
      <text>
        <r>
          <rPr>
            <b/>
            <sz val="9"/>
            <color indexed="81"/>
            <rFont val="Tahoma"/>
            <family val="2"/>
          </rPr>
          <t>ANGELA MARCELA FORERO RUIZ:</t>
        </r>
        <r>
          <rPr>
            <sz val="9"/>
            <color indexed="81"/>
            <rFont val="Tahoma"/>
            <family val="2"/>
          </rPr>
          <t xml:space="preserve">
El valor que se territorializa debe corresponder al valor comprometido a febrero es decir 1.351.177.000</t>
        </r>
      </text>
    </comment>
    <comment ref="BD40" authorId="1" shapeId="0" xr:uid="{F3ED4D8C-0980-4CD2-B509-9D843B80E4F1}">
      <text>
        <r>
          <rPr>
            <b/>
            <sz val="9"/>
            <color indexed="81"/>
            <rFont val="Tahoma"/>
            <family val="2"/>
          </rPr>
          <t>Ángela Adriana Ávila Ospina:</t>
        </r>
        <r>
          <rPr>
            <sz val="9"/>
            <color indexed="81"/>
            <rFont val="Tahoma"/>
            <family val="2"/>
          </rPr>
          <t xml:space="preserve">
Suspensión de contrato de la gestora Yuliana Karolina González.</t>
        </r>
      </text>
    </comment>
    <comment ref="BG40" authorId="1" shapeId="0" xr:uid="{0F041012-1928-41B3-9887-D934ACA8F8B7}">
      <text>
        <r>
          <rPr>
            <b/>
            <sz val="9"/>
            <color indexed="81"/>
            <rFont val="Tahoma"/>
            <family val="2"/>
          </rPr>
          <t>Ángela Adriana Ávila Ospina:</t>
        </r>
        <r>
          <rPr>
            <sz val="9"/>
            <color indexed="81"/>
            <rFont val="Tahoma"/>
            <family val="2"/>
          </rPr>
          <t xml:space="preserve">
Suspensión de contrato de la gestora Yuliana Karolina González.</t>
        </r>
      </text>
    </comment>
    <comment ref="BI40" authorId="1" shapeId="0" xr:uid="{56084E0C-4651-42C0-A1F4-3CBB99EFE394}">
      <text>
        <r>
          <rPr>
            <b/>
            <sz val="9"/>
            <color indexed="81"/>
            <rFont val="Tahoma"/>
            <family val="2"/>
          </rPr>
          <t>Ángela Adriana Ávila Ospina:</t>
        </r>
        <r>
          <rPr>
            <sz val="9"/>
            <color indexed="81"/>
            <rFont val="Tahoma"/>
            <family val="2"/>
          </rPr>
          <t xml:space="preserve">
Suspensión de contrato de la gestora Yuliana Karolina González.</t>
        </r>
      </text>
    </comment>
    <comment ref="BK40" authorId="1" shapeId="0" xr:uid="{A1B045B9-00B1-4192-845B-FFF3349FF4D7}">
      <text>
        <r>
          <rPr>
            <b/>
            <sz val="9"/>
            <color indexed="81"/>
            <rFont val="Tahoma"/>
            <family val="2"/>
          </rPr>
          <t>Ángela Adriana Ávila Ospina:</t>
        </r>
        <r>
          <rPr>
            <sz val="9"/>
            <color indexed="81"/>
            <rFont val="Tahoma"/>
            <family val="2"/>
          </rPr>
          <t xml:space="preserve">
Suspensión de contrato de la gestora Yuliana Karolina González.</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Microsoft Office User</author>
    <author>ANGELA MARCELA FORERO RUIZ</author>
  </authors>
  <commentList>
    <comment ref="AV5" authorId="0" shapeId="0" xr:uid="{00000000-0006-0000-04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4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X5" authorId="0" shapeId="0" xr:uid="{00000000-0006-0000-04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4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según: SEGPLAN, PMR, número de actividad, etc.). La codificación se puede consultar en la pestaña de  generalidades.
</t>
        </r>
      </text>
    </comment>
    <comment ref="I11" authorId="0" shapeId="0" xr:uid="{00000000-0006-0000-04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4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4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4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4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medición del indicador y del reporte del seguimiento </t>
        </r>
      </text>
    </comment>
    <comment ref="A13" authorId="1" shapeId="0" xr:uid="{CF4580E5-3178-4391-9007-213889081D46}">
      <text>
        <r>
          <rPr>
            <b/>
            <sz val="9"/>
            <color indexed="81"/>
            <rFont val="Tahoma"/>
            <family val="2"/>
          </rPr>
          <t>ANGELA MARCELA FORERO RUIZ:</t>
        </r>
        <r>
          <rPr>
            <sz val="9"/>
            <color indexed="81"/>
            <rFont val="Tahoma"/>
            <family val="2"/>
          </rPr>
          <t xml:space="preserve">
Como este indicador PMR también es meta PDD se incluye el numero de la meta al igual que en la celda del pmr con el numero del indicador pmr</t>
        </r>
      </text>
    </comment>
    <comment ref="D13" authorId="1" shapeId="0" xr:uid="{AC6AD7C7-D8FF-4776-B31B-186BB1C89D43}">
      <text>
        <r>
          <rPr>
            <b/>
            <sz val="9"/>
            <color indexed="81"/>
            <rFont val="Tahoma"/>
            <family val="2"/>
          </rPr>
          <t>ANGELA MARCELA FORERO RUIZ:</t>
        </r>
        <r>
          <rPr>
            <sz val="9"/>
            <color indexed="81"/>
            <rFont val="Tahoma"/>
            <family val="2"/>
          </rPr>
          <t xml:space="preserve">
Como este indicador PMR también es meta PDD se incluye el numero de la meta al igual que en la celda del pmr con el numero del indicador pmr</t>
        </r>
      </text>
    </comment>
    <comment ref="G13" authorId="1" shapeId="0" xr:uid="{258B972B-3D69-4417-B22F-F0A66BAF21D2}">
      <text>
        <r>
          <rPr>
            <b/>
            <sz val="9"/>
            <color indexed="81"/>
            <rFont val="Tahoma"/>
            <family val="2"/>
          </rPr>
          <t>ANGELA MARCELA FORERO RUIZ:</t>
        </r>
        <r>
          <rPr>
            <sz val="9"/>
            <color indexed="81"/>
            <rFont val="Tahoma"/>
            <family val="2"/>
          </rPr>
          <t xml:space="preserve">
Estas celdas solo se diligencian para indicadores POA</t>
        </r>
      </text>
    </comment>
    <comment ref="A14" authorId="1" shapeId="0" xr:uid="{04CB7A7A-062F-4EE3-A819-E0A5A51C4710}">
      <text>
        <r>
          <rPr>
            <b/>
            <sz val="9"/>
            <color indexed="81"/>
            <rFont val="Tahoma"/>
            <family val="2"/>
          </rPr>
          <t>ANGELA MARCELA FORERO RUIZ:</t>
        </r>
        <r>
          <rPr>
            <sz val="9"/>
            <color indexed="81"/>
            <rFont val="Tahoma"/>
            <family val="2"/>
          </rPr>
          <t xml:space="preserve">
Incluir el indicador PDD del diseño de la estrategia y toda la información correspondiente</t>
        </r>
      </text>
    </comment>
    <comment ref="J16" authorId="1" shapeId="0" xr:uid="{AA4FEF72-952C-4A20-9431-FC4C800A76FF}">
      <text>
        <r>
          <rPr>
            <b/>
            <sz val="9"/>
            <color indexed="81"/>
            <rFont val="Tahoma"/>
            <family val="2"/>
          </rPr>
          <t>ANGELA MARCELA FORERO RUIZ:</t>
        </r>
        <r>
          <rPr>
            <sz val="9"/>
            <color indexed="81"/>
            <rFont val="Tahoma"/>
            <family val="2"/>
          </rPr>
          <t xml:space="preserve">
Se sugiere redactar como tipo indicador: 
Número de registros en la ruta de divulgación y orientación</t>
        </r>
      </text>
    </comment>
    <comment ref="AV16" authorId="1" shapeId="0" xr:uid="{D45FFC29-5FB7-4AE0-AAE1-5820DEE40FEA}">
      <text>
        <r>
          <rPr>
            <b/>
            <sz val="11"/>
            <color indexed="81"/>
            <rFont val="Tahoma"/>
            <family val="2"/>
          </rPr>
          <t>ANGELA MARCELA FORERO RUIZ:</t>
        </r>
        <r>
          <rPr>
            <sz val="11"/>
            <color indexed="81"/>
            <rFont val="Tahoma"/>
            <family val="2"/>
          </rPr>
          <t xml:space="preserve">
Mencionar el resultado de los 422 registros|</t>
        </r>
      </text>
    </comment>
    <comment ref="J17" authorId="1" shapeId="0" xr:uid="{4177ACAB-BEDA-4100-B92B-47B473FD7EF7}">
      <text>
        <r>
          <rPr>
            <b/>
            <sz val="9"/>
            <color indexed="81"/>
            <rFont val="Tahoma"/>
            <family val="2"/>
          </rPr>
          <t>ANGELA MARCELA FORERO RUIZ:</t>
        </r>
        <r>
          <rPr>
            <sz val="9"/>
            <color indexed="81"/>
            <rFont val="Tahoma"/>
            <family val="2"/>
          </rPr>
          <t xml:space="preserve">
Se sugiere redactar como tipo indicador: 
Número de mujeres orientadas a través de la ruta de divulgación y orientación</t>
        </r>
      </text>
    </comment>
    <comment ref="AV17" authorId="1" shapeId="0" xr:uid="{BFDBE818-15E1-4EA1-AD61-91CCBADF94B6}">
      <text>
        <r>
          <rPr>
            <b/>
            <sz val="10"/>
            <color indexed="81"/>
            <rFont val="Tahoma"/>
            <family val="2"/>
          </rPr>
          <t>ANGELA MARCELA FORERO RUIZ:</t>
        </r>
        <r>
          <rPr>
            <sz val="10"/>
            <color indexed="81"/>
            <rFont val="Tahoma"/>
            <family val="2"/>
          </rPr>
          <t xml:space="preserve">
Mencionar el resultado de las 165 mujeres</t>
        </r>
      </text>
    </comment>
    <comment ref="J18" authorId="1" shapeId="0" xr:uid="{7AC12EFC-ABA6-48F0-A026-FDA2B4F21088}">
      <text>
        <r>
          <rPr>
            <b/>
            <sz val="9"/>
            <color indexed="81"/>
            <rFont val="Tahoma"/>
            <family val="2"/>
          </rPr>
          <t xml:space="preserve">ANGELA MARCELA FORERO RUIZ:
</t>
        </r>
        <r>
          <rPr>
            <sz val="9"/>
            <color indexed="81"/>
            <rFont val="Tahoma"/>
            <family val="2"/>
          </rPr>
          <t xml:space="preserve">Se sugiere redactar como tipo indicador: 
Número de informes ponerle nombre … tal vez numero de informes de cumplimiento al decreto 332 de 2020 por parte de entidades y organismos del Distrito </t>
        </r>
      </text>
    </comment>
    <comment ref="AI18" authorId="1" shapeId="0" xr:uid="{A666E455-7BBD-455B-B0D1-5F69D015BBD8}">
      <text>
        <r>
          <rPr>
            <b/>
            <sz val="10"/>
            <color indexed="81"/>
            <rFont val="Tahoma"/>
            <family val="2"/>
          </rPr>
          <t>ANGELA MARCELA FORERO RUIZ:</t>
        </r>
        <r>
          <rPr>
            <sz val="10"/>
            <color indexed="81"/>
            <rFont val="Tahoma"/>
            <family val="2"/>
          </rPr>
          <t xml:space="preserve">
No se hizo informe en este mes? Se menciona que se hizo el informe pero se pone cero</t>
        </r>
      </text>
    </comment>
    <comment ref="J19" authorId="1" shapeId="0" xr:uid="{AFE6BD1C-938F-4163-A0B8-1D9CDB868613}">
      <text>
        <r>
          <rPr>
            <b/>
            <sz val="9"/>
            <color indexed="81"/>
            <rFont val="Tahoma"/>
            <family val="2"/>
          </rPr>
          <t>ANGELA MARCELA FORERO RUIZ:</t>
        </r>
        <r>
          <rPr>
            <sz val="9"/>
            <color indexed="81"/>
            <rFont val="Tahoma"/>
            <family val="2"/>
          </rPr>
          <t xml:space="preserve">
Se sugiere redactar como tipo indicador: 
Número de propuestas de programas enfocados a la disminución de brecha económica entre hombres y mujeres</t>
        </r>
      </text>
    </comment>
    <comment ref="J20" authorId="1" shapeId="0" xr:uid="{45C937CD-94F1-4AE5-886F-DDF9E084C340}">
      <text>
        <r>
          <rPr>
            <b/>
            <sz val="9"/>
            <color indexed="81"/>
            <rFont val="Tahoma"/>
            <family val="2"/>
          </rPr>
          <t xml:space="preserve">ANGELA MARCELA FORERO RUIZ
ANGELA MARCELA FORERO RUIZ:
</t>
        </r>
        <r>
          <rPr>
            <sz val="9"/>
            <color indexed="81"/>
            <rFont val="Tahoma"/>
            <family val="2"/>
          </rPr>
          <t>Se sugiere redactar como tipo indicador: 
Número de informes trimestrales de supervisión de (ponerle nombre)</t>
        </r>
      </text>
    </comment>
    <comment ref="K20" authorId="1" shapeId="0" xr:uid="{037B5D8A-DEFE-4CD1-B69A-07450E90A321}">
      <text>
        <r>
          <rPr>
            <b/>
            <sz val="9"/>
            <color indexed="81"/>
            <rFont val="Tahoma"/>
            <family val="2"/>
          </rPr>
          <t>ANGELA MARCELA FORERO RUIZ:</t>
        </r>
        <r>
          <rPr>
            <sz val="9"/>
            <color indexed="81"/>
            <rFont val="Tahoma"/>
            <family val="2"/>
          </rPr>
          <t xml:space="preserve">
De acuerdo a la sugerencia el indicador sería tipo suma</t>
        </r>
      </text>
    </comment>
    <comment ref="M20" authorId="1" shapeId="0" xr:uid="{6F8DEBF1-046F-4CF2-891C-6A6915C3945F}">
      <text>
        <r>
          <rPr>
            <b/>
            <sz val="9"/>
            <color indexed="81"/>
            <rFont val="Tahoma"/>
            <family val="2"/>
          </rPr>
          <t>ANGELA MARCELA FORERO RUIZ:</t>
        </r>
        <r>
          <rPr>
            <sz val="9"/>
            <color indexed="81"/>
            <rFont val="Tahoma"/>
            <family val="2"/>
          </rPr>
          <t xml:space="preserve">
Se sugiere dejarlo como suma y poner 1 informe cada trimestre para un total de cuatro, en ese orden la unidad de medida es Número</t>
        </r>
      </text>
    </comment>
    <comment ref="Q20" authorId="1" shapeId="0" xr:uid="{C3F2BFF8-D37A-41A3-9D19-12355923F571}">
      <text>
        <r>
          <rPr>
            <b/>
            <sz val="9"/>
            <color indexed="81"/>
            <rFont val="Tahoma"/>
            <family val="2"/>
          </rPr>
          <t>ANGELA MARCELA FORERO RUIZ:</t>
        </r>
        <r>
          <rPr>
            <sz val="9"/>
            <color indexed="81"/>
            <rFont val="Tahoma"/>
            <family val="2"/>
          </rPr>
          <t xml:space="preserve">
Se sugiere dejarlo como suma y poner 1 informe cada trimestre para una meta de 4</t>
        </r>
      </text>
    </comment>
    <comment ref="X20" authorId="1" shapeId="0" xr:uid="{0F7B8C15-7EB2-440D-B069-36C99D2286A3}">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AA20" authorId="1" shapeId="0" xr:uid="{870AA46E-BB06-46BD-8F85-F20523942375}">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AD20" authorId="1" shapeId="0" xr:uid="{89853652-036B-4AEB-B85C-4D53C1228E5B}">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AG20" authorId="1" shapeId="0" xr:uid="{A8D5AB17-12E6-486C-94BA-0FBA9541335C}">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J21" authorId="1" shapeId="0" xr:uid="{C613D220-6373-4D5C-8425-EE796FCC6EEC}">
      <text>
        <r>
          <rPr>
            <b/>
            <sz val="9"/>
            <color indexed="81"/>
            <rFont val="Tahoma"/>
            <family val="2"/>
          </rPr>
          <t>ANGELA MARCELA FORERO RUIZ:</t>
        </r>
        <r>
          <rPr>
            <sz val="9"/>
            <color indexed="81"/>
            <rFont val="Tahoma"/>
            <family val="2"/>
          </rPr>
          <t xml:space="preserve">
Se sugiere redactar en términos de indicador, por ejemplo: 
Opción 1: 
Opción 2: 
Porcentaje de avance en la elaboración de los insumos para el documento técnico y así ajustar la unidad de medida, el tipo de meta, el valor, etc.
Opción 3
Documento técnico para el Comité Técnico del Programa xx elaborado 
y en ese orden ajustar el tipo de meta, la unidad de medida y demás información</t>
        </r>
      </text>
    </comment>
    <comment ref="K21" authorId="1" shapeId="0" xr:uid="{93F070DD-A70F-4121-BA1A-644F8B7DFC63}">
      <text>
        <r>
          <rPr>
            <b/>
            <sz val="9"/>
            <color indexed="81"/>
            <rFont val="Tahoma"/>
            <family val="2"/>
          </rPr>
          <t>ANGELA MARCELA FORERO RUIZ:</t>
        </r>
        <r>
          <rPr>
            <sz val="9"/>
            <color indexed="81"/>
            <rFont val="Tahoma"/>
            <family val="2"/>
          </rPr>
          <t xml:space="preserve">
De acuerdo a la sugerencia el indicador sería tipo suma</t>
        </r>
      </text>
    </comment>
    <comment ref="M21" authorId="1" shapeId="0" xr:uid="{DF30DCB5-06FC-45DB-88B1-DBB1851E92E0}">
      <text>
        <r>
          <rPr>
            <b/>
            <sz val="9"/>
            <color indexed="81"/>
            <rFont val="Tahoma"/>
            <family val="2"/>
          </rPr>
          <t>ANGELA MARCELA FORERO RUIZ:</t>
        </r>
        <r>
          <rPr>
            <sz val="9"/>
            <color indexed="81"/>
            <rFont val="Tahoma"/>
            <family val="2"/>
          </rPr>
          <t xml:space="preserve">
Ajustar de acuerdo a lo que se decida dejar como indicador</t>
        </r>
      </text>
    </comment>
    <comment ref="T21" authorId="1" shapeId="0" xr:uid="{31EB74D5-D371-4258-8C81-CE9F141B1377}">
      <text>
        <r>
          <rPr>
            <b/>
            <sz val="9"/>
            <color indexed="81"/>
            <rFont val="Tahoma"/>
            <family val="2"/>
          </rPr>
          <t>ANGELA MARCELA FORERO RUIZ:</t>
        </r>
        <r>
          <rPr>
            <sz val="9"/>
            <color indexed="81"/>
            <rFont val="Tahoma"/>
            <family val="2"/>
          </rPr>
          <t xml:space="preserve">
La periodicidad no es trimestral</t>
        </r>
      </text>
    </comment>
    <comment ref="J22" authorId="1" shapeId="0" xr:uid="{E60E33D8-A76C-4053-AC8D-A3EC42C865F2}">
      <text>
        <r>
          <rPr>
            <b/>
            <sz val="9"/>
            <color indexed="81"/>
            <rFont val="Tahoma"/>
            <family val="2"/>
          </rPr>
          <t>ANGELA MARCELA FORERO RUIZ:</t>
        </r>
        <r>
          <rPr>
            <sz val="9"/>
            <color indexed="81"/>
            <rFont val="Tahoma"/>
            <family val="2"/>
          </rPr>
          <t xml:space="preserve">
Redactar en forma de indicador, por ejemplo
Documento de fortalecimiento organizativo elaborado y poner la meta como 1 cuando se finalice o si son dos documentos entonces 1 documento en cada semestre
O si es porcentaje de avance en la elaboración del documento entonces se dejaría como indicador tipo suma, unidad de medida % y sería 50% de avance en cada uno de los semestres
Revisar por favor</t>
        </r>
      </text>
    </comment>
    <comment ref="K22" authorId="1" shapeId="0" xr:uid="{6EC1DF47-45A3-4576-9B2E-7E7E7AE4B723}">
      <text>
        <r>
          <rPr>
            <b/>
            <sz val="9"/>
            <color indexed="81"/>
            <rFont val="Tahoma"/>
            <family val="2"/>
          </rPr>
          <t>ANGELA MARCELA FORERO RUIZ:</t>
        </r>
        <r>
          <rPr>
            <sz val="9"/>
            <color indexed="81"/>
            <rFont val="Tahoma"/>
            <family val="2"/>
          </rPr>
          <t xml:space="preserve">
De acuerdo a la sugerencia el indicador sería tipo suma</t>
        </r>
      </text>
    </comment>
    <comment ref="M22" authorId="1" shapeId="0" xr:uid="{5609A21E-9C37-420D-A236-02A5910C5DBE}">
      <text>
        <r>
          <rPr>
            <b/>
            <sz val="9"/>
            <color indexed="81"/>
            <rFont val="Tahoma"/>
            <family val="2"/>
          </rPr>
          <t>ANGELA MARCELA FORERO RUIZ:</t>
        </r>
        <r>
          <rPr>
            <sz val="9"/>
            <color indexed="81"/>
            <rFont val="Tahoma"/>
            <family val="2"/>
          </rPr>
          <t xml:space="preserve">
Ajustar de acuerdo a lo que se decida dejar como indicador</t>
        </r>
      </text>
    </comment>
    <comment ref="J23" authorId="1" shapeId="0" xr:uid="{50766581-96A9-4400-BE4F-F3654512C840}">
      <text>
        <r>
          <rPr>
            <b/>
            <sz val="9"/>
            <color indexed="81"/>
            <rFont val="Tahoma"/>
            <family val="2"/>
          </rPr>
          <t>ANGELA MARCELA FORERO RUIZ:</t>
        </r>
        <r>
          <rPr>
            <sz val="9"/>
            <color indexed="81"/>
            <rFont val="Tahoma"/>
            <family val="2"/>
          </rPr>
          <t xml:space="preserve">
Redactar en forma de indicador
Documento proceso convocatoria elaborado</t>
        </r>
      </text>
    </comment>
    <comment ref="K23" authorId="1" shapeId="0" xr:uid="{DE5FDED9-0621-418B-8DF0-129CB242ED82}">
      <text>
        <r>
          <rPr>
            <b/>
            <sz val="9"/>
            <color indexed="81"/>
            <rFont val="Tahoma"/>
            <family val="2"/>
          </rPr>
          <t>ANGELA MARCELA FORERO RUIZ:</t>
        </r>
        <r>
          <rPr>
            <sz val="9"/>
            <color indexed="81"/>
            <rFont val="Tahoma"/>
            <family val="2"/>
          </rPr>
          <t xml:space="preserve">
De acuerdo a la sugerencia el indicador sería tipo suma</t>
        </r>
      </text>
    </comment>
    <comment ref="M23" authorId="1" shapeId="0" xr:uid="{8D8B89C5-9859-44C9-A5F4-69CB5BB71916}">
      <text>
        <r>
          <rPr>
            <b/>
            <sz val="9"/>
            <color indexed="81"/>
            <rFont val="Tahoma"/>
            <family val="2"/>
          </rPr>
          <t>ANGELA MARCELA FORERO RUIZ:</t>
        </r>
        <r>
          <rPr>
            <sz val="9"/>
            <color indexed="81"/>
            <rFont val="Tahoma"/>
            <family val="2"/>
          </rPr>
          <t xml:space="preserve">
Ajustar de acuerdo a lo que se decida dejar como indicador</t>
        </r>
      </text>
    </comment>
    <comment ref="T23" authorId="1" shapeId="0" xr:uid="{18D93B6F-49A5-47EC-8333-9F4BFCDF1EA6}">
      <text>
        <r>
          <rPr>
            <b/>
            <sz val="9"/>
            <color indexed="81"/>
            <rFont val="Tahoma"/>
            <family val="2"/>
          </rPr>
          <t>ANGELA MARCELA FORERO RUIZ:</t>
        </r>
        <r>
          <rPr>
            <sz val="9"/>
            <color indexed="81"/>
            <rFont val="Tahoma"/>
            <family val="2"/>
          </rPr>
          <t xml:space="preserve">
Ajustar periodicidad a anual</t>
        </r>
      </text>
    </comment>
    <comment ref="AK23" authorId="1" shapeId="0" xr:uid="{3FC3754E-B630-4BDA-8CCD-4AAB3AAB6015}">
      <text>
        <r>
          <rPr>
            <b/>
            <sz val="10"/>
            <color indexed="81"/>
            <rFont val="Tahoma"/>
            <family val="2"/>
          </rPr>
          <t>ANGELA MARCELA FORERO RUIZ:</t>
        </r>
        <r>
          <rPr>
            <sz val="10"/>
            <color indexed="81"/>
            <rFont val="Tahoma"/>
            <family val="2"/>
          </rPr>
          <t xml:space="preserve">
Se ajusta la cifra que aparece como 0.3 y debe ser 0,3</t>
        </r>
      </text>
    </comment>
    <comment ref="AV26" authorId="1" shapeId="0" xr:uid="{84F6C84A-DCD3-4D8E-9A55-EA7006647614}">
      <text>
        <r>
          <rPr>
            <b/>
            <sz val="10"/>
            <color indexed="81"/>
            <rFont val="Tahoma"/>
            <family val="2"/>
          </rPr>
          <t>ANGELA MARCELA FORERO RUIZ:</t>
        </r>
        <r>
          <rPr>
            <sz val="10"/>
            <color indexed="81"/>
            <rFont val="Tahoma"/>
            <family val="2"/>
          </rPr>
          <t xml:space="preserve">
Se ajusta redacción (en negrilla), favor revisar si  están de acuerdo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s>
  <commentList>
    <comment ref="AV5" authorId="0" shapeId="0" xr:uid="{F574CC68-0028-4A62-A7D0-DD4B68429357}">
      <text>
        <r>
          <rPr>
            <b/>
            <sz val="9"/>
            <color indexed="81"/>
            <rFont val="Tahoma"/>
            <family val="2"/>
          </rPr>
          <t>ANGELA MARCELA FORERO RUIZ:</t>
        </r>
        <r>
          <rPr>
            <sz val="9"/>
            <color indexed="81"/>
            <rFont val="Tahoma"/>
            <family val="2"/>
          </rPr>
          <t xml:space="preserve">
La reserva la tenías unicamente asociada a meta 1 $253.060.894</t>
        </r>
      </text>
    </comment>
    <comment ref="AX5" authorId="0" shapeId="0" xr:uid="{3E52845B-B979-48CD-8D3B-8C6AEC4865AC}">
      <text>
        <r>
          <rPr>
            <b/>
            <sz val="9"/>
            <color indexed="81"/>
            <rFont val="Tahoma"/>
            <family val="2"/>
          </rPr>
          <t>ANGELA MARCELA FORERO RUIZ:</t>
        </r>
        <r>
          <rPr>
            <sz val="9"/>
            <color indexed="81"/>
            <rFont val="Tahoma"/>
            <family val="2"/>
          </rPr>
          <t xml:space="preserve">
La reserva la tenías unicamente asociada a meta 1 $253.060.894</t>
        </r>
      </text>
    </comment>
    <comment ref="BA5" authorId="0" shapeId="0" xr:uid="{52F5C589-A0EC-487A-9485-31990DDA73CC}">
      <text>
        <r>
          <rPr>
            <b/>
            <sz val="9"/>
            <color indexed="81"/>
            <rFont val="Tahoma"/>
            <family val="2"/>
          </rPr>
          <t>ANGELA MARCELA FORERO RUIZ:</t>
        </r>
        <r>
          <rPr>
            <sz val="9"/>
            <color indexed="81"/>
            <rFont val="Tahoma"/>
            <family val="2"/>
          </rPr>
          <t xml:space="preserve">
La reserva la tenías unicamente asociada a meta 1 $253.060.894</t>
        </r>
      </text>
    </comment>
    <comment ref="BC5" authorId="0" shapeId="0" xr:uid="{AEAC948C-F685-4000-8E6B-0C503F057CD7}">
      <text>
        <r>
          <rPr>
            <b/>
            <sz val="9"/>
            <color indexed="81"/>
            <rFont val="Tahoma"/>
            <family val="2"/>
          </rPr>
          <t>ANGELA MARCELA FORERO RUIZ:</t>
        </r>
        <r>
          <rPr>
            <sz val="9"/>
            <color indexed="81"/>
            <rFont val="Tahoma"/>
            <family val="2"/>
          </rPr>
          <t xml:space="preserve">
La reserva la tenías unicamente asociada a meta 1 $253.060.894</t>
        </r>
      </text>
    </comment>
    <comment ref="AV36" authorId="0" shapeId="0" xr:uid="{1ECEBD24-7EEA-4841-9C0E-CB4FBB985FF4}">
      <text>
        <r>
          <rPr>
            <b/>
            <sz val="9"/>
            <color indexed="81"/>
            <rFont val="Tahoma"/>
            <family val="2"/>
          </rPr>
          <t>ANGELA MARCELA FORERO RUIZ:</t>
        </r>
        <r>
          <rPr>
            <sz val="9"/>
            <color indexed="81"/>
            <rFont val="Tahoma"/>
            <family val="2"/>
          </rPr>
          <t xml:space="preserve">
La reserva la tenías unicamente asociada a meta 1 $253.060.894</t>
        </r>
      </text>
    </comment>
    <comment ref="AX36" authorId="0" shapeId="0" xr:uid="{AFEE0574-AA0F-444B-8C71-A161008AC4A7}">
      <text>
        <r>
          <rPr>
            <b/>
            <sz val="9"/>
            <color indexed="81"/>
            <rFont val="Tahoma"/>
            <family val="2"/>
          </rPr>
          <t>ANGELA MARCELA FORERO RUIZ:</t>
        </r>
        <r>
          <rPr>
            <sz val="9"/>
            <color indexed="81"/>
            <rFont val="Tahoma"/>
            <family val="2"/>
          </rPr>
          <t xml:space="preserve">
La reserva la tenías unicamente asociada a meta 1 $253.060.894</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PC</author>
    <author>Usuario Microsoft</author>
  </authors>
  <commentList>
    <comment ref="A1" authorId="0" shapeId="0" xr:uid="{9199D789-D59C-47A8-9853-322759848DB6}">
      <text>
        <r>
          <rPr>
            <b/>
            <sz val="9"/>
            <color rgb="FF000000"/>
            <rFont val="Tahoma"/>
            <family val="2"/>
          </rPr>
          <t>PC:</t>
        </r>
        <r>
          <rPr>
            <sz val="9"/>
            <color rgb="FF000000"/>
            <rFont val="Tahoma"/>
            <family val="2"/>
          </rPr>
          <t xml:space="preserve">
</t>
        </r>
        <r>
          <rPr>
            <sz val="9"/>
            <color rgb="FF000000"/>
            <rFont val="Tahoma"/>
            <family val="2"/>
          </rPr>
          <t>FECHA DE LA ULTIMA VERSION DE PROGRAMACION RECIBIDA</t>
        </r>
      </text>
    </comment>
    <comment ref="B1" authorId="0" shapeId="0" xr:uid="{4D671E4D-352B-4E19-BBF9-BFC9E2559EB6}">
      <text>
        <r>
          <rPr>
            <b/>
            <sz val="9"/>
            <color rgb="FF000000"/>
            <rFont val="Tahoma"/>
            <family val="2"/>
          </rPr>
          <t>PC:</t>
        </r>
        <r>
          <rPr>
            <sz val="9"/>
            <color rgb="FF000000"/>
            <rFont val="Tahoma"/>
            <family val="2"/>
          </rPr>
          <t xml:space="preserve">
</t>
        </r>
        <r>
          <rPr>
            <sz val="9"/>
            <color rgb="FF000000"/>
            <rFont val="Tahoma"/>
            <family val="2"/>
          </rPr>
          <t>SI SE LLEGA A NECESITAR ELIMINAR UN PROCESO, DEBEN MARCAR "NO", EN ESTA COLUMNA</t>
        </r>
      </text>
    </comment>
    <comment ref="E1" authorId="0" shapeId="0" xr:uid="{9763FFC4-18C6-4ECB-9DBB-7DE20801B7CB}">
      <text>
        <r>
          <rPr>
            <b/>
            <sz val="9"/>
            <color rgb="FF000000"/>
            <rFont val="Tahoma"/>
            <family val="2"/>
          </rPr>
          <t>Columna incluida el 04/11/2021</t>
        </r>
      </text>
    </comment>
    <comment ref="I1" authorId="0" shapeId="0" xr:uid="{543B7972-7DBD-4EA8-8D2B-015E84CC9EE2}">
      <text>
        <r>
          <rPr>
            <b/>
            <sz val="9"/>
            <color rgb="FF000000"/>
            <rFont val="Tahoma"/>
            <family val="2"/>
          </rPr>
          <t>PC:</t>
        </r>
        <r>
          <rPr>
            <sz val="9"/>
            <color rgb="FF000000"/>
            <rFont val="Tahoma"/>
            <family val="2"/>
          </rPr>
          <t xml:space="preserve">
</t>
        </r>
        <r>
          <rPr>
            <sz val="9"/>
            <color rgb="FF000000"/>
            <rFont val="Tahoma"/>
            <family val="2"/>
          </rPr>
          <t xml:space="preserve">En orientacion al nuevo Segplan, se solicita realizar esta clasificación
</t>
        </r>
      </text>
    </comment>
    <comment ref="K1" authorId="1" shapeId="0" xr:uid="{315004F7-1E5B-48BD-8250-DDBC1962BF39}">
      <text>
        <r>
          <rPr>
            <b/>
            <sz val="9"/>
            <color rgb="FF000000"/>
            <rFont val="Tahoma"/>
            <family val="2"/>
          </rPr>
          <t>OAP:</t>
        </r>
        <r>
          <rPr>
            <sz val="9"/>
            <color rgb="FF000000"/>
            <rFont val="Tahoma"/>
            <family val="2"/>
          </rPr>
          <t xml:space="preserve">
</t>
        </r>
        <r>
          <rPr>
            <sz val="9"/>
            <color rgb="FF000000"/>
            <rFont val="Tahoma"/>
            <family val="2"/>
          </rPr>
          <t>SE DEBE SELECCIONAR EL PROPOSITO QUE CORRESPONDA DE LA LISTA DESPLEGABLE</t>
        </r>
      </text>
    </comment>
    <comment ref="L1" authorId="1" shapeId="0" xr:uid="{4082A301-0A25-4759-8F2D-9747EAC59704}">
      <text>
        <r>
          <rPr>
            <b/>
            <sz val="9"/>
            <color rgb="FF000000"/>
            <rFont val="Tahoma"/>
            <family val="2"/>
          </rPr>
          <t xml:space="preserve">OAP:
</t>
        </r>
        <r>
          <rPr>
            <sz val="9"/>
            <color rgb="FF000000"/>
            <rFont val="Tahoma"/>
            <family val="2"/>
          </rPr>
          <t>SE DEBE SELECCIONAR EL LOGRO DE CIUDAD QUE CORRESPONDA DE LA LISTA DESPLEGABLE</t>
        </r>
      </text>
    </comment>
    <comment ref="M1" authorId="1" shapeId="0" xr:uid="{CA939EC2-275F-4DAF-9EE3-383EF087515F}">
      <text>
        <r>
          <rPr>
            <b/>
            <sz val="9"/>
            <color rgb="FF000000"/>
            <rFont val="Tahoma"/>
            <family val="2"/>
          </rPr>
          <t xml:space="preserve">OAP:
</t>
        </r>
        <r>
          <rPr>
            <sz val="9"/>
            <color rgb="FF000000"/>
            <rFont val="Tahoma"/>
            <family val="2"/>
          </rPr>
          <t xml:space="preserve">SE DEBE SELECCIONAR EL PROGRAMA QUE CORRESPONDA DE LA LISTA DESPLEGABLE
</t>
        </r>
      </text>
    </comment>
    <comment ref="N1" authorId="1" shapeId="0" xr:uid="{21F9B886-9397-425B-8E54-AE6F66226558}">
      <text>
        <r>
          <rPr>
            <b/>
            <sz val="9"/>
            <color rgb="FF000000"/>
            <rFont val="Tahoma"/>
            <family val="2"/>
          </rPr>
          <t xml:space="preserve">OAP:
</t>
        </r>
        <r>
          <rPr>
            <sz val="9"/>
            <color rgb="FF000000"/>
            <rFont val="Tahoma"/>
            <family val="2"/>
          </rPr>
          <t>SE DEBE SELECCIONAR EL PROGRAMA ESTRATÉGICO QUE CORRESPONDA DE LA LISTA DESPLEGABLE</t>
        </r>
      </text>
    </comment>
    <comment ref="O1" authorId="1" shapeId="0" xr:uid="{6B683F53-9B7D-4636-A142-6389BF30F1FE}">
      <text>
        <r>
          <rPr>
            <b/>
            <sz val="9"/>
            <color rgb="FF000000"/>
            <rFont val="Tahoma"/>
            <family val="2"/>
          </rPr>
          <t xml:space="preserve">OAP:
</t>
        </r>
        <r>
          <rPr>
            <sz val="9"/>
            <color rgb="FF000000"/>
            <rFont val="Tahoma"/>
            <family val="2"/>
          </rPr>
          <t>SE DEBE SELECCIONAR LA META PLAN DE DESARROLLO QUE CORRESPONDA DE LA LISTA DESPLEGABLE</t>
        </r>
      </text>
    </comment>
    <comment ref="Q1" authorId="1" shapeId="0" xr:uid="{00F174CC-878A-4B16-BCF3-0FFB0D1F23C7}">
      <text>
        <r>
          <rPr>
            <b/>
            <sz val="9"/>
            <color rgb="FF000000"/>
            <rFont val="Tahoma"/>
            <family val="2"/>
          </rPr>
          <t xml:space="preserve">OAP: </t>
        </r>
        <r>
          <rPr>
            <sz val="9"/>
            <color rgb="FF000000"/>
            <rFont val="Tahoma"/>
            <family val="2"/>
          </rPr>
          <t>ASIGNADO A CADA PROCESO</t>
        </r>
      </text>
    </comment>
    <comment ref="R1" authorId="0" shapeId="0" xr:uid="{EDC9857D-D6B9-4D45-95AE-AAF538342352}">
      <text>
        <r>
          <rPr>
            <b/>
            <sz val="9"/>
            <color indexed="81"/>
            <rFont val="Tahoma"/>
            <family val="2"/>
          </rPr>
          <t>PC:</t>
        </r>
        <r>
          <rPr>
            <sz val="9"/>
            <color indexed="81"/>
            <rFont val="Tahoma"/>
            <family val="2"/>
          </rPr>
          <t xml:space="preserve">
SE DEBE ACTUALIZAR CON LOS NUEVOS CONCEPTOS DE GASTO
- Codigo POSPRE</t>
        </r>
      </text>
    </comment>
    <comment ref="S1" authorId="0" shapeId="0" xr:uid="{26CF2331-350F-42C8-8953-C9D06EBCB08A}">
      <text>
        <r>
          <rPr>
            <b/>
            <sz val="9"/>
            <color rgb="FF000000"/>
            <rFont val="Tahoma"/>
            <family val="2"/>
          </rPr>
          <t>PC:</t>
        </r>
        <r>
          <rPr>
            <sz val="9"/>
            <color rgb="FF000000"/>
            <rFont val="Tahoma"/>
            <family val="2"/>
          </rPr>
          <t xml:space="preserve">
</t>
        </r>
        <r>
          <rPr>
            <sz val="9"/>
            <color rgb="FF000000"/>
            <rFont val="Tahoma"/>
            <family val="2"/>
          </rPr>
          <t xml:space="preserve">SE DEBE ACTUALIZAR CON LOS NUEVOS CONCEPTOS DE GASTO
</t>
        </r>
        <r>
          <rPr>
            <sz val="9"/>
            <color rgb="FF000000"/>
            <rFont val="Tahoma"/>
            <family val="2"/>
          </rPr>
          <t>Descripción POSPRE</t>
        </r>
      </text>
    </comment>
    <comment ref="V1" authorId="0" shapeId="0" xr:uid="{DF15D515-75E4-4067-A15B-2F6F26496CD5}">
      <text>
        <r>
          <rPr>
            <b/>
            <sz val="9"/>
            <color indexed="81"/>
            <rFont val="Tahoma"/>
            <family val="2"/>
          </rPr>
          <t>PC:</t>
        </r>
        <r>
          <rPr>
            <sz val="9"/>
            <color indexed="81"/>
            <rFont val="Tahoma"/>
            <family val="2"/>
          </rPr>
          <t xml:space="preserve">
MES EN NUMERO:
ENERO = 1
FEBRERO = 2….</t>
        </r>
      </text>
    </comment>
    <comment ref="W1" authorId="0" shapeId="0" xr:uid="{B044614F-E919-4BED-87A1-1355300669B7}">
      <text>
        <r>
          <rPr>
            <b/>
            <sz val="9"/>
            <color indexed="81"/>
            <rFont val="Tahoma"/>
            <family val="2"/>
          </rPr>
          <t>PC:</t>
        </r>
        <r>
          <rPr>
            <sz val="9"/>
            <color indexed="81"/>
            <rFont val="Tahoma"/>
            <family val="2"/>
          </rPr>
          <t xml:space="preserve">
MES EN NUMERO:
ENERO = 1
FEBRERO = 2….</t>
        </r>
      </text>
    </comment>
    <comment ref="X1" authorId="1" shapeId="0" xr:uid="{AF636A33-6E3C-4D23-8D73-3C8F787AC66B}">
      <text>
        <r>
          <rPr>
            <b/>
            <sz val="9"/>
            <color rgb="FF000000"/>
            <rFont val="Tahoma"/>
            <family val="2"/>
          </rPr>
          <t xml:space="preserve">OAP: </t>
        </r>
        <r>
          <rPr>
            <sz val="9"/>
            <color rgb="FF000000"/>
            <rFont val="Tahoma"/>
            <family val="2"/>
          </rPr>
          <t>AJUSTAR A NUMERO DE DIAS</t>
        </r>
      </text>
    </comment>
    <comment ref="AA1" authorId="1" shapeId="0" xr:uid="{710CC1D6-D608-41B3-94C0-3C4CF95E96A6}">
      <text>
        <r>
          <rPr>
            <b/>
            <sz val="9"/>
            <color rgb="FF000000"/>
            <rFont val="Tahoma"/>
            <family val="2"/>
          </rPr>
          <t xml:space="preserve">OAP: </t>
        </r>
        <r>
          <rPr>
            <sz val="9"/>
            <color rgb="FF000000"/>
            <rFont val="Tahoma"/>
            <family val="2"/>
          </rPr>
          <t xml:space="preserve">VALOR TOTAL DEL PROCESO POR EL % ASIGNADO POR META
</t>
        </r>
      </text>
    </comment>
    <comment ref="AB1" authorId="1" shapeId="0" xr:uid="{DDF2E65F-881E-45D3-8A92-4788EE3352D1}">
      <text>
        <r>
          <rPr>
            <b/>
            <sz val="9"/>
            <color rgb="FF000000"/>
            <rFont val="Tahoma"/>
            <family val="2"/>
          </rPr>
          <t xml:space="preserve">OAP: </t>
        </r>
        <r>
          <rPr>
            <sz val="9"/>
            <color rgb="FF000000"/>
            <rFont val="Tahoma"/>
            <family val="2"/>
          </rPr>
          <t xml:space="preserve">VALOR HONORARIO MENSUAL DEL PROCESO POR
</t>
        </r>
        <r>
          <rPr>
            <sz val="9"/>
            <color rgb="FF000000"/>
            <rFont val="Tahoma"/>
            <family val="2"/>
          </rPr>
          <t>EL % ASIGNADO POR META</t>
        </r>
      </text>
    </comment>
    <comment ref="S71" authorId="0" shapeId="0" xr:uid="{EF8994B4-DD9C-4EC7-9103-36240F4F6C5D}">
      <text>
        <r>
          <rPr>
            <b/>
            <sz val="9"/>
            <color indexed="81"/>
            <rFont val="Tahoma"/>
            <family val="2"/>
          </rPr>
          <t>PC:</t>
        </r>
        <r>
          <rPr>
            <sz val="9"/>
            <color indexed="81"/>
            <rFont val="Tahoma"/>
            <family val="2"/>
          </rPr>
          <t xml:space="preserve">
Deben revisar y ajustar el concepto de gasto</t>
        </r>
      </text>
    </comment>
  </commentList>
</comments>
</file>

<file path=xl/sharedStrings.xml><?xml version="1.0" encoding="utf-8"?>
<sst xmlns="http://schemas.openxmlformats.org/spreadsheetml/2006/main" count="4488" uniqueCount="1283">
  <si>
    <t>SECRETARÍA DISTRITAL DE LA MUJER</t>
  </si>
  <si>
    <t>Código: DE-FO-05</t>
  </si>
  <si>
    <t xml:space="preserve">DIRECCIONAMIENTO ESTRATEGICO </t>
  </si>
  <si>
    <t>Versión: 08</t>
  </si>
  <si>
    <t xml:space="preserve">FORMULACIÓN Y SEGUIMIENTO  PLAN DE ACCIÓN </t>
  </si>
  <si>
    <t>Fecha de Emisión: 4 de enero de 2022</t>
  </si>
  <si>
    <t>Página 1 de 3</t>
  </si>
  <si>
    <t>PERIODO REPORTADO</t>
  </si>
  <si>
    <t>AGO</t>
  </si>
  <si>
    <t>FECHA DE REPORTE</t>
  </si>
  <si>
    <t>TIPO DE REPORTE</t>
  </si>
  <si>
    <t>FORMULACION</t>
  </si>
  <si>
    <t>ACTUALIZACION</t>
  </si>
  <si>
    <t>SEGUIMIENTO</t>
  </si>
  <si>
    <t>X</t>
  </si>
  <si>
    <t>NOMBRE DEL PROYECTO</t>
  </si>
  <si>
    <t>7673 - Desarrollo de capacidades para aumentar la autonomía y empoderamiento de las mujeres en toda su diversidad en Bogotá</t>
  </si>
  <si>
    <t>PROPÓSITO</t>
  </si>
  <si>
    <t xml:space="preserve">1 - Hacer un nuevo contrato social con igualdad de oportunidades para la inclusión social, productiva y política </t>
  </si>
  <si>
    <t>LOGRO</t>
  </si>
  <si>
    <t>2 -  Reducir la pobreza monetaria, multidimensional y la feminización de la pobreza.</t>
  </si>
  <si>
    <t>PROGRAMA</t>
  </si>
  <si>
    <t>Igualdad de oportunidades y desarrollo de capacidades para las mujeres</t>
  </si>
  <si>
    <t>DESCRIPCIÓN DE LA META (ACTIVIDAD MGA)</t>
  </si>
  <si>
    <t>Formar 26.100 mujeres en sus derechos a través de procesos de desarrollo de capacidades en el uso TIC</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</si>
  <si>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</si>
  <si>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</si>
  <si>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</si>
  <si>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</si>
  <si>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</si>
  <si>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</si>
  <si>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</si>
  <si>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</si>
  <si>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</si>
  <si>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</si>
  <si>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</si>
  <si>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</si>
  <si>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SEP</t>
  </si>
  <si>
    <t>OCT</t>
  </si>
  <si>
    <t>NOV</t>
  </si>
  <si>
    <t>DIC</t>
  </si>
  <si>
    <t>TOTAL</t>
  </si>
  <si>
    <t>AVANCE</t>
  </si>
  <si>
    <t>PROGRAMACION DE COMPROMISOS</t>
  </si>
  <si>
    <t>COMPROMISOS</t>
  </si>
  <si>
    <t>Este valor incluye los recursos del proceso en curso 2021- SIMISIONAL 2,0 ($50.000.000)</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</si>
  <si>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</si>
  <si>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</si>
  <si>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</si>
  <si>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</si>
  <si>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</si>
  <si>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</si>
  <si>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</si>
  <si>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Ene-Jun</t>
  </si>
  <si>
    <r>
      <rPr>
        <b/>
        <sz val="11"/>
        <color rgb="FF000000"/>
        <rFont val="Times New Roman"/>
      </rPr>
      <t xml:space="preserve">Agosto ($26.958.669 giros). </t>
    </r>
    <r>
      <rPr>
        <sz val="11"/>
        <color rgb="FF000000"/>
        <rFont val="Times New Roman"/>
      </rPr>
      <t xml:space="preserve">Del contrato 671-2021 suscrito con la EMPRESA DE TELECOMUNICACIONES DE BOGOTÁ S.A. E.S.P. - ETB S.A. ESP para comunicaciones convergentes se giraron $26.958.669 de los cuales van con cargo a la meta 1 el 94% $25.341.148,86 y un saldo del 6% con cargo a la meta 3 por $1.617.520,14.
</t>
    </r>
    <r>
      <rPr>
        <b/>
        <sz val="11"/>
        <color rgb="FF000000"/>
        <rFont val="Times New Roman"/>
      </rPr>
      <t xml:space="preserve">Julio ($35.681.367 giros). </t>
    </r>
    <r>
      <rPr>
        <sz val="11"/>
        <color rgb="FF000000"/>
        <rFont val="Times New Roman"/>
      </rPr>
      <t xml:space="preserve">Del contrato 671-2021 suscrito con la EMPRESA DE TELECOMUNICACIONES DE BOGOTÁ S.A. E.S.P. - ETB S.A. ESP para comunicaciones convergentes se giraron $35.681.367 de los cuales van con cargo a la meta 1 el 94% $33.540.484,98 y un saldo del 6% con cargo a la meta 3 por $2.140.882,02.
</t>
    </r>
    <r>
      <rPr>
        <b/>
        <sz val="11"/>
        <color rgb="FF000000"/>
        <rFont val="Times New Roman"/>
      </rPr>
      <t>Junio ($29.328.193 giros)</t>
    </r>
    <r>
      <rPr>
        <sz val="11"/>
        <color rgb="FF000000"/>
        <rFont val="Times New Roman"/>
      </rPr>
      <t xml:space="preserve">. Del contrato 265 de 2021 suscrito con Yina Robayo se giraron $1,750,000.  Del contrato 671-2021 suscrito con la EMPRESA DE TELECOMUNICACIONES DE BOGOTÁ S.A. E.S.P. - ETB S.A. ESP para comunicaciones convergentes se giraron $31.088.503 de los cuales van con cargo a la meta 1 el 94% $27.578.192,82 y un saldo del 6% con cargo a la meta 3 por $1.760.310,18
</t>
    </r>
    <r>
      <rPr>
        <b/>
        <sz val="11"/>
        <color rgb="FF000000"/>
        <rFont val="Times New Roman"/>
      </rPr>
      <t>Mayo ($64.085.880,60 giros, $4,167,765 anulaciones)</t>
    </r>
    <r>
      <rPr>
        <sz val="11"/>
        <color rgb="FF000000"/>
        <rFont val="Times New Roman"/>
      </rPr>
      <t xml:space="preserve">. Del contrato 163-2020 se anularon $4,167,765. Del contrato 265 de 2021 suscrito con Yina Robayo se giraron $3,500,000. Del contrato 944 de 2021 suscrito con COMERCIALIZADORA ELECTROCON SAS se giraron $2,496,700.  Del contrato 671-2021 suscrito con la EMPRESA DE TELECOMUNICACIONES DE BOGOTÁ S.A. E.S.P. - ETB S.A. ESP para comunicaciones convergentes se giraron $57,070,608, de los cuales van con cargo a la meta 1 el 94% $53,646,371.52, y un salgo del 6% con cargo a la meta 3 por $3.424.236,48
</t>
    </r>
    <r>
      <rPr>
        <b/>
        <sz val="11"/>
        <color rgb="FF000000"/>
        <rFont val="Times New Roman"/>
      </rPr>
      <t>Abril ($31.500.000 giros; $4.759.996 anulaciones):</t>
    </r>
    <r>
      <rPr>
        <sz val="11"/>
        <color rgb="FF000000"/>
        <rFont val="Times New Roman"/>
      </rPr>
      <t xml:space="preserve"> Del contrato 78092-2021 con PANAMERICANA se anularon $4.759.996. Del contrato 963 de 2021 suscrito con la empresa MINDIT se giraron $31.500.000</t>
    </r>
  </si>
  <si>
    <t>Junio ($29.328.193 giros). Del contrato 265 de 2021 suscrito con Yina Robayo se giraron $1,750,000.  Del contrato 671-2021 suscrito con la EMPRESA DE TELECOMUNICACIONES DE BOGOTÁ S.A. E.S.P. - ETB S.A. ESP para comunicaciones convergentes se giraron $31.088.503de los cuales van con cargo a la meta 1 el 94% $27.578.192,82 y un saldo del 6% con cargo a la meta 3 por $1.760.310,18
Mayo ($64.085.880,60 giros, $4,167,765 anulaciones). Del contrato 163-2020 se anularon $4,167,765. Del contrato 265 de 2021 suscrito con Yina Robayo se giraron $3,500,000. Del contrato 944 de 2021 suscrito con COMERCIALIZADORA ELECTROCON SAS se giraron $2,496,700.  Del contrato 671-2021 suscrito con la EMPRESA DE TELECOMUNICACIONES DE BOGOTÁ S.A. E.S.P. - ETB S.A. ESP para comunicaciones convergentes se giraron $57,070,608, de los cuales van con cargo a la meta 1 el 94% $53,646,371.52, y un salgo del 6% con cargo a la meta 3 por $3.424.236,48
Abril ($31.500.000 giros; $4.759.996 anulaciones): Del contrato 78092-2021 con PANAMERICANA se anularon $4.759.996. Del contrato 963 de 2021 suscrito con la empresa MINDIT se giraron $31.500.000
Marzo ($180.802.209): Del contrato 671-2021 suscrito con la EMPRESA DE TELECOMUNICACIONES DE BOGOTÁ S.A. E.S.P. - ETB S.A. ESP para comunicaciones convergentes, por valor de $49.766.332 de los cuales van con cargo a la meta 1, el 94% correspondiente a un valor de $46.780.352,08, el saldo del 6%, por valor de $2.985.979,92 va con cargo a la meta 3. Del contrato 944-2021 suscrito con la empresa COMERCIALIZADORA ELECTROCON SAS, se giraron $3.514.700. De la orden de compra 83697 de 2021 suscrita con UNIPLES S.A. se giraron $130.507.157.
Febrero ($9.406.243): Del contrato 671-2021 suscrito con la EMPRESA DE TELECOMUNICACIONES DE BOGOTÁ S.A. E.S.P. - ETB S.A. ESP para comunicaciones convergentes, por valor de $10.006.641 De los cuales van con cargo a la meta 1, el 94% correspondiente a un valor de $9.406.242,54. El saldo del 6%, por valor de $600.398,46 va con cargo a la meta 3.
Enero ($26.967.057): Del contrato 671-2021 suscrito con la EMPRESA DE TELECOMUNICACIONES DE BOGOTÁ S.A. E.S.P. - ETB S.A. ESP para comunicaciones convergentes, por valor de $28.688.359. De los cuales van con cargo a la meta 1, el 94% correspondiente a un valor de $26.967.057,46. El saldo del 6%, por valor de $1.721.301,54 va con cargo a la meta 3.</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</si>
  <si>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</si>
  <si>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</si>
  <si>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</si>
  <si>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</si>
  <si>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</si>
  <si>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</si>
  <si>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</si>
  <si>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</si>
  <si>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Ene</t>
  </si>
  <si>
    <t>Feb</t>
  </si>
  <si>
    <t>Mar</t>
  </si>
  <si>
    <t>Abr</t>
  </si>
  <si>
    <t>May</t>
  </si>
  <si>
    <t>Jun</t>
  </si>
  <si>
    <t>Jul</t>
  </si>
  <si>
    <t>Ago</t>
  </si>
  <si>
    <t>Programación</t>
  </si>
  <si>
    <t>Acorde con la programación para agosto se formaron un total de 729 mujeres, para un avance del 76%  (5,311 mujeres) en la meta 2022, en los siguientes procesos de formación:
a. Informática: Microsoft Word, Excel e Internet: 633 (24  febrero, 158 marzo, 67 abril, 125 mayo, 63 junio, 74 julio, 122 agosto)
b. Herramientas TIC - Fotografía digital: 3 (1 febrero, 2  marzo)
c. Herramientas TIC - Manejo de Adobe Photoshop: 4 (2 febrero, 2  marzo)
d. Habilidades Socioemocionales Moodle: 49 (24 febrero, 25  marzo)
e. Educación Financiera Moodle: 234 (83 febrero, 41 marzo, 3 abril, 2  mayo, 105 julio)
f.  Habilidades Socioemocionales - CID: 2,066 (237 febrero, 341  marzo, 377 abril, 364 mayo, 248 junio, 204 julio, 295 agosto)
g. Habilidades digitales: 1688 (148 febrero, 340  marzo, 151 abril, 340  mayo, 242 junio, 227 julio, 240 agosto)
h. Introducción a los indicadores de género: 20 (4 febrero, 2  marzo, 6 abril, 3 mayo, 5 agosto)
i. Construcción y aplicación de indicadores de género en ideas de proyecto: 10 (3 febrero 7 junio)
j. Derechos de las mujeres y TIC: 206 (4 febrero, 21  marzo, 15 abril, 28  mayo, 73 junio, 30 julio, 35 agosto)
k. Prevención de violencias digitales: 179 (19  marzo,55 abril, 22 mayo,38 junio, 38 julio, 7 agosto)
l. Claves para ingresar al mundo laboral: 94 (25 abril, 14  mayo, 14 junio, julio 30, 11 agosto)
m. Constructoras Tic para la Paz: 4 (4 abril)
n. Manejo básico de herramientas Microsoft Office 2016: Excel: 67 (30 abril, 24 en mayo. 4 junio, 9 julio)
o. Manejo intermedio de herramientas Microsoft office Excel 2016: 27 (7 abril, 12 en junio 8 julio).
p. Emprendimiento Digital: 14 (julio, 1 agosto)
q. Inglés Básico Nivel 1: 13 (agosto)
Las facilitadoras realizan  seguimiento y recolección de aprendizajes mediante instrumentos previamente diseñados, que favorecen la identificación de beneficios para las mujeres que participan del proceso.</t>
  </si>
  <si>
    <t xml:space="preserve">Se han presentado dificultades en las adecuaciones de los Centros de Inclusión Digital, esto debido a retrasos en la entrega de materiales de feterriteria. No obstante, para solventar la situación, se crearon mesas de trabajo con el área encargada de la entidad, para asegurar el cumplimiento del cronograma pactado y dar cumplimiento a lo programado.
Estas mesas de trabajo, se iniciarón en el mes de abril y se les ha dado sostenibilidad en los meses siguientes, permitiendo contar con la adecuación del CID  de la localidad de Kennedy, durante el mes de agosto. </t>
  </si>
  <si>
    <t xml:space="preserve">Desde los procesos de formación SENA, las mujeres del Distrito encuentran un amplio rango de procesos formativos en las certificaciones del convenio entre el SENA y la SDMujer que generan oportunidades laborales y educativas propendiendo por la mejora en su calidad de vida.
En los procesos de formación de los CID, las mujeres aplicaron lo aprendido en los cursos desarrollados en su vida cotidiana, gracias a que aplicaron inteligencia emocional en los conflictos y situaciones con sus hijos e hijas, en sus lugares de trabajo, mejorando la escucha y mejorando en la toma de desiciones. Al conocer mejor las herramientas digitales como las aplicaciones de los teléfono inteligente, han mejorado su calidad de vida facilitando tramites como el uso de la ubicación para buscar lugares y movilizarse por la ciudad con mas seguridad; o realizar trámites bancarios por el celular. </t>
  </si>
  <si>
    <t>En enero, no se reportan avances de seguimiento a la meta, considerando que se realizó el proceso de planeación estratégica y definición de productos en el marco de lo programado para la vigencia 2022, las acciones de ejecución se centraron en la formalización de los procesos precontractuales.</t>
  </si>
  <si>
    <t>Febrero - 531 mujeres formadas en, Informática: Word, Excel e Internet: 24, Herramientas TIC: 1, Adobe Photoshop: 2, Socioemocionales. Moodle: 25, Edu.Fin: 83, Hab.Socioemocionales.CID: 237, Hab.Digitales: 148, Indicadores. Género: 4, Aplicación.ind.género: 3 mujeres. Derechos. Mujeres y TIC: 4.</t>
  </si>
  <si>
    <t>950 mujeres formadas en: Informática: Microsoft Word, Excel: 158. Fotografía digital: 2. Adobe Photoshop: 2. Hab.Socioemocionales: 24
Edu.Financiera: 41. Hab.Socioemocionales-CID: 341. Hab.digitales: 340. Int.Indicadores.género: 2. Derechos. Mujeres-TIC: 21. Prevención violencias digitales: 19.</t>
  </si>
  <si>
    <t>740 formadas: Word, Excel, Internet:67. Edu.Financiera:3. Hab.Socioemocionales-CID:377. Hab.digitales:151. Int.indicadores género:6. Derechos de mujeres y TIC:15. Prevención violencias digitales:55. Claves ingreso al mundo laboral:25. Constructoras Tic para Paz:4. Básico excel:30. Intermedio excel:7</t>
  </si>
  <si>
    <t xml:space="preserve">922 mujeres formadas: Informática: 125. Edu.Financiera Moodle: 2. Hab.Socioemocionales-CID: 364. Hab.digitales: 340. Int.Ind.Género: 3. Derechos de las mujeres-TIC: 28. Prevención violencias digitales: 22. Claves para ingresar al mundo laboral: 14. Manejo básico Microsoft Office 2016: Excel: 24. </t>
  </si>
  <si>
    <t>701 mujeres formadas en: Informática: 63. Hab.Socioemocionales-CID: 248. Hab.digitales: 242. Const y aplicación ind. de género en ideas de proyecto: 7. Der.de las mujeres y TIC: 73. Prevención violencias digitales:38. Claves ingreso al mundo laboral: 14. Básico Excel: 4. Intermedio Excel: 12.</t>
  </si>
  <si>
    <t>738 mujeres formadas en: Microsoft.Word.Excel.Internet:74. Edu.financiera-Moodle:105. Hab.Socioemocionales-CID:204. Hab.digitales:227. Der.mujeresyTIC: 30. Prev.Violencias.Dig:38. Claves.ing.mundo.lab: 30. Básico.Office:9. Intermedio.office: 8. Emp.Dig:13.</t>
  </si>
  <si>
    <t>729 mujeres formadas en:
Microsoft Word, Excel e Internet: 122. Hab.Socioemocionales-CID: 295. Hab.digitales: 240.  Int. indicadores género: 5. Der.Mujeres-TIC: 35. Prevención.violencias digitales: 7. Claves.ingresar.a.mundo laboral: 4. Intermedio Microsoft office Excel 2016: 1 . Inglés.Básico: 13.</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</si>
  <si>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</si>
  <si>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</si>
  <si>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</si>
  <si>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</si>
  <si>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</si>
  <si>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</si>
  <si>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</si>
  <si>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</si>
  <si>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</si>
  <si>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</si>
  <si>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</si>
  <si>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</si>
  <si>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</si>
  <si>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</si>
  <si>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</si>
  <si>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</si>
  <si>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</si>
  <si>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</si>
  <si>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</si>
  <si>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</si>
  <si>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Diseñar y /o actualizar cinco (5) contenidos  pedagógicos de formación: Uno (1) para modalidad presencial; uno (1) para modalidad virtual, y tres (3) de la plataforma Moodle</t>
  </si>
  <si>
    <r>
      <t>Acorde con la actividad programada, se realizó el diseñó y /o actualización de cuatro (4) contenidos  pedagógicos de formación, específicamente:</t>
    </r>
    <r>
      <rPr>
        <b/>
        <sz val="11"/>
        <color rgb="FF000000"/>
        <rFont val="Times New Roman"/>
        <family val="1"/>
      </rPr>
      <t xml:space="preserve">
Modalidad virtual:
1. Se diseño el curso virtual "Tres aspectos infaltables para que logres trabajar", fue cargado en la plataforma Moodle y se realiza el diseño de línea grafica, compuesto de 6 módulos cada uno en HTML, CSS y JavaScript, con sus actividades pedagógicas.En el mes de abril se inició su implementación. En el mes de julio se realiza actualización de los contenidos audiovisuales.
Plataforma Moodle:
2. Se realiza la implementación dentro de la Plataforma Moodle de la Secretaría Distrital de la Mujer la Escuela de Educación Emocional, diseñando y virtualizando los contenidos de acuerdo con la estrategia metodológica de la DGC.</t>
    </r>
    <r>
      <rPr>
        <sz val="11"/>
        <color rgb="FF000000"/>
        <rFont val="Times New Roman"/>
        <family val="1"/>
      </rPr>
      <t xml:space="preserve">
3. Se realiza la virtualización e implementación en los contenidos del Curso Virtual Derecho a la participación y representación con equidad de la Plataforma Moodle de la SDMujer de acuerdo con la estrategia metodológica de la DGC. En le mes de julio se realizan ajustes a contenidos y administración del curso. En el mes de agosto se realiza la creación e inscripción de  de usuarios para la administración del curso.
4. Se realiza el acompañamiento de la implementación de los cursos virtuales "Cuidamos a las que nos cuidan" y "A cuidar se aprende" de la Dirección de Cuidado.  
Adicionalmente se continua con la virtualización dentro de los módulos en animación, producción e implementación de contenidos audiovisuales de ajustes en los contenidos del Curso Habilidades Socioemocionales en su segunda version.</t>
    </r>
    <r>
      <rPr>
        <b/>
        <sz val="11"/>
        <color rgb="FF000000"/>
        <rFont val="Times New Roman"/>
        <family val="1"/>
      </rPr>
      <t xml:space="preserve">
Modalidad presencial:
5. En el mes de mayo se construyeron las guías para la estructura del curso "Aprendiendo Office" y para el mes de junio se construyeron los contenidos de los módulos 1 y 2 del curso, para el mes de julio los módulos 3 y 4 y en el mes de agosto los módulos 5 y 6
Anexos:
1. Soportes cursos Virtuales
2. Soportes cursos</t>
    </r>
    <r>
      <rPr>
        <sz val="11"/>
        <color rgb="FF000000"/>
        <rFont val="Times New Roman"/>
        <family val="1"/>
      </rPr>
      <t xml:space="preserve">  Moodle
3. Soportes cursos presenciales</t>
    </r>
  </si>
  <si>
    <t>2. Diseñar e implementar una (1) estrategia de convocatoria para asegurar la vinculación de mujeres a los procesos de formación presencial, virtual y de la plataforma Moodle</t>
  </si>
  <si>
    <r>
      <rPr>
        <sz val="11"/>
        <color rgb="FF000000"/>
        <rFont val="Times New Roman"/>
      </rPr>
      <t xml:space="preserve">Como parte de la planeación estratégica y definición de productos en el marco de lo programado para la vigencia 2022, se planteo una estrategia de convocatoria de los procesos de formación de la Dirección de Gestión del Conocimiento, esta inicio en el mes de marzo y se le ha dado sostenibilidad y retroalimentación a lo largo de la vigencia. Para el mes de agosto, especificamente:
a. Publicaciones periódicas en las redes sociales oficiales de la entidad de los cursos Habilidades Digitales, Claves para Ingresar al Mundo Laboral, Curso Habilidades Socioemocionales.
b. Durante tres días correspondientes al 4, 10, y 29 de agosto, se sube la información de los diez cursos brindados por la Dirección de Gestión del Conocimiento estipulado por la Alcaldía de Bogotá para su publicación en la página web “Portal Bogotá” con el fin de convocar población exógena al target de la Secretaría Distrital de la Mujer a los procesos de formación.
c. Balance de los aciertos desaciertos y acciones de mejora con miras al 2023.
</t>
    </r>
    <r>
      <rPr>
        <b/>
        <sz val="11"/>
        <color rgb="FF000000"/>
        <rFont val="Times New Roman"/>
      </rPr>
      <t xml:space="preserve">
Anexos:
1. Oferta formativa 2022 con link de inscripción
2. Captura de Pantalla de publicaciones en redes sociales
3. Listas de Excel enviadas a "Portal Bogotá"
4. Documento de estrategia de convocatoria
5. Listado de cursos SENA
</t>
    </r>
    <r>
      <rPr>
        <sz val="11"/>
        <color rgb="FF000000"/>
        <rFont val="Times New Roman"/>
      </rPr>
      <t>6. Soportes articulaciones MinSalud-USPEC</t>
    </r>
  </si>
  <si>
    <t>3. Elaborar tres reportes mensuales de seguimiento a las mujeres formadas:
Uno (1) de los CID , uno de Moodle, uno de otros procesos de formación en el marco de la Gerencia de Formación</t>
  </si>
  <si>
    <r>
      <t>Los procesos de formación han alcanzado un total de 5,311 mujeres en sus derechos a través  del desarrollo de capacidades en el uso TIC, para un avance del 76% en la meta. Se realiza un reporte por cada uno de los procesos adelantados en el marco de la meta de formación a mujeres en temas TIC, estos son:</t>
    </r>
    <r>
      <rPr>
        <b/>
        <sz val="11"/>
        <color rgb="FF000000"/>
        <rFont val="Times New Roman"/>
        <family val="1"/>
      </rPr>
      <t xml:space="preserve">
Proceso Moodle:
a. Habilidades Socioemocionales Moodle: 138</t>
    </r>
    <r>
      <rPr>
        <sz val="11"/>
        <color rgb="FF000000"/>
        <rFont val="Times New Roman"/>
        <family val="1"/>
      </rPr>
      <t xml:space="preserve">  (24 febrero, 25 marzo, 43 mayo, 35 junio, 11 agosto)
b. Educación Financiera Moodle: 295  (83 febrero, 41 marzo, 3 abril, 72 mayo, 67 junio, 29 agosto)
c. Claves para ingresar al mudo laboral: 455  (25 abril y 354 mayo, 76 junio, 172 agosto)</t>
    </r>
    <r>
      <rPr>
        <b/>
        <sz val="11"/>
        <color rgb="FF000000"/>
        <rFont val="Times New Roman"/>
        <family val="1"/>
      </rPr>
      <t xml:space="preserve">
CID Presencial y Virtual:
a. Habilidades Socioemocionales - CID: 2,066</t>
    </r>
    <r>
      <rPr>
        <sz val="11"/>
        <color rgb="FF000000"/>
        <rFont val="Times New Roman"/>
        <family val="1"/>
      </rPr>
      <t xml:space="preserve">  (237 febrero, 341  marzo, 377 abril, 364 mayo, 248 junio, 204 julio, 295 agosto)
b. Habilidades digitales: 1688  (148 febrero, 340  marzo, 151 abril, 340  mayo, 242 junio, 227 julio, 240)
c. Introducción a los indicadores de género: 20  (4 febrero, 2 marzo, 6 abril, 3 mayo, 5 agosto)
d. Construcción y aplicación de indicadores de género: 10 (3 febrero y 7 junio)
e. Derechos de las mujeres y TIC:  206 (4 febrero, 21  marzo, 15 abril, 28  mayo, 73 junio, 30 julio, 35 agosto)
f.  Constructoras Tic para la Paz: 4  (4 abril)
g. Prevención de violencias digitales: 179 (19  marzo,55 abril, 22 mayo,38 junio, 38 julio, 7 agosto)</t>
    </r>
    <r>
      <rPr>
        <b/>
        <sz val="11"/>
        <color rgb="FF000000"/>
        <rFont val="Times New Roman"/>
        <family val="1"/>
      </rPr>
      <t xml:space="preserve">
Otros procesos de formación SENA:
a. Informática: 847 (24 febrero, 158 marzo, 67 abril, 154 mayo, 160 junio, 126 julio, 158 agosto)
b. Fotografía digital: 3 (1 febrero, 2 marzo)
c. Manejo de Adobe Photoshop:</t>
    </r>
    <r>
      <rPr>
        <sz val="11"/>
        <color rgb="FF000000"/>
        <rFont val="Times New Roman"/>
        <family val="1"/>
      </rPr>
      <t xml:space="preserve">  4 (2 febrero, 2 marzo)
d. Microsoft Office 2016: Excel: 280 (7 abril,109 mayo, 98 junio, 44 julio, 22 agosto)
e. Diseño de páginas web: 5 (5 julio)
f. Emprendimiento digital: 39 mujeres (15  julio, 24 agosto)
g. Inglés N1: 33 (33 Agosto)</t>
    </r>
    <r>
      <rPr>
        <b/>
        <sz val="11"/>
        <color rgb="FF000000"/>
        <rFont val="Times New Roman"/>
        <family val="1"/>
      </rPr>
      <t xml:space="preserve">
Anexos:
a. Base de datos CID
b. Base de datos SENA
c. Base de datos Moodle</t>
    </r>
  </si>
  <si>
    <t xml:space="preserve">4. Realizar cuatro (4) jornadas de reconocimiento a las mujeres formadas en los Centros de Inclusión Digital </t>
  </si>
  <si>
    <r>
      <t>Los procesos de reconocimiento a mujeres se realizara a un grupo de participantes de los Centro de Inclusión Digital y/o localidad que se formaran en los cursos, esto como una estrategia para visibilizar los esfuerzos que realizan las mujeres para participar en estos espacios de formativos, asimismo, motivar a otras mujeres para que se vinculen en los procesos.</t>
    </r>
    <r>
      <rPr>
        <b/>
        <sz val="11"/>
        <color rgb="FF000000"/>
        <rFont val="Times New Roman"/>
        <family val="1"/>
      </rPr>
      <t xml:space="preserve">
1ra jornada de reconocimiento:
En el mes de marzo se realizó la planeación de la jornada de reconocimiento a las mujeres que participaron en los procesos de formación, y se realizó el día 28 abril en auditorio de la Biblioteca Virgilio Barco, de 8am a 11 am., con la entrega de 54 constancia de participación.
2da jornada de reconocimiento:
En el mes de junio, y de acuerdo con lo programado, se realizó la segunda jornada de reconocimiento a las mujeres que participaron en los procesos e formación de los CIDel 29 de junio en la Biblioteca Virgilio Barco, de 8 am a 11 am con la entrega de 86 constancias de participación.
3ra jornada de reconocimiento:
En el mes de agosto, se realizó la tercera jornada de reconocimiento a las mujeres que participaron en los procesos e formación de los CID el 25 de agosto en la Biblioteca Virgilio Barco, de 8 am a 11 am con la entrega de 73 constancias de participación.
Anexos:
1. Formato de Planeación de la jornada.
2. Soportes 1ra Jornada de reconocimiento
3. Soportes 2da jornada de reconocimiento
4. Soportes 3ra jornada de reconocimiento</t>
    </r>
  </si>
  <si>
    <t>5. Adecuar la infraestructura tecnológica de los Centros de Inclusión Digital, aportando a la inclusión del enfoque diferencial</t>
  </si>
  <si>
    <r>
      <t>Se coordinó con el área de almacén el cronograma de apertura de Centros de Inclusión Digital vigentes para el 2022, distribuyendo la asignación de inventarios.
Asimismo, se realizó reunión de articulación interna de la entidad para la coordinación de la apertura de la Manzana de Cuidado de Santa Fe, espacio donde se adecuará un Centro de Inclusión Digital.
En el mes de febrero se realizó la adecuación y se dio apertura del CID Santa Fe en el marco de la apertura de la Manzana del Cuidado del Centro. También se iniciaron las adecuaciones del CID de Antonio Nariño y  San Cristóbal, los cuales serán entregados en el mes de marzo.
En el mes de marzo, las adecuaciones han tenido retrasos debido a la espera de pintura para la nueva imagen en los CID de San Cristóbal, Antonio Nariño y Chapinero (Correos con diseños enviados desde el 14 de marzo a Mantenimiento) y por espera en adecuaciones locativas de las paredes del CID Teusaquillo.
En abril se avanzó en la adecuación de los siguientes CID:  Antonio Nariño, San Cristóbal, Chapinero y Teusaquillo, los cuales quedaron en funcionamiento, con unos pocos requerimientos tecnológicos pendientes. Por su parte los CID de Puente Aranda, Tunjuelito, Rafael Uribe Uribe y Fontibón quedan con Render listo para adecuaciones en el mes de Mayo y Junio.
Para el mes de mayo se adecuó el CID Puente Aranda. Los CID de Tunjuelito, Rafael Uribe Uribe, Fontibón, Ciudad Bolívar, Candelaria y Engativá quedan con Render listo para adecuaciones en el mes de Junio y Julio.
En el mes de junio se desarrolla la adecuación completa del CID Engativá.
En el mes de julio se finaliza la adecuación completa del CID  Tunjuelito. Los CID de Kennedy y Barrios Unidos tienen nuevas casas.
En el mes de agosto se finalizó la adecuación del CID  Kennedy, se realizó el trasteo del CID Puente Aranda. CID Suba se diseñó Render y está listo para pintar.</t>
    </r>
    <r>
      <rPr>
        <b/>
        <sz val="11"/>
        <color rgb="FF000000"/>
        <rFont val="Times New Roman"/>
        <family val="1"/>
      </rPr>
      <t xml:space="preserve">
Anexos:
a. Fotos adecuaciones CID Nuevos
b. Cronograma y seguimiento de adecuaciones.</t>
    </r>
  </si>
  <si>
    <t>6. Actualizar una (1) memoria del proceso de formación durante la vigencia que recoja los aprendizajes cualitativos de las mujeres</t>
  </si>
  <si>
    <r>
      <rPr>
        <sz val="11"/>
        <color rgb="FF000000"/>
        <rFont val="Times New Roman"/>
      </rPr>
      <t xml:space="preserve">De acuerdo a lo programado, en el mes de julio se inició con el proceso de actualización de la memoria de formación: se revisó el material recopilado durante los meses anteriores, y se definieron las líenas de actualización de la memoria como hacer un trailer con un coleage d elas imágenes de los videos tesmonios que se tomarán en cuenta, e incluir audios de las facilitadoras con las historias de las mujeres que han participado en alguno de los procesos a modo de potcast.
En el mes de agosto, se inició el desarrollo para la actualización del micrositito de la memoria de formación, con el fin de incluir los nuevos contenidos planteados para la memoria de formación 2022; actualización que se presentará al equipo de formación en el mes de septiembre.
</t>
    </r>
    <r>
      <rPr>
        <b/>
        <sz val="11"/>
        <color rgb="FF000000"/>
        <rFont val="Times New Roman"/>
      </rPr>
      <t xml:space="preserve">
Anexos:
a. Fotos y videos memoria de formación
b. Podcast</t>
    </r>
  </si>
  <si>
    <t>*Incluir tantas filas sean necesarias</t>
  </si>
  <si>
    <t>Diseñar 13 contenidos para el desarrollo de capacidades socioemocionales, técnicas y digitales de las mujeres, en toda su diversidad.</t>
  </si>
  <si>
    <r>
      <rPr>
        <b/>
        <sz val="11"/>
        <rFont val="Times New Roman"/>
        <family val="1"/>
      </rPr>
      <t>Abril ($24.000.003)</t>
    </r>
    <r>
      <rPr>
        <sz val="11"/>
        <rFont val="Times New Roman"/>
        <family val="1"/>
      </rPr>
      <t>: Pago reserva contrato interadministrativo 835-2021 por $24.000.003
El contrato interadministrativo 835 de 2021 suscrito con la Universidad Nacional de Colombia para el desarrollo de diplomados virtuales, se encuentra en ejecución su desembolso esta programado para el mes de abril de 2022.</t>
    </r>
  </si>
  <si>
    <t xml:space="preserve">Durante el mes de enero inició la revisión de las diferentes alternativas para los temas a contratar en la vigencia 2022. ; durante el mes de febrero se plantean las temáticas de los cursos y se revisa la modalidad de contratación con el fin de revisar si se debe modificar o de dará continuidad al contrato interadministrativo. Durante el mes de marzo se revisa si se modifica la modalidad de contratación del proceso, sin embargo no se lleva a cabo. Para el mes de abril no se reportan en esta meta. Para el mes de mayo no se encuentra programada la actividad. Aunque para el mes de junio no se encuentra la actividad programada, se recibe la primera propuesta por parte de la Universidad Nacional para el desarrollo de los contenidos durante la vigencia 2022. En julio, se avanza con la elaboración de los estudios previos y envío a revisión por parte de Contratos y OAP, se realiza articulación con la Universidad Nacional y se avanza con ajustes presupuestales al interior del proyecto.
Durante el mes de agosto, se dio continuidad a la etapa precontractual y se realizaron todos los ajustes y sugeridos por la Dirección de Contratación, el proceso fue aprobado en comité de contratación y se radicó versión final para aprobación y elaboración de minuta. </t>
  </si>
  <si>
    <t xml:space="preserve">Durante el mes de agosto, se dio continuidad a la etapa precontractual y se realizaron todos los ajustes y trámites realizados por la dirección de contratación, sin embargo se presenta retraso en la actividad ya que el contrato no inició ejecución para el mes programado, se prevé que para el mes de septiembre se de inicio a la ejecución del contrato e inicie la elaboración de los contenidos virutales. </t>
  </si>
  <si>
    <t>En enero, no se reportan avances de seguimiento a la meta, considerando que se realizó el proceso de planeación estratégica y definición de productos en el marco de lo programado para la vigencia 2022, las acciones de ejecución se centraron en la revisión de alternativas precontractuales.</t>
  </si>
  <si>
    <t xml:space="preserve"> Se plantean las temáticas de los cursos y se revisa la modalidad de contratación con el fin de revisar si se debe modificar.</t>
  </si>
  <si>
    <t xml:space="preserve"> Se revisa la posibilidad de cambiar la modalidad de contratación. </t>
  </si>
  <si>
    <t>Conforme a la programación no se avanza con la actividad</t>
  </si>
  <si>
    <t>El equipo E&amp;E elabora propuesta de contenidos misionales cursos 2022, con esta base se solicita a UNAL propuesta técnica y económica la cual se regresa para ajustes a la Universidad; de manera paralela inicia la versión preliminar de estudios previos.</t>
  </si>
  <si>
    <t>Se avanza con la elaboración de los estudios previos y envío a revisión por parte de Contratos y OAP, se realiza articulación con la Universidad Nacional y se realizan ajustes presupuestales al interior del proyecto. Con los ajustes y sugerencias se realiza modificación PAABS del proceso 415.</t>
  </si>
  <si>
    <t xml:space="preserve">Durante el mes de agosto, se dio continuidad a la etapa precontractual y se realizaron todos los ajustes y sugeridos por la Dirección de Contratación, el proceso fue aprobado en comité de contratación y se radicó versión final para aprobación y elaboración de minuta. </t>
  </si>
  <si>
    <t>7. Elaborar, desarrollar y virtualizar cuatro (4) contenidos para el desarrollo de capacidades socioemocionales, técnicas y digitales de las mujeres, en toda su diversidad</t>
  </si>
  <si>
    <t xml:space="preserve">Durante el mes de agosto, se dio continuidad a la etapa precontractual y se realizaron todos los ajustes y trámites realizados por la dirección de contratación, sin embargo se presenta retraso en la ejecución de la actividad ya que el contrato no inició ejecución para el mes programado y por lo tanto para la fecha de entrega de este reporte se presenta un retraso en la actividad, se prevé que para el mes de septiembre se de inicio a la ejecución del contrato e inicie la elaboración de los contenidos virutales. </t>
  </si>
  <si>
    <t/>
  </si>
  <si>
    <t>Diseñar e implementar una (1) estrategia para el desarrollo de capacidades socioemocionales y técnicas de las mujeres en toda su diversidad para su emprendimiento y empleabilidad.</t>
  </si>
  <si>
    <t>Este valor incluye los recursos del proceso en curso 2021- SIMISIONAL 2,0 ($100.000.000)</t>
  </si>
  <si>
    <t>ENERO-JUNIO</t>
  </si>
  <si>
    <t>Junio ($1,760,310.18 giros). Del contrato 671-2021 suscrito con la EMPRESA DE TELECOMUNICACIONES DE BOGOTÁ S.A. E.S.P. - ETB S.A. ESP para comunicaciones convergentes se giraron $31.088.503de los cuales van con cargo a la meta 1 el 94% $27.578.192,82 y un saldo del 6% con cargo a la meta 3 por $1.760.310,18
Mayo ($3,424,236,48):  Del contrato 671-2021 suscrito con la EMPRESA DE TELECOMUNICACIONES DE BOGOTÁ S.A. E.S.P. - ETB S.A. ESP para comunicaciones convergentes se giraron $57,070,608, de los cuales van con cargo a la meta 1 el 94% $53,646,371.52, y un salgo del 6% con cargo a la meta 3 por $3.424.236,48
Abril ($0): No se giran ni se anulan reservas
Marzo ($10.231.325,92): Del contrato 671-2021 suscrito con la EMPRESA DE TELECOMUNICACIONES DE BOGOTÁ S.A. E.S.P. - ETB S.A. ESP para comunicaciones convergentes, por valor de $49.766.332 de los cuales van con cargo a la meta 1, el 94% correspondiente a un valor de $46.780.352,08, el saldo del 6%, por valor de $2.985.979,92 va con cargo a la meta 3. Del contrato -2021 suscrito con la empresa YULIANA KAROLINA GONZALEZ HOYOS, se giraron $2.833.333.Del contrato -2021 suscrito con MARIA CARMENZA USSA TUNUBALA se giraron $1.700.000. Del contrato -2021 suscrito con DOUGLAS TRADE SAS se giraron $2.712.013.
Febrero ($600.398,46): Del contrato 671-2021 suscrito con la EMPRESA DE TELECOMUNICACIONES DE BOGOTÁ S.A. E.S.P. - ETB S.A. ESP para comunicaciones convergentes, por valor de $10.006.641 De los cuales van con cargo a la meta 1, el 94% correspondiente a un valor de $9.406.242,54. El saldo del 6%, por valor de $600.398,46 va con cargo a la meta 3.
Enero ($1.721.304,54): Del contrato 671-2021 suscrito con la EMPRESA DE TELECOMUNICACIONES DE BOGOTÁ S.A. E.S.P. - ETB S.A. ESP para comunicaciones convergentes, por valor de $28.688.359. De los cuales van con cargo a la meta 1, el 94% correspondiente a un valor de $26.967.057,46. El saldo del 6%, por valor de $1.721.301,54 va con cargo a la meta 3.</t>
  </si>
  <si>
    <t>ENERO-MARZO</t>
  </si>
  <si>
    <t>ABRIL-JUNIO</t>
  </si>
  <si>
    <t>JUL-SEP</t>
  </si>
  <si>
    <t>OCT-DIC</t>
  </si>
  <si>
    <t xml:space="preserve">Durante el mes de agosto se destacan los siguientes avances: i) 1.277 registros y 484 orientaciones de mujeres través de la Ruta de Divulgación y Orientación para Mujeres. Lo anterior, se llevó a cabo en 19 localidades, mediante la participación en 90 espacios de difusión. ii) Una (1) sesión virtual de capacitación del Decreto 332 de 2020  de acompañamiento y asistencia técnica a la Alcaldía Local de Ciudad Bolívar. iii) Divulgación de los programas Distritales: Empleo Joven, Ruta de empleabilidad, Impulso al Empleo. iv) Se elaboró flujograma para la identificación de perfiles de beneficiarias y oferta pertinente según el perfil, en marco del modelo de intervención de oferta de generación de ingresos para el 2023 en las manzanas del cuidado. En ese orden de ideas, a agosto de 2022, se han orientado un total de 2.521 mujeres, y 8.061 registros. </t>
  </si>
  <si>
    <t>No se identifican retrasos a la fecha de reporte</t>
  </si>
  <si>
    <t xml:space="preserve">Por medio de las líneas de la estrategia de emprendimiento y empleabilidad, se beneficiará a las mujeres con orientación acerca de programas de generación de ingresos y empleo, por medio de una línea normativa establecida en el Decreto 332 para reducir brechas de acceso en el mercado laboral y un modelo de intervención con el sector privado para promover la inclusión de mujeres en oportunidades laborales. En términos de generación de ingresos por medio de la estrategia se implementará por primera vez un programa de generación de ingresos para mujeres cuidadoras y a nivel distrital se avanza en orientar la inclusión del enfoque de género en programas de empleo y generación de ingresos. </t>
  </si>
  <si>
    <r>
      <t>Durante el primer trimestre del 202</t>
    </r>
    <r>
      <rPr>
        <b/>
        <sz val="11"/>
        <color rgb="FF000000"/>
        <rFont val="Times New Roman"/>
        <family val="1"/>
      </rPr>
      <t>2</t>
    </r>
    <r>
      <rPr>
        <sz val="11"/>
        <color rgb="FF000000"/>
        <rFont val="Times New Roman"/>
        <family val="1"/>
      </rPr>
      <t xml:space="preserve"> , a través de la Ruta de Divulgación y Orientación se lograron 689 orientaciones de mujeres y 1.690 registros a través de la difusión de 17 programas -distritales de empleo, generación de ingresos y formación para el trabajo y se realizaron 28.528 divulgaciones del programa Empleo Joven. Se realizan dos mesas de género de EMRE en donde se definió un acompañamiento para incluir un nuevo programa de generación de ingresos y según la información reportada por las entidades y organismos distritales respecto del cumplimiento del Decreto 332 de 2020, se contrataron 29.167 mujeres en las distintas ramas económicas descritas en el Decreto.</t>
    </r>
  </si>
  <si>
    <t xml:space="preserve">Durante el mes de abril se destacan los siguientes avances: i) 869 registros y 279 orientaciones de mujeres a través de la Ruta de Divulgación y Orientación para Mujeres. Lo anterior, se llevo a cabo en 19 localidades, mediante la participación en 57 espacios de difusión. ii) 7 sesiones de divulgación de la convocatoria del Decreto 332, y envío de convocatoria a empresas de 4 sectores económicos; iii) Divulgación del programa Distrital Empleo Joven, registro de mujeres al programa Impulso al Empleo y definición de ruta de trabajo con la Agencia de Empleo de la SDDE. iv) Propuesta de transición para beneficiarias del programa Mujeres que Reverdecen. En ese orden de ideas, a abril de 2022, se han orientado un total de 968 mujeres, y un acumulado de 2.559 registros. Durante el mes de mayo se destacan los siguientes avances: i) 1.113 registros y 456 orientaciones de mujeres a través de la Ruta de Divulgación y Orientación para Mujeres. Lo anterior, se llevó a cabo en 19 localidades, mediante la participación en 122 espacios de difusión. ii) 10 sesiones de divulgación de la convocatoria del Decreto 332, a los a los sectores económicos de Construcción, transporte y almacenamiento, suministro de electricidad, gas y agua, actividades inmobiliarias, información y telecomunicaciones, industria manufacturera, comercio y reparación de vehículos. iii)Divulgación del programa Distrital Empleo Joven, Ruta de empleabilidad. iv) Propuesta brief de programa para la generación de ingresos “Vecinas, sigamos trabajando juntas” 
En ese orden de ideas, a mayo de 2022, se han orientado un total de 1.424 mujeres, y un acumulado de 3.672 registros. Durante el mes de junio se destacan los siguientes avances: i) 1.936 registros y 439 orientaciones de mujeres través de la Ruta de Divulgación y Orientación para Mujeres. Lo anterior, se llevó a cabo en 19 localidades, mediante la participación en 105 espacios de difusión. ii) Cinco (5) sesiones virtuales de capacitación del Decreto 332 de 2020 y de la aplicación y diligenciamiento de la herramienta de registro de información de cumplimiento del Decreto. iii) Divulgación del programa Distrital Empleo Joven, Ruta de empleabilidad, Impulso al Empleo. iv) Propuesta del programa nuevo ajustado, con el cual se tiene proyectado una intervención para fortalecer capacidades asociativas según el ciclo de vida de las organizaciones, con miras a dejar una capacidad instalada en las manzanas del cuidado.
En ese orden de ideas, a junio de 2022, se han orientado un total de 1.663 mujeres, y un acumulado de 5.512 registros. 
</t>
  </si>
  <si>
    <t xml:space="preserve">Durante el mes de julio se destacan los siguientes avances: i) 1.272 registros y 374 orientaciones de mujeres través de la Ruta de Divulgación y Orientación para Mujeres. Lo anterior, se llevó a cabo en 19 localidades, mediante la participación en 109 espacios de difusión. ii) Dos (2) sesiones virtuales de capacitación del Decreto 332 de 2020, una de asistencia técnica a las Alcaldías Locales de Tunjuelito y Usaquén, y otra de acompañamiento y asistencia técnica a la Alcaldía Local de Kennedy. iii) Divulgación del programa Distrital Empleo Joven, Ruta de empleabilidad, Impulso al Empleo. iv) Se elaboró la propuesta de un modelo de intervención de oferta de generación de ingresos para el 2023 en las manzanas del cuidado, a partir de la conformación de unas duplas psicosociales de la SDMujer que trabajen de la mano con las gestoras empresariales de la Secretaría Distrital de Desarrollo Económico. En ese orden de ideas, a julio de 2022, se han orientado un total de 2.037 mujeres, y un acumulado de 6.784 registros. </t>
  </si>
  <si>
    <t>Avance en ruta de divulgación: 5 ferias (Kennedy, Engativá) orientación a mujeres en programas de empleo y formación para el trabajo. Divulgación Decreto.332-2020 pautas inclusión laboral con enfoque. Género. Construcción directorio: actores claves programa generación de ingreso con enfoque de género</t>
  </si>
  <si>
    <t>Participación en 29 espacios de divulgación de programas de empleo y generación de ingresos. Informe consolidado cumplimiento Decreto 332 de 2020. Cierre de análisis de programas de generación de ingresos y empleo de EMRE-2021. Ejercicio preparatorio primera mesa de género de EMRE-2022 .</t>
  </si>
  <si>
    <t>2.379 mujeres (689.orientaciones, 1690.registros a través de difusión de 17 prog. distritales de empleo, generación. Ingresos y formación.para.trabajo. 2 mesas de género EMRE inclusión programa de generación de ingresos. 29.167 mujeres contratadas en ramas económicas descritas en el Decreto 332-2020.</t>
  </si>
  <si>
    <t>*869 registros, 279 orientaciones Ruta: Divulgación y Orientación en 19 localidades, 57 espacios de difusión. *7 divulgaciones Decreto.332, convocatoria:4 empresas.*Divulgación prog:Empleo Joven, registro: Impulso al Empleo. *Propuesta: transición beneficiarias del programa Mujeres que Reverdecen.</t>
  </si>
  <si>
    <t xml:space="preserve">1.113 registros, 456 orientaciones a mujeres-Ruta Divulgación y Orientación para Mujeres (19 loc, 122 espacios difusión).  Divulgación convocatoria Decreto.332 - 10 sesiones. Divulgación: programa Distrital Empleo Joven, Ruta de empleabilidad. Propuesta brief: “Vecinas, sigamos trabajando juntas” 
</t>
  </si>
  <si>
    <t xml:space="preserve">1.113 registros, 456 orientaciones a mujeres-Ruta Divulgación y Orientación para Mujeres (19 loc, 122 espacios difusión).  Divulgación convocatoria Decreto.332 - 10 sesiones. Divulgación: programa Distrital Empleo Joven, Ruta de empleabilidad. Propuesta brief: “Vecinas, sigamos trabajando juntas” </t>
  </si>
  <si>
    <t>1.272 registros, 374 orientaciones mujeres-Ruta-Divulgación.Orientación (19 loc, 109 espacios difusión. 2 sesiones.virtuales.cap.Decreto332-2020. Divulgación.Prog.Empleo Joven, Ruta empleabilidad, Impulso a Empleo. Propuesta: Intervención oferta de generación de ingresos 2023 en manzanas del cuidado</t>
  </si>
  <si>
    <t>1.277 registros, 484 orientaciones mujeres.Ruta-Divulgación.Orientación para Mujeres (19 loc, 90 espacios difusión). Capacitación Dec.332-2020: Alcaldía Loc Ciudad Bolívar. Divulgación prog: Empleo Joven, Ruta empleabilidad, Impulso Empleo. Identificación perfiles beneficiarias y oferta en manzanas.</t>
  </si>
  <si>
    <t>Reporte: enero a marzo</t>
  </si>
  <si>
    <t>Reporte: abril a junio</t>
  </si>
  <si>
    <t>8. Implementar la ruta de divulgación y orientación para la formación y oferta de empleo y emprendimiento de mujeres diseñada en el marco de la estrategia de emprendimiento y empleabilidad.</t>
  </si>
  <si>
    <t>Para el mes de agosto el equipo territorial asistió a 90 (Noventa) espacios de difusión entre los que se encuentran ferias comunitarias, ferias de servicios, jornadas "Mujer Contigo en tu barrio", días de empleo &amp; emprendimiento en las manzanas del cuidado y CIOM, talleres hoja de vida, entre otras, en las localidades de Usaquén, Mártires, Teusaquillo, Rafael Uribe Uribe, San Cristóbal, Ciudad Bolívar, Suba, Santa Fe, Chapinero, Engativá, Sumapaz, Kennedy, Usme, Bosa, Barrios Unidos, Candelaria, Antonio Nariño, Puente Aranda y Fontibón (19 localidades). En estos espacios se llevó a cabo difusión de la Estrategia E&amp;E, de los programas activos de empleo (Empleo Joven, Ruta de Empleabilidad, Impulso al Empleo, programa CREO, Elempleo.com, Más Empleos del Sector Gastronómico, Vacantes Coca-Cola Femsa, Vacantes sector industria, Vacantes Xuss, Vacantes Grouplic, Somos Bogotá USME, Sodexo, Diamante, Hogaru, Ardanuy Ingenería S.A, Efiservicios, Call Center - GNP, Teleperformance, Enfermeras, Colombina, WOK, WOM, Call Center Hoy Trabajas,Vacantes SECURITAS, OS ingeniería, POPSY, CNC, EFICACIA, QUIROMAR, COTELCO, SERVIESPECIALES, Maser Terpel, KANKA PERU, Calzado Barbarella, Transmilenio, Acodres), generación de ingresos (Bogotá Productiva Local, Viste Tu Casa Corona, NOVAVENTA), formación para el trabajo (Cursos en alianza con la UNAL, Fundación Sodexo-SENA, curso para sector de bares y restaurantes Diageo, formación técnica VANTI, IBM, Mujeres Eco-conductoras) y orientación y acompañamiento a mujeres. Anexo: 1. Orientación y caracterización ciudadanas Estrategia E&amp;E Agosto.</t>
  </si>
  <si>
    <t xml:space="preserve">Para el mes de enero no se programó avance en la actividad sin embargo inicia la consolidación de la estrategia territorial a través de la asistencia a cinco (5) ferias comunitarias en Kennedy y Engativá en la que se realizó difusión de la Estrategia E&amp;E, servicios de la SDMujer y programas activos de empleo y formación para el trabajo. Anexos: 1. Orientación y caracterización ciudadanas Estrategia E&amp;E Enero. Para el mes de febrero el equipo territorial asistió a veintinueve (29) espacios de difusión entre los que se encuentran ferias comunitarias, ferias de servicios, jornadas “Mujer Contigo en tu barrio", encuentro local de mujeres OEI, Festival Renace, jornadas de socialización con SIDICU, entre otras. Lo anterior, se desarrolló en las localidades con manzanas de cuidado; donde se llevó a cabo la difusión de la Estrategia E&amp;E, servicios de la SDMujer y programas activos de empleo y formación para el trabajo; así como la orientación y acompañamiento a mujeres. Se realizaron 165 orientaciones y 422 registros. Anexos: 1. Orientación y registros Estrategia E&amp;E Febrero. Para el mes de marzo se asistió a ochenta y cinco (85) espacios de difusión entre los que se encuentran conmemoración 8M, ferias comunitarias, ferias de servicios, jornadas "Mujer Contigo en tu barrio", días de empleo &amp; emprendimiento en las manzanas del cuidado, jornadas difusión programa "Vecinas Trabajemos Juntas "entre otras, en  (13 localidades). Durante el mes de marzo por medio de la ruta de divulgación de la Estrategia de E&amp;E se llevaron a cabo 370 orientaciones y se realizaron 1172 registros. </t>
  </si>
  <si>
    <t xml:space="preserve">Durante el mes de abril el equipo territorial asistió a 57 (cincuenta y siete) espacios de difusión en diecinueve localidades .En estos espacios se llevó a cabo difusión de la Estrategia E&amp;E, servicios de la SDMujer, difusión y apoyo en el programa "Vecinas Trabajemos Juntas", programas activos de empleo (Empleo Joven, Ruta de Empleabilidad, Más Empleos del Sector Gastronómico, Vacantes Coca-Cola Femsa, Vacantes disponibles en el sector industrial (Cemex), Impulso al Empleo, Vacantes Diamante, Vacantes Somos Bogotá Usme, Vacantes Xuss, Programa CREO, vacantes empresas BPO), generación de ingresos (Viste Tu Casa Corona, Mujer Emprendedora &amp; Productiva, Vecinas Trabajemos Juntas), formación para el trabajo (Cursos en alianza con la UNAL, Laboratoria, Fundación Sodexo-SENA) y orientación y acompañamiento a mujeres. Por medio de la Ruta de divulgación de la estrategia se llevaron a cabo 279 orientaciones y 869 registros. Anexos: 1. Orientación y caracterización ciudadanas Estrategia E&amp;E Abril. Para el mes de mayo se asistió a 122 (ciento veinte dos) espacios de difusión entre los que se encuentran ferias comunitarias, ferias de servicios, jornadas "Mujer Contigo en tu barrio", días de empleo &amp; emprendimiento en las manzanas del cuidado y CIOM, entre otras, en diecinueve (19). En estos espacios se llevó a cabo difusión de la Estrategia E&amp;E, servicios de la SDMujer, programas activos de empleo (Empleo Joven, Ruta de Empleabilidad, Programa Creo, Impulso al Empleo, Más Empleos del Sector Gastronómico, Vacantes Coca-Cola Femsa, Vacantes Cemex, Vacantes Xuss, Vacantes disponibles en sector industrial-Cemex, Somos Bogotá USME, Sodexo, Diamante, Hogarú, Ardanuy Ingeniería S.A, Efiservicios, Call Center - GNP, Auxiliar Enfermeras, Colombina, WOK, WOM, generación de ingresos (Viste Tu Casa Corona, Mujer Emprendedora &amp; Productiva), formación para el trabajo (Cursos en alianza con la UNAL, Fundación SODEXO, IBM) y orientación y acompañamiento a mujeres. Por medio de la Ruta de divulgación de la estrategia se llevaron a cabo 456 orientaciones y 1113 registros. Anexos: 1. Orientación y caracterización ciudadanas Estrategia E&amp;E Mayo.Para el mes de junio el equipo territorial asistió a 105 (Ciento cinco) espacios de difusión entre los que se encuentran ferias comunitarias, ferias de servicios, jornadas "Mujer Contigo en tu barrio", días de empleo &amp; emprendimiento en las manzanas del cuidado y CIOM, talleres hoja de vida, entre otras, en (19) diecinueve localidades. En estos espacios se llevó a cabo difusión de la Estrategia E&amp;E, de los programas activos de empleo (Empleo Joven, Ruta de Empleabilidad, Impulso al Empleo, programa CREO, Más Empleos del Sector Gastronómico, Vacantes Coca-Cola Femsa, Vacantes Cemex, Vacantes Xuss, Somos Bogotá USME, Sodexo, Diamante, Hogaru, Ardanuy Ingenería S.A, Efiservicios, Call Center - GNP, Teleperformance, Enfermeras, Colombina, WOK, WOM), generación de ingresos (Viste Tu Casa Corona, NOVAVENTA, Mujer Emprendedora &amp; Productiva), formación para el trabajo (Cursos en alianza con la UNAL, Fundación Sodexo-SENA, curso para sector de bares y restaurantes Diageo, IBM) y orientación y acompañamiento a mujeres.													
													</t>
  </si>
  <si>
    <t>Para el mes de julio el equipo territorial asistió a 109 (Ciento nueve) espacios de difusión entre los que se encuentran ferias comunitarias, ferias de servicios, jornadas "Mujer Contigo en tu barrio", días de empleo &amp; emprendimiento en las manzanas del cuidado y CIOM, talleres hoja de vida, entre otras, en  diecinueve (19) localidades). En estos espacios se llevó a cabo difusión de la Estrategia E&amp;E, de los programas activos de empleo (Empleo Joven, Ruta de Empleabilidad, Impulso al Empleo, programa CREO, Elempleo.com, Más Empleos del Sector Gastronómico, Vacantes Coca-Cola Femsa, Vacantes sector industria, Vacantes Cemex, Vacantes Xuss, Somos Bogotá USME, Sodexo, Diamante, Hogaru, Ardanuy Ingenería S.A, Efiservicios, Call Center - GNP, Teleperformance, Enfermeras, Colombina, WOK, WOM, Call Center Hoy Trabajas,Vacantes SECURITAS, OS ingeniería, POPSY, ENEL, EFICACIA, QUIROMAR, COTELCO, SERVIESPECIALES), generación de ingresos (Viste Tu Casa Corona, NOVAVENTA, Mujer Emprendedora &amp; Productiva), formación para el trabajo (Cursos en alianza con la UNAL, Fundación Sodexo-SENA, curso para sector de bares y restaurantes Diageo, formación técnica VANTI, IBM) y orientación y acompañamiento a mujeres. Anexo: 1. Orientación y caracterización ciudadanas Estrategia E&amp;E Julio.</t>
  </si>
  <si>
    <t>9. Gestionar y articular con el sector público y privado, acciones que contribuyan a la implementación del Decreto 332 del 29 de diciembre de 2020 "Por medio del cual se establecen medidas afirmativas para promover la participación de las mujeres en la Contratación del distritito Capital"</t>
  </si>
  <si>
    <t>1. En el mes de agosto, se realizó el informe consolidado de los reportes remitidos por las entidades y organismos distritales frente al cumplimiento de las medidas contenidas en el Decreto 332 de 2020 para ser remitido a la Secretaría Jurídica Distrital en virtud de lo previsto en el Artículo 4 del Decreto. (Evidencias 1. Informe Decreto 332 02-2022 V6 30-08-22)
2. Se realizó sesión de acompañamiento y asistencia técnica a la Alcaldía Local de Ciudad Bolívar, resolviendo inquietudes relacionadas con la aplicación del Decreto, se contó con la participación de veinte (20) funcionarios (as) o contratistas. (Evidencia 2. Acta sesión Alcaldía Ciudad Bolívar 31-08-22)</t>
  </si>
  <si>
    <t>Actividad no programada para el mes de enero, sin embargo se dio inicio a actividades con la participación en la Unidad Técnica de Apoyo de la Comisión Intersectorial de Mujeres del 27 de enero, en la cual se divulgó el Decreto 332 de 2020, resolviendo las inquietudes de las personas asistentes, se brindó asistencia técnica por correo electrónico a 2 entidades y organismos del distrito y vía telefónica a 12 entidades y organismos distritales. Anexos: 1. Reunión UTA 27-01-22; 2. Asistencia Técnica Alcaldía Rafael Uribe Uribe 27-01-22;  3. Asistencia Técnica IDRD 19-01-22, 9.2.3. PLANILLA ASISTENCIA TÉCNICA DECRETO 332 DE 2020. 
En febrero, se avanza en: i) infografías del Decreto 332 de 2020 ii) cinco (5) sesiones de divulgación y acompañamiento técnico del Decreto 332 de 2020 con la Alcaldía Local de Usaquén, IDPAC, IDIPRON, Secretaría Distrital de Ambiente; iii) Informe para Secretaría Jurídica de los reportes remitidos por las entidades y organismos distritales sobre el cumplimiento del Decreto 332 de 2020 : Anexo 1. (1. Infografía sector público, 2. Infografía sector privado). Anexo 2: (Asistencia Usaquén, 4. Asistencia Idpac, 5. Asistencia secretaria de cultura, 6. asistencia Idipron, 7. Asistencia secretaria de ambiente); Anexo 3: (vf. informe 01-2022-sdm, 9. instrumento seguimiento decreto 332-2020). En marzo, se solicitó la divulgación del Decreto a la Cámara de Comercio de Bogotá a CAMACOL y Onu Mujeres. (Evidencias 1. INFOGRAFIA SECTOR PRIVADO, 2. PANTALLAZO CORREO CCB, 3. PANTALLAZO CORREO CAMACOL). Para el primer y segundo trimestre de la actual vigencia no tenemos datos que den cuenta del número de mujeres beneficiadas, ya que el reporte de la información de cumplimiento del Decreto del actual semestre se realiza antes del 20 de julio del 2022 por parte de las entidades y organismos distritales, por lo tanto, los beneficios de los dos primeros trimestres se reportaran en el segundo semestre de 2022.
Durante el mes de marzo, se avanzó en: 1. Difusión de la infografía del Decreto 332, a personas naturales y jurídicas registradas en los gremios de Cámara de Comercio de Bogotá y CAMACOL. 2. Se remitió a ONU Mujeres la versión final del documento de preguntas frecuentes del Decreto 332 de 2020 para aprobación de contenido y diseño. De acuerdo con la información reportada por las entidades distritales respecto del cumplimiento del Decreto 332,  durante el segundo semestre del año 2021 se contrataron 29.167 mujeres en las distintas ramas económicas descritas en el Decreto. Anexos:1.Se anexan los documentos relacionados.</t>
  </si>
  <si>
    <t>Durante el mes de abril, se avanzó en las siguientes actividades: i) Siete sesiones virtuales de divulgación del Decreto con la asistencia de 45 entidades y organismos del distrito; ii) Una sesión de acompañamiento técnico el día 22 de abril a la Subred de Salud Sur y a la Secretaría Distrital de Salud para resolver inquietudes referentes a la aplicación del Decreto en un convenio suscrito entre las partes. iii) Convocatoria para sesiones de divulgación del Decreto a empresas de 4 sectores económicos. Anexos: 1. Asistencias sesiones grupos. 2. Reunión acompañamiento sector salud; 3. Convocatoria a empresas.Durante el mes de mayo se lograron llevar a cabo diez (10) sesiones virtuales de divulgación del Decreto dirigidas a los sectores económicos de Construcción, transporte y almacenamiento, suministro de electricidad, gas y agua, actividades inmobiliarias, información y telecomunicaciones, industria manufacturera, comercio y reparación de vehículos, otras ramas económicas con la asistencia de 61 empresas y 82 personas. Anexos: Actas sesiones sector privado.Durante el mes de junio, se realizaron cinco (5) sesiones virtuales de capacitación del Decreto 332 de 2020 y de la aplicación y diligenciamiento de la herramienta de registro de información de cumplimiento del Decreto, con participación de 47 entidades y organismos del distrito y 106 funcionarios y/o contratistas. Anexos:. 1. Actas sesiones sector público)</t>
  </si>
  <si>
    <t>Durante el mes de julio, se realizó  una sesión virtual de capacitación del Decreto 332 de 2020 y de asistencia técnica a las Alcaldías Locales de Tunjuelito y Usaquén, y una sesión de acompañamiento y asistencia técnica a la Alcaldía Local de Kennedy, resolviendo inquietudes relacionadas con el reporte de información. (Anexos: 1. Acta sesión Alcaldías Locales Tunjuelito, Usaquén y Kennedy)</t>
  </si>
  <si>
    <t>10. Promover acciones que contribuyan a la generación de ingresos y empleo para las mujeres, conforme a la oferta de las diferentes entidades del distrito.</t>
  </si>
  <si>
    <t>Durante el mes de agosto se divulgó la siguiente oferta de empleo del Distrito: i) Empleo Joven: correos electrónicos (75); llamadas (98); mensajes de whatsapp (89); participación en espacios presenciales (260). ii) Impulso al Empleo: llamadas (174); mensajes de whatsapp (149); participación en espacios presenciales (374). iii) Ruta de empleabilidad: correos electrónicos (860); llamadas (156); mensajes de whatsapp (161); participación en espacios presenciales (291). De igual manera, se gestionó junto con la SDDE la asistencia de las cajas de compensación familiar a los siguientes espacios en territorio, con el fin de registrar a las mujeres asistentes al programa Impulso al Empleo: CIOM San Cristóbal, CIOM Antonio Nariño, CDC Lourdes-Santa Fe y CIOM Kennedy. Anexos: 1. Informe difusión de programas; 2. Informe Impulso al Empleo.</t>
  </si>
  <si>
    <t>En enero  se inició la etapa de diseñó entre el equipo de empleo y el equipo de generación de ingresos del cronograma de gestión y seguimiento de los programas EMRE.  En febrero del 2022, se avanzó en la ejecución del cronograma con las reuniones de los responsables de los programas EMRE de las diferentes secretarías distritales: SDDE, Secretaría de Movilidad y Secretaría de Hábitat, allí se presentaron los diferentes programas y los avances que han tenido y el plan de trabajo que se definió para el año 2022, que hacen parte de la reactivación económica de Bogotá. Se consolidaron los reportes de las metas del 2022 de los programas: mujeres que reverdecen, Creo en mí, Rescate social-microempresa, Vecinas, trabajemos juntas, Microempresa Local, Impulso Local, Empleo joven, Proyecto de Eco conducción, y se están gestionando impulso al empleo y ruta de empleo. En marzo,  se presentaron los siguientes avances: 1) Se realizó junto con el equipo territorial 28.528 divulgaciones del programa Empleo Joven. 2) Se diseño un cronograma de jornadas de registro de mujeres en el programa impulso al empleo a través de las cajas de compensación. 3) Se divulgó el programa “Mujeres que Construyen”: A)  El programa CREO de Colsubsidio y UNIMINUTO a 41 mujeres. B) El programa VENTA LIBRE DE CORONA a 220 mujeres. C) Invitación a la ruta de empleabilidad de la Agencia de Empleo Colsubsidio a 220 mujeres.</t>
  </si>
  <si>
    <t>En abril, se realizaron 28.839 divulgaciones del programa Empleo Joven, se gestionó la participación de la Caja de Compensación de Compensar a la Casa de igualdad de Suba y Kennedy y a la Manzana del Cuidado de Bosa para registro de mujeres al programa Impulso al Empleo y se definió la ruta de trabajo con la Agencia Pública de Empleo. Anexo: 1. Divulgaciones programa Empleo Joven; 2. Registro programa Impulso al Empleo CCF; 3. Ruta de trabajo APE. Durante el mes de mayo se divulgo la siguiente oferta para empleo del Distrito: i) Empleo Joven; ii) Impulso al Empleo; iii) Ruta de empleabilidad. A través de los siguientes canales: Correo electrónicos enviados (2.441); Mensajes de WhatsApp (379); Espacios presenciales (886); Orientaciones telefónicas (568). De igual manera, Se gestiono junto con la SDDE la asistencia de las cajas de compensación familiar a los siguientes espacios en territorio, con el fin de registrar a las mujeres asistentes al programa Impulso al Empleo: CIOM SUBA: 10 de mayo; Manzana del Cuidado USME: 10 de mayo; CIOM Fontibón: 11 de mayo. Anexos: 1. Informe difusión programas EMRE; 2. Seguimiento impulso al Empleo. Durante el mes de junio se divulgo la siguiente oferta para empleo del Distrito:) Empleo Joven; ii) Impulso al Empleo; iii) Ruta de empleabilidad. Lo anterior, a través de mailings, mensajes de whatsapp, orientaciones telefónicas y participación en espacios presenciales. De igual manera, se gestionó junto con la SDDE la asistencia de las cajas de compensación familiar a los siguientes espacios en territorio, con el fin de registrar a las mujeres asistentes al programa Impulso al Empleo: Manzanas del Cuidado de Engativá, Usme, Kennedy; CIOM San Cristóbal, Antonio Nariño; Fontibón, así como la Feria de Empleo de Rafael Uribe. Adicionalmente, se realizó el taller de sensibilización para la transversalización del enfoque de género dirigido a la Agencia Pública de Empleo – Ruta de Empleabilidad, el día 21 de junio de 2022, con una participación de 45 personas. Anexos: 1. Informe difusión de programas; 2. Informe Impulso al Empleo; 3. Acta y listado talle de sensibilización.  Desde generación de ingresos se estructura un documento de recomendaciones para la inclusión del enfoque de género en la ruta de empleo de la Secretaría Distrital de Desarrollo Económico. Anexo 4. Documento recomendaciones para la inclusión del enfoque de género.</t>
  </si>
  <si>
    <t>Durante el mes de julio se divulgo la siguiente oferta para empleo del Distrito: i) Empleo Joven: correos electrónicos (25); llamadas (115); mensajes de whatsapp (102); participación en espacios presenciales (339). ii) Impulso al Empleo: llamadas (47); mensajes de whatsapp (65); participación en espacios presenciales (440). iii) Ruta de empleabilidad: correos electrónicos (905); llamadas (169); mensajes de whatsapp (115); participación en espacios presenciales (672). De igual manera, se gestionó junto con la SDDE la asistencia de las cajas de compensación familiar a los siguientes espacios en territorio, con el fin de registrar a las mujeres asistentes al programa Impulso al Empleo: Manzanas del Cuidado de Bosa; Casa de Igualdad de Oportunidades de Suba, Puente Aranda, Rafael Uribe, y Fontibón; Espacio Amigable de Fundación Plan en los Mártires; Feria Barrio Nutibara en Ciudad Bolívar y Colegio Distrital en la misma localidad. Anexos: 1. Informe difusión de programas; 2. Informe Impulso al Empleo.</t>
  </si>
  <si>
    <t>Ene (producto doc.lin.técnicos)</t>
  </si>
  <si>
    <t>Feb (producto doc.lin.técnicos)</t>
  </si>
  <si>
    <t>Mar (producto doc.lin.técnicos)</t>
  </si>
  <si>
    <t>Abr (producto doc.lin.técnicos)</t>
  </si>
  <si>
    <t>May (producto doc.lin.técnicos)</t>
  </si>
  <si>
    <t>Jun (producto doc.lin.técnicos)</t>
  </si>
  <si>
    <t>jul (producto doc.lin.técnicos)</t>
  </si>
  <si>
    <t>ago (producto doc.lin.técnicos)</t>
  </si>
  <si>
    <t>11. Diseñar dos (2) programas que promuevan la autonomía económica de mujeres, en especial cuidadoras.</t>
  </si>
  <si>
    <t>Para el mes de agosto, se realiza en el marco de la nueva propuesta del programa, un flujograma de  indificacación de perfiles de beneficiarias y oferta pertinente según perfil . Anexos: 1. Documento word flujograma.</t>
  </si>
  <si>
    <t>Para el mes de enero actividad no programada la actividad, sin embargo se gestionan reuniones con Secretaría de Desarrollo económico y Secretaría de Ambiente para coordinar mesas técnicas de análisis de lecciones aprendidas en los programas de "Mujeres que reverdecen" y "Creo en Mí".
Anexos: 1. Se anexa plan de trabajo Mesas EMRE 2022. Para el mes de febrero, si bien es cierto no se realizó programación en esta actividad, se avanzó en la revisión bibliográfica de programas de generación de ingresos dirigidos a mujeres, mujeres cuidadoras o mujeres rurales. Anexos 1: Recopilación bibliográfica 28.02.2022. Para el mes de marzo, se adelanta un análisis de cierre de programas de empleo y generación de ingresos en la mesa de género de EMRE y se realiza junto con los sectores de la mesa la proyección de metas para 2022 esto con el fin de proponer una ruta de acompañamiento para la transversalización de enfoque de género en los programas. Anexo 1: PPT Emre Marzo 2022.</t>
  </si>
  <si>
    <t>En abril se avanzó con el equipo de empleo en una propuesta de transición para las mujeres beneficiarias del Programa Mujeres que reverdecen y así comenzar a estructurar una propuesta brief de un nuevo programa para el primer semestre. Sin embargo, no se recibe la información solicitada por parte de Secretaría de Ambiente por lo que no se pueden entregar una propuesta redactada en documento (Anexo 1: propuesta borrador ruta de transición). Durante el mes de mayo se adelanta otra propuesta, la cual se encuentra en borrador,  de un programa de generación de ingresos para fortalecer capacidades de acceso a mercados a las beneficiarias de Vecinas Trabajemos Juntas pensando en una fase dos de la intervención. Esta propuesta sigue en construcción técnica y queda pendiente la revisión de la líder de la estrategia.Durante el mes de mayo se adelanta otra propuesta, la cual se encuentra en borrador,  de un programa de generación de ingresos para fortalecer capacidades de acceso a mercados a las beneficiarias de Vecinas Trabajemos Juntas pensando en una fase dos de la intervención. Esta propuesta sigue en construcción técnica y queda pendiente la revisión de la líder de la estrategia. Anexo: 1.Propuesta brief programa Vecinas, seguimos trabajando juntas. Durante el mes de junio, se elaboró una propuesta de generación de ingresos pensada en dejar una capacidad instalada en las manzanas del cuidado a partir de la experiencia del programa “Vecinas, Trabajemos Juntas” con el propósito de fortalecer capacidades asociativas, socioemocionales y productivas en organizaciones de mujeres cuidadoras a partir de tres fases. Una primera fase de promoción de la vocación asociativa, una segunda fase de fortalecimiento organizativo y una tercera fase de fortalecimiento en cuanto a acercamiento a mercados. Esta oferta se tiene pensada para las manzanas del cuidado mediante un equipo de triadas (psicológas, mentoras, formadoras).</t>
  </si>
  <si>
    <t>Se adelanta borrador de propuesta de un programa de generación de ingresos para fortalecer capacidades de acceso a mercados a las beneficiarias de Vecinas Trabajemos Juntas pensando en una fase dos de la intervención. Esta propuesta sigue en construcción técnica</t>
  </si>
  <si>
    <t>Propuesta de generación de ingresos orientada a dejar capacidad instalada en las manzanas del cuidado a partir de la experiencia del programa “Vecinas, Trabajemos 
Juntas” con el propósito de fortalecer capacidades asociativas, socioemocionales y productivas en organizaciones de mujeres cuidadoras</t>
  </si>
  <si>
    <t>En julio se elaboró propuesta de modelo de intervención de oferta de generación de ingresos 2023 en las manzanas del cuidado a partir de la conformación de unas duplas psicosociales de la SDMujer que trabajen de la mano con las gestoras empresariales de la Secretaría de Desarrollo Económico.</t>
  </si>
  <si>
    <t xml:space="preserve">12. Generar y desarrollar alianzas estratégicas que contribuyan a la implementación de la estrategia de emprendimiento y empleabilidad. </t>
  </si>
  <si>
    <t>En el mes de agosto se realizaron las siguientes gestiones:
1.	Adidas. Gestiones para la divulgación de vacantes. (2.08.22)
2.	El Empleo. i) Gestiones para publicación del logo en el micrositio. (17-18.08.22) ii) Gestiones para la divulgación de vacantes mujeres Casa Libertad. (18.08.22) iii) Gestiones para divulgación de vacantes. (05 y 22.08.22)
3.	Cemex. i) Gestiones para la divulgación de vacantes. (09.08.22) ii) Gestiones para la divulgación de vacantes Casa Libertad. (24-25.08.22) iii) Reunión visita ANLA y seguimiento actividades de responsabilidad social y empresarial. (25.08.22)
4.	Alkosto. Gestiones para lograr articulación. (11.08.22)
5.	Sodexo. i) Gestiones para la divulgación de vacantes. (11.08.22) ii) Gestiones para la divulgación de vacantes Casa Libertad. (24.08.22)
6.	Coca-Cola. i) Gestiones para la divulgación de vacantes. (16-31.08.22) ii) Reunión seguimiento articulación (31.08.22)
7.	Xuss. i) Gestiones para la divulgación de vacantes mujeres Casa Libertad. (18.08.22) ii) Gestiones de seguimiento a las vacantes publicadas. (26-29.08.22)
8. Tapperware. i) Gestiones para la identificación de oferta de generacipón de ingresos para la divulgación. (31.08.2022) 
Anexos
1.	Correos electrónicos
2.	Correos electrónicos
3.	Correos electrónicos, evidencia asistencia reunión.
4.	Correo electrónico
5.	Correos electrónicos
6.	Correos electrónicos, evidencia asistencia reunión, ficha perfiles
7.	Correos electrónicos
8. Correo electrónico</t>
  </si>
  <si>
    <t>Se incluye en soporte de Plan de acción el resumen trimestral</t>
  </si>
  <si>
    <t>Se incluye en soporte de Plan de acción el resumen trimestral alianzas</t>
  </si>
  <si>
    <t>Ene (ind.gestión)</t>
  </si>
  <si>
    <t>Feb (ind.gestión)</t>
  </si>
  <si>
    <t>Mar (ind.gestión)</t>
  </si>
  <si>
    <t>Abr (ind.gestión)</t>
  </si>
  <si>
    <t>May (ind.gestión)</t>
  </si>
  <si>
    <t>Jun (ind.gestión)</t>
  </si>
  <si>
    <t>jul (ind.gestión)</t>
  </si>
  <si>
    <t>ago (ind.gestión)</t>
  </si>
  <si>
    <t>Gestiones para promover alianzas que contribuyan a la implementación de la estrategia de emprendimiento y empleabilidad: Reunión equipo E&amp;E y Alianzas para promover la empleabilidad de mujeres con el sector privado. Seguimiento a la articulación Coca- Cola. Revisión estado alianzas, estrategia 2022.</t>
  </si>
  <si>
    <t>Gestiones para promover alianzas que contribuyan a la implementación de la estrategia de emprendimiento y empleabilidad: Pacto Global, Coca- Cola FEMSA, SODEXO, ADIDAS, DIDI FOODS, Bancamía, Colsubsidio, Estrategia E&amp;E – alianzas (reunión interna). Banco Mundial.</t>
  </si>
  <si>
    <t>Gestiones promoción alianzas que contribuyan a implementación de la estrategia de emprendimiento y empleabilidad
1)CEMEX. 2)Pacto Global. 3)ADIDAS. 4)DIDI FOODS 5)Kuepa. 6)XUSS. 7)Estrategia E&amp;E. 8)Henkel 
9)Sodexo 10)Open Contracting Partnership 11)Dollarcity 12)GEEK. 13)Coca-Cola FEMSA 14)Cencosud</t>
  </si>
  <si>
    <t>Gestiones promoción alianzas que contribuyan a implementación de la estrategia de emprendimiento y empleabilidad Sodexo. Adidas. Coca- Cola FEMSA. Kuepa. Grupo GCO 7. Estrategia E&amp;E, Alianzas Estratégicas Reunión interna. El Empleo. DiDi Food. Xuss. CEMEX. Colombina. International Youth Foundation.</t>
  </si>
  <si>
    <t>Gestiones promoción alianzas que contribuyan a implementación de la estrategia de emprendimiento y empleabilidad: Unilever.  Xuss. Coca-Cola. Terpel. Estrategia E&amp;E, Alianzas Estratégicas. El Empleo. Sodexo. WOM. Adidas. Cemex</t>
  </si>
  <si>
    <t xml:space="preserve"> Gestiones promoción alianzas para la implementación estrategia de emprendimiento y empleabilidad: Cemex, pasantías, Gestiones firma Pacto de Ciudad por la Igualdad de Género. 
Sodexo. El Empleo. Alkosto. Estrategia privados: Sello de Género y E&amp;E. Xuss. Terpel. CCB. Metro línea. Alianza Francesa.</t>
  </si>
  <si>
    <t xml:space="preserve"> Gestiones promoción alianzas para la implementación estrategia de emprendimiento y empleabilidad: Adidas. El Empleo. Cemex. Alkosto. E&amp;E y Alianzas Estratégicas. Xuss. Sodexo.</t>
  </si>
  <si>
    <t xml:space="preserve"> Gestiones promoción alianzas para la implementación estrategia de emprendimiento y empleabilidad: 1)Adidas. 2)El Empleo. 3)Cemex. 4)Alkosto. 5)Sodexo. 6)Coca-Cola. 7)Xuss. 8)Tapperware. </t>
  </si>
  <si>
    <t>May (ind gestión)</t>
  </si>
  <si>
    <t>Jun (ind gestión)</t>
  </si>
  <si>
    <t>jul (ind gestión)</t>
  </si>
  <si>
    <t>DESCRIPCIÓN DE LA ACTIVIDAD</t>
  </si>
  <si>
    <t>Desde el equipo territorial de la E&amp;E se participó en 29 espacios de divulgación de programas de empleo y generación de ingresos en donde se realizaron 165 orientaciones a mujeres y 422 registros.</t>
  </si>
  <si>
    <t>. Para el mes de marzo se asistió a ochenta y cinco (85) espacios de difusión. Así mismo,  a través de la ruta de divulgación de la Estrategia de E&amp;E se llevaron a cabo 370 orientaciones y se realizaron 1172 registros.</t>
  </si>
  <si>
    <t xml:space="preserve">
Durante el mes de abril se asistió a 57 espacios de difusión. Así mismo a través de la Ruta de Divulgación y Orientación para Mujeres se llevaron a cabo 869 registros y 279 orientaciones de mujeres.</t>
  </si>
  <si>
    <t xml:space="preserve">
Durante el mes de mayo se asistió a 122 espacios de difusión. Así mismo a través de la Ruta de Divulgación y Orientación para Mujeres se llevaron a cabo 1113 registros y 456 orientaciones de mujeres.</t>
  </si>
  <si>
    <t>Durante el mes de junio por medio de la ruta de divulgación de la Estrategia de E&amp;E se llevaron a cabo 393 orientaciones, a través de la Ruta de Divulgación y Orientación para 
Mujeres. Para un total de 1.663 de enero a junio</t>
  </si>
  <si>
    <t>Se asistió a 109 espacios en 19 localidades. Difusión Estrategia E&amp;E: programas activos de empleo, generación de ingresos, formación para el trabajo, orientación y acompañamiento a mujeres. Por medio de la Ruta de divulgación de la estrategia se orientaron 374 mujeres, en total 2.037 ene a jul.</t>
  </si>
  <si>
    <t xml:space="preserve">Durante el mes de agosto se asisitó a 90 espacios en 19 localidades. ivulgación de los programas Distritales: Empleo Joven, Ruta de empleabilidad, Impulso al Empleo. En ese orden de ideas, a agosto de 2022, se han orientado un total de 2.521 mujeres, y 8.061 registros. </t>
  </si>
  <si>
    <t>-</t>
  </si>
  <si>
    <t>En febrero, se plantean las temáticas de los cursos y se revisa la modalidad de contratación con el fin de revisar si se debe modificar</t>
  </si>
  <si>
    <t xml:space="preserve"> En marzo, se revisa la posibilidad de cambiar la modalidad de contratación y se revisan documentos contractuales de las vigencias anteriores. </t>
  </si>
  <si>
    <t>Durante el mes de abril no se presentan avances para esta actividad</t>
  </si>
  <si>
    <t>Conforme a la programación para el mes no se reportan avances para la actividad</t>
  </si>
  <si>
    <t xml:space="preserve">Diseñar e Implementar 1 programa piloto para promover la autonomía económica de las mujeres cuidadoras en el marco de la estrategia de emprendimiento y empleabilidad de la SDMujer </t>
  </si>
  <si>
    <t>Acciones de alistamiento: convocatoria para el periodo del 8-mar a 8-abr, así como de instrumentos de seguimiento y monitoreo del programa. Revisión del plan de trabajo y presupuesto detallado del PNUD para la contratación de equipo que realice seguimiento a las mujeres beneficiarias del programa.</t>
  </si>
  <si>
    <t>ago</t>
  </si>
  <si>
    <t xml:space="preserve">Diseñar e implementar un (1) programa piloto para promover la autonomía económica de las mujeres cuidadoras en el marco de la estrategia de emprendimiento y empleabilidad de la SDMujer.  </t>
  </si>
  <si>
    <t>Durante el mes de agosto, se avanza en mapear la oferta de las organizaciones y en las sesiones de fortalecimiento empresarial y psicosociales. Se estructuran los informes de línea base y diagnóstico de las organizaciones y en la formulación de los planes de inversión. Asimismo, se avanza en la identificación de oportunidades de acceso a mercados y se gestiona para el mes de septiembre el primer encuentro empresarial con empresas contactadas para el programa.</t>
  </si>
  <si>
    <t>Se identifica un avance de actividades cerradas del 42% y un avance agregado que incluye la medición de actividades en proceso del 70,1%. Se reporta una implementación del proceso de fortalecimiento y mentorías psicosociales, identificación de mapeo de la oferta empresarial para gestionar en septiembre mesas con el sector privado de identificación de posibles estrategias conjuntas. Se solucionan los atrasos identificados en julio pero se evidencia la necesidad de ampliar el acompañamiento por cuenta de las necesidades encontradas en territorio y reportadas en los documentos de línea base y diagnóstico organizacional. Los retrasos observados remontan al periodo febrero-mayo cuando hubo la necesidad mediante comité extraordinario de aprobar un plan de contingencia el 4.05.2022.</t>
  </si>
  <si>
    <t>El haber establecido una alianza con las Naciones Unidas para la ejecución del primer programa de generación de ingresos para mujeres cuidadoras permitirá beneficiar a 300 mujeres cuidadoras asociadas en organizaciones productivas  en lo siguiente:  un proceso de fortalecimiento que cuenta con flexibilidad horaria para tener acceso a una mentoría personalizada estructurada por un pool de expertos para fortalecer sus capacidades empresariales en capacidades de acceso a mercados, capacidades organizativas, estructuración de estrategias de acceso a mercados y de formulación y presentación de proyectos para los fondos de desarrollo local o recursos de terceros.</t>
  </si>
  <si>
    <t>Para el mes de enero no se programaron actividades de seguimiento teniendo en cuenta que se encontraba en curso la fase contractual, como resultado de estas acciones se reporta la firma de convenio de cooperación y del equipo que acompañará la implementación del mismo. Para el mes de febrero se da cuenta de la ejecución del primer mes del convenio en donde se adelantaron las acciones de alistamiento de la convocatoria para el periodo del 8 de marzo al 8 de abril, así como de los instrumentos de seguimiento y monitoreo del programa. Alistamiento de la documentación para el primer desembolso; se realiza revisión del plan de trabajo y presupuesto detallado del PNUD lo que permitirá contratar un equipo específico de seguimiento a las mujeres beneficiarias del programa. Durante el mes de marzo se implementa la convocatoria del programa por medio de estrategias territoriales, virtuales y de articulación con actores estratégicos, logrando 58 postulaciones al programa. De estas postulaciones, 25 pasaron términos de referencia. Por otro lado se avanza en definir una estructura de marco de resultados y teoria del cambio del programa que permitirá una futura evaluación de resultados, se define la herramienta de diagnóstico de necesidades organizacionales y se adelanta un reconocimiento de empresas alineadas con el enfoque de género que permitirá facilitar la implementación del componente 3 de acercamiento a mercados. 
Durante el mes de abril se avanzó en identificar 362 organizaciones de mujeres cuidadoras asociadas en la plataforma de la convocatoria de las cuales 128 pasaron al primer filtro de verificación del programa por cumplir con los términos de referencia.
En el mes de mayo, culmina el proceso de convocatoria y se seleccionan las 30 organizaciones que quedarán beneficiadas del programa de Vecinas, Trabajemos Juntas.</t>
  </si>
  <si>
    <t>Durante el mes de abril se avanzó en identificar 362 organizaciones de mujeres cuidadoras asociadas en la plataforma de la convocatoria de las cuales 128 pasaron al primer filtro de verificación del programa por cumplir con los términos de referencia. En el mes de mayo, culmina el proceso de convocatoria y se seleccionan las 30 organizaciones que quedarán beneficiadas del programa de Vecinas, Trabajemos Juntas. Durante el mes de junio, se identificaron 289 mujeres cuidadoras beneficiarias del programa, con las cuales se logró de manera participatriva raalizar los diagnósticos de necesidades de las organizaciones y la formulación de los planes de fortalecimiento organizativo. Asimismo se realiza el levantamiento individual de la línea base de las mujeres beneficiarias de la intervención con el propósito de medir el impacto de la intervención con base en los indicadores definidos en el componente de seguimiento y monitoreo. De igual manera, por medio del ejercicio de diagnóstico se tiene un mapeo preliminar de las necesidades de la oferta, en cuanto a generación de ingresos de las organizaciones productivas beneficiarias del programa.</t>
  </si>
  <si>
    <t>Durante el mes de julio,  por medio del ejercicio de diagnóstico se tiene un mapeo preliminar de las necesidades de la oferta, en cuanto a generación de ingresos de las organizaciones productivas beneficiarias del programa.</t>
  </si>
  <si>
    <t xml:space="preserve">Convocatoria: 58 postulaciones, 25 cumplen términos de referencia. Estructura -marco de resultados y teoria del cambio del programa para evaluación de resultados, herramienta de diagnóstico -necesidades organizacionales y se adelanta reconocimiento de empresas alineadas con el enfoque de género </t>
  </si>
  <si>
    <t>Durante el mes de abril se avanzó en identificar 362 organizaciones de mujeres cuidadoras asociadas en la plataforma de la convocatoria de las cuales 128 pasaron al primer filtro de verificación del programa por cumplir con los términos de referencia.</t>
  </si>
  <si>
    <t>Concluye proceso de selección (organizaciones), de las 362 postulaciones 284 eran registros únicos de los cuales 90 pasaron el primer filtro de verificación de requisitos para evaluación de propuestas y necesidades de fortalecimiento. Publicación en página web (SDMujer) nota técnica con resultados.</t>
  </si>
  <si>
    <t>Identificación de 272 mujeres cuidadoras beneficiarias del programa, diagnósticos de necesidades de las organizaciones y formulación de planes de fortalecimiento organizativo. 
Levantamiento individual:línea base beneficiarias. Mapeo preliminar:necesidades de oferta, en cuanto a generación de ingreso</t>
  </si>
  <si>
    <t>Mapeo de oferta en organizaciones y en sesiones de fortalecimiento empresarial y psicosociales. Informes: línea base, diagnóstico de organizaciones, formulación de planes de inversión. Identificación de oportunidades de acceso a mercados y gestiones para el primer encuentro empresarial con empresas.</t>
  </si>
  <si>
    <t xml:space="preserve">13. Estructurar los insumos técnicos del programa para el componente de seguimiento y monitoreo </t>
  </si>
  <si>
    <t>Actividad cumplida durante el primer trimestre del año.</t>
  </si>
  <si>
    <t>Para el mes de enero no se programaron actividades de avance por cuanto inicia la estapa de estructura interna y alistamiento de documentos (Manual Operativo del programa, los términos de referencia de la convocatoria, el formulario de inscripción de la convocatoria y una propuesta de documento detallada,)Anexos: Documentos preliminares (manual operativo, términos de referencia, formulario de inscripción y propuesta de presupuesto detallado). 
Para el mes de febrero se avanzó en la elaboración de cuatro documentos: documento guía de comunicaciones para la convocatoria de estructuración de copy; fichas de indicadores de seguimiento al programa; borrador del protocolo de manejo de la deserción al programa; instrumento para la calificación de las propuestas de las organizaciones de mujeres que lleguen para la convocatoria. Anexos: Anexo 1: Documento Copy convocatoria;Anexo 2: fichas de indicadores seguimiento del programa; Anexo 3: Borrador protocolo deserción; Anexo 4: Instrumento calificación propuestas.
Para el mes de marzo se desarrolla la propuesta de teoria del cambio y el marco de resultados del programa, así mismo una propuesta de diagnóstico de necesidades de las organizaciones. Anexo 1: Teoria del cambio; anexo 2. marco de resultados; anexo 3. herramienta diagnóstico</t>
  </si>
  <si>
    <t>En abril se avanza en estructurar la linea base de entrada de las mujeres con base en el marco de resultados definido para el programa. (Anexo 1: línea base de entrada). Durante el mes de mayo, si bien no se tenían actividades programadas, se realizan aportes técnicos al paquete de contenidos formativos remitidos por parte del PNUD, se cierra el instrumento de diagnóstico de necesidades y el instrumento de línea base.</t>
  </si>
  <si>
    <t>14. Diseñar e implementar el proceso de convocatoria con el fin de alcanzar la meta poblacional propuesta en el piloto y levantar una línea base de organizaciones productiva de mujeres cuidadoras asociadas</t>
  </si>
  <si>
    <t>Actividad cumplida en el mes de mayo.</t>
  </si>
  <si>
    <t xml:space="preserve">En enero inicia la estructuración de los términos de referencia de la convocatoria y al formulario de inscripción y así mismo en el borrador del manual operativo. Se plantea la necesidad de elaborar un plan de trabajo con el equipo de comunicaciones para desarrollar el pilotaje de la convocatoria, los copies, intensidad de la divulgación, piezas de comunicaciones a fin de poder lanzar la convocatoria del programa en el marco del 8 de marzo
Anexos: Documento preliminar - términos de referencia y del formulario de inscripción. Durante el mes de febrero se avanzó en la estructuración del documento de comunicaciones de copy, logo del programa, se realizaron unos recorridos de reconocimiento territorial en la manzanas del cuidado y se estructuró la propuesta de calificación de los registros a la convocatoria. Anexo 1: Documento Copy convocatoria; Anexo 2: Logo del programa; Anexo 3: Programación recorridos manzana; Anexo 4: Instrumento calificación propuestas. Durante el mes de marzo de implementa la convocatoria del programa según la estrategia de divulgación diseñada en el documento guía operativa. Se realizan 17 jornadas de divulgación, 170 llamadas de acompañamiento, 54 encuentros territoriales, divulgaciones estratégicas con actores como Confecoop, Corporación Mundial de la Mujer, Onu Mujeres, Fundación Andi, Fundación Keralty, Fundación Saldarriaga Concha. Por lo cual a la fecha se evidencian 43 postulaciones las cuales se encuentran en proceso de verificación de aplicación a términos de referencia. Anexo 1: listado postulaciones. </t>
  </si>
  <si>
    <t>En abril se realiza la entrega de 128 carpetas al PNUD de organizaciones que pasaron a un primer filtro de revisión de términos de referencia (enlace disponible: https://secretariadistritald-my.sharepoint.com/:f:/g/personal/dbarragan_sdmujer_gov_co/EhC5c0cYoaFAl_DLeeHplf0BtvUe-1EklMV2i43CojVFzQ?e=Zy1qWd ), las cuales corresponden al 35,3% del total de las postulaciones que se recibieron en la convocatoria (362).</t>
  </si>
  <si>
    <t>15. Realizar seguimiento al cumplimiento de las horas de formación y mentoría personalizada y las acciones definidas en los planes de fortalecimiento organizativo de las organizaciones productivas de mujeres cuidadoras asociadas beneficiarias del piloto.</t>
  </si>
  <si>
    <t>Para el mes de enero, febrero, marzo  no se reportan actividades puesto que el seguimiento a las horas de formación y mentoría se corrió un mes, para la fase de implementación del programa.</t>
  </si>
  <si>
    <t>En abril se registran retrasos al plan de trabajo correspondientes al proceso de contratación del equipo implementaron del PNUD, contenidos formativos y selección de las organizaciones por lo cual se reportaran avances de esta actividad en el mes de mayo. Por lo tanto la evidencia se reportará para el próximo mes. Durante el mes de junio se evidencia que quedan formulados los planes de fortalecimiento organizativo cuyo seguimiento se realizará a partir del mes de julio.</t>
  </si>
  <si>
    <t xml:space="preserve">Durante el mes de julio queda pendiente la entrega por parte del cooperante, siendo implementador operativo del programa, de la información de seguimiento. Razón por la cual desde la supervisión de la SDMujer se realiza un llamado de atención con radicado número 1-2022-008147. Anexo: 1. Documento en pdf del llamado de atención enviado al cooperante. </t>
  </si>
  <si>
    <t>16. Supervisar el cumplimiento de los objetivos propuestos en el piloto.</t>
  </si>
  <si>
    <t>En agosto se cerraron las actividades del plan de trabajo que no dependen de las dinámicas territoriales y organizativas encontradas durante la operación y se logra una ejecución del 70,1% del convenio, asimismo se realizan el informe de línea base, el informe de diagnóstico de las OPS, el mapeo de la oferta de las OPS  y se realiza un trabajo de verificación territorial consolidado en un documento de bitácoras. Anexo 1: Informe de supervisión agosto; Anexo 2. Informe línea base; Anexo 3. Informe diagnóstico OPS; Anexo 4. Informe bitácoras agosto.</t>
  </si>
  <si>
    <t>Durante el mes de enero no se programan actividades de avance por cuanto se adelanta la etapa contractual y se firma convenio de cooperación con el Programa de las Naciones Unidas para el Desarrollo PNUD
Anexos. Documentos contractuales del convenio.  
Durante el mes de febrero se avanzó en el primer informe de supervisión del convenio y el trámite para el primer desembolso y se estableció un mecanismo de seguimiento semanal al plan de trabajo. Anexo 1: Paquete primer desembolso Anexo 2: Enlace ficha de seguimiento semanal al programa: https://secretariadistritald-my.sharepoint.com/:f:/g/personal/amsancheza_sdmujer_gov_co/Esi7-bhNc8REnyGmUPq_KxABav9x2Fcs86bY2l36RMddKA?e=9D8XAX. Durante el mes de marzo se realiza el informe de seguimiento a la ejecución técnica y financiera del convenio según plan de trabajo entregado por el PNUD y se realiza el informe de supervisión. Anexo 1. Informe se seguimiento marzo 2022.Anexo 2. Informe de supervisión marzo 2022</t>
  </si>
  <si>
    <t>Durante el mes de abril se avanza en la realización del comité del convenio y seguimiento al primer desembolso y se realiza el informe mensual de seguimiento (Anexo 1. Informe abril de seguimiento). Durante el mes de mayo y junio  se realizan los informes de seguimiento al convenio  y el informe de supervisión. Anexo 1: Se adjunta informe de supervisión y seguimiento.</t>
  </si>
  <si>
    <t xml:space="preserve">En julio se da cuenta del seguimiento del convenio por un total de ejecución del 41% frente al plan de trabajo, se avanza en la estructuración de la estrategia y manual de acercamiento a mercados, así como del instrumento de medición de habilidades socioemocionales, primer borrador de línea base y primer borrador de documento de diagnóstico de las organizaciones. Anexos 1: informe de supervisipon; Evidencia 2: borrador documento línea base; Evidencia 3: borrador documento diagnóstico de las organizaciones. </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</si>
  <si>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</si>
  <si>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</si>
  <si>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</si>
  <si>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</si>
  <si>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</si>
  <si>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</si>
  <si>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</si>
  <si>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</si>
  <si>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</si>
  <si>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</si>
  <si>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</si>
  <si>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</si>
  <si>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</si>
  <si>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</si>
  <si>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</si>
  <si>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</si>
  <si>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</si>
  <si>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ANEXO - TERRITORIALIZACIÓN</t>
  </si>
  <si>
    <t>Página 3 de 3</t>
  </si>
  <si>
    <t xml:space="preserve">PROGRAMACIÓN </t>
  </si>
  <si>
    <t xml:space="preserve">SEGUIMIENTO </t>
  </si>
  <si>
    <t>PERIODO DE REPORTE:</t>
  </si>
  <si>
    <t>agosto</t>
  </si>
  <si>
    <t>INDICADOR / META:</t>
  </si>
  <si>
    <t>LOCALIDAD</t>
  </si>
  <si>
    <t>TOTAL POR LOCALIDAD</t>
  </si>
  <si>
    <t xml:space="preserve">ENFOQUE DIFERENCIAL </t>
  </si>
  <si>
    <t>GRUPO ETARIO</t>
  </si>
  <si>
    <t>Magnitud</t>
  </si>
  <si>
    <t>Presupuesto</t>
  </si>
  <si>
    <t>ACUM I TRIM</t>
  </si>
  <si>
    <t>ACUM II TRIM</t>
  </si>
  <si>
    <t>ACUM III TRIM</t>
  </si>
  <si>
    <t>Indígenas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</si>
  <si>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</si>
  <si>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</si>
  <si>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</si>
  <si>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</si>
  <si>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</si>
  <si>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</si>
  <si>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</si>
  <si>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</si>
  <si>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</si>
  <si>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</si>
  <si>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</si>
  <si>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</si>
  <si>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</si>
  <si>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</si>
  <si>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</si>
  <si>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</si>
  <si>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</si>
  <si>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</si>
  <si>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</si>
  <si>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</si>
  <si>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</si>
  <si>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</si>
  <si>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</si>
  <si>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</si>
  <si>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</si>
  <si>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</si>
  <si>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</si>
  <si>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</si>
  <si>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</si>
  <si>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</si>
  <si>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</si>
  <si>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</si>
  <si>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TOTAL POR MES</t>
  </si>
  <si>
    <t>NOTA</t>
  </si>
  <si>
    <t>El reporte de mujeres formadas se realizara de manera mensual, y los recursos presupuestales se realizará de manera trimestral acorde con el reporte SEGPLAN</t>
  </si>
  <si>
    <t>Número de mujeres orientadas a través de la Ruta de Divulgación y Orientación.</t>
  </si>
  <si>
    <t>ACUM IV TRIM</t>
  </si>
  <si>
    <t>Total</t>
  </si>
  <si>
    <t>Contratista</t>
  </si>
  <si>
    <t>Acumulado giros</t>
  </si>
  <si>
    <t>MARIA CARMENZA USSA TUNUBALA</t>
  </si>
  <si>
    <t>YHIRA ZURLEY LOPEZ GONZALEZ</t>
  </si>
  <si>
    <t>ANGELA MARIA BELTRAN ISAZA</t>
  </si>
  <si>
    <t>GLORIA LORENA CALDERON NIÑO</t>
  </si>
  <si>
    <t>YULIANA KAROLINA GONZALEZ HOYOS</t>
  </si>
  <si>
    <t>ANGELICA MARIA MARTINEZ LEAL</t>
  </si>
  <si>
    <t>ANA DANIELA PINEDA TOBASIA</t>
  </si>
  <si>
    <t>PIEDAD JIMENA SANCHEZ CASTRO</t>
  </si>
  <si>
    <t>LAURA PATRICIA CELY GOMEZ</t>
  </si>
  <si>
    <t>LAURA ANDREA SALGADO MARTINEZ</t>
  </si>
  <si>
    <t>MARTHA  GUERRERO MUNEVAR</t>
  </si>
  <si>
    <t>Valor girado a 31-mar</t>
  </si>
  <si>
    <t>Giros a 28-feb</t>
  </si>
  <si>
    <t>Giros a 31-mar</t>
  </si>
  <si>
    <t>Valor girado a 30-abr</t>
  </si>
  <si>
    <t>Giros a 30-abr</t>
  </si>
  <si>
    <t>Valor girado a 31-may</t>
  </si>
  <si>
    <t>Giros a 31-may</t>
  </si>
  <si>
    <t>Valor girado a 30-jun</t>
  </si>
  <si>
    <t>Giros a 30-jun</t>
  </si>
  <si>
    <t>Valor girado a 31-jul</t>
  </si>
  <si>
    <t>Giros a 31-jul</t>
  </si>
  <si>
    <t>Valor girado a 31-ago</t>
  </si>
  <si>
    <t>Giros a 31-ago</t>
  </si>
  <si>
    <t>FORMULACIÓN Y SEGUIMIENTO PLAN DE ACCIÓN</t>
  </si>
  <si>
    <t>Página 2 de 3</t>
  </si>
  <si>
    <t>DESCRIPCIÓN CUALITATIVA DEL AVANCE</t>
  </si>
  <si>
    <t>RETRASOS Y FACTORES LIMITANTES PARA EL CUMPLIMIENTO</t>
  </si>
  <si>
    <t>SOLUCIONES PROPUESTAS PARA RESOLVER LOS RETRASOS Y FACTORES LIMITANTES PARA EL CUMPLIMIENTO</t>
  </si>
  <si>
    <t>PRODUCTO INSTITUCIONAL (PMR):</t>
  </si>
  <si>
    <t xml:space="preserve">Igualdad de oportunidades y desarrollo de capacidades para las mujeres </t>
  </si>
  <si>
    <t>OBJETIVO ESTRATEGICO:</t>
  </si>
  <si>
    <t>Contribuir a la reducción de la feminización de la pobreza, al desarrollo de capacidades y al empoderamiento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</si>
  <si>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</si>
  <si>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</si>
  <si>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</si>
  <si>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</si>
  <si>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</si>
  <si>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</si>
  <si>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</si>
  <si>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</si>
  <si>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</si>
  <si>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</si>
  <si>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</si>
  <si>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</si>
  <si>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</si>
  <si>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</si>
  <si>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</si>
  <si>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</si>
  <si>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</si>
  <si>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</si>
  <si>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</si>
  <si>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</si>
  <si>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</si>
  <si>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</si>
  <si>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</si>
  <si>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Aumentar en un 30% el número de mujeres formadas en los centros de inclusión digital.</t>
  </si>
  <si>
    <t>Número de mujeres formadas en los Centros de Inclusión Digital</t>
  </si>
  <si>
    <t>Suma</t>
  </si>
  <si>
    <t>Mujeres Formadas</t>
  </si>
  <si>
    <t>Sumatoria de mujeres formadas en los Centros de Inclusión Digital</t>
  </si>
  <si>
    <t>Mensual</t>
  </si>
  <si>
    <t>Base de mujeres formadas e incluidas en el SIMISIONAL</t>
  </si>
  <si>
    <t xml:space="preserve">"Acorde con la programación para agosto se formaron un total de 729 mujeres, para un avance del 76%  (5,311 mujeres) en la meta 2022, en los siguientes procesos de formación:
a. Informática: Microsoft Word, Excel e Internet: 633 (24  febrero, 158 marzo, 67 abril, 125 mayo, 63 junio, 74 julio, 122 agosto)
b. Herramientas TIC - Fotografía digital: 3 (1 febrero, 2  marzo)
c. Herramientas TIC - Manejo de Adobe Photoshop: 4 (2 febrero, 2  marzo)
d. Habilidades Socioemocionales Moodle: 49 (24 febrero, 25  marzo) 
e. Educación Financiera Moodle: 234 (83 febrero, 41 marzo, 3 abril, 2  mayo, 105 julio)
f.  Habilidades Socioemocionales - CID: 2,066 (237 febrero, 341  marzo, 377 abril, 364 mayo, 248 junio, 204 julio, 295 agosto)
g. Habilidades digitales: 1688 (148 febrero, 340  marzo, 151 abril, 340  mayo, 242 junio, 227 julio, 240 agosto)
h. Introducción a los indicadores de género: 20 (4 febrero, 2  marzo, 6 abril, 3 mayo, 5 agosto)
i. Construcción y aplicación de indicadores de género en ideas de proyecto: 10 (3 febrero 7 junio)
j. Derechos de las mujeres y TIC: 206 (4 febrero, 21  marzo, 15 abril, 28  mayo, 73 junio, 30 julio, 35 agosto)
k. Prevención de violencias digitales: 179 (19  marzo,55 abril, 22 mayo,38 junio, 38 julio, 7 agosto)
l. Claves para ingresar al mundo laboral: 94 (25 abril, 14  mayo, 14 junio, julio 30, 11 agosto)
m. Constructoras Tic para la Paz: 4 (4 abril)
n. Manejo básico de herramientas Microsoft Office 2016: Excel: 67 (30 abril, 24 en mayo. 4 junio, 9 julio)
o. Manejo intermedio de herramientas Microsoft office Excel 2016: 27 (7 abril, 12 en junio 8 julio).
p. Emprendimiento Digital: 14 (julio, 1 agosto)
q. Inglés Básico Nivel 1: 13 (agosto)
Las facilitadoras realizan  seguimiento y recolección de aprendizajes mediante instrumentos previamente diseñados, que favorecen la identificación de beneficios para las mujeres que participan del proceso."
</t>
  </si>
  <si>
    <t>No se presentan retrasos acorde con la programación</t>
  </si>
  <si>
    <t>Diseñar y acompañar la estrategia de emprendimiento y empleabilidad para la autonomía económica de las mujeres</t>
  </si>
  <si>
    <t>Porcentaje de avance en el diseño y acompañamiento de la estrategia de emprendimiento y empleabilidad para la autonomía económica de las mujeres</t>
  </si>
  <si>
    <t>Porcentaje de avance</t>
  </si>
  <si>
    <t xml:space="preserve">Sumatoria </t>
  </si>
  <si>
    <t xml:space="preserve">Soportes plan de acción meta 2 y 3. </t>
  </si>
  <si>
    <r>
      <rPr>
        <sz val="9"/>
        <color rgb="FF000000"/>
        <rFont val="Times New Roman"/>
      </rPr>
      <t xml:space="preserve">De acuerdo a lo programado para el mes de febrero, se reportan los siguientes avances desde la estrategia: 1. Participación en 29 espacios de divulgación de programas de empleo y generación de ingresos en donde se realizaron 165 orientaciones a mujeres y 422 registros. 2. Informe consolidado de los reportes remitidos por las entidades y organismos distritales frente al cumplimiento de las medidas contenidas en el Decreto 332 de 2020. 3. Consolidación programas EMRE, cierre 2021 y avance 2022. 3. Se avanzó en la recolección de insumos de experiencias de implementación de programas de generación de ingresos de 2021 y de bibliografía de interés para el diseño de un nuevo programa proyectado para el primer semestre. Para el cierre del primer trimestre, se han beneficiado 2.379 mujeres (689 orientaciones, 1690 registros a través de la difusión de 17 programas -distritales de empleo, generación de ingresos y formación para el trabajo y se realizaron 28.528 divulgaciones del programa Empleo Joven. Se realizan dos mesas de género de EMRE  en donde se definió un acompañamiento para incluir un  nuevo programa de generación de ingresos y según  la información reportada por las entidades y organismos distritales respecto del cumplimiento del Decreto 332 de 2020, se contrataron 29.167 mujeres en las distintas ramas económicas descritas en el Decreto. Durante el mes de abril se destacan los siguientes avances: i) 869 registros y 279 orientaciones de mujeres a través de la Ruta de Divulgación y Orientación para Mujeres. Lo anterior, se llevo a cabo en 19 localidades, mediante la participación en 57 espacios de difusión. ii) 7 sesiones de divulgación de la convocatoria del Decreto 332, y envío de convocatoria a empresas de 4 sectores económicos; iii) Divulgación del programa Distrital Empleo Joven, registro de mujeres al programa Impulso al Empleo y definición de ruta de trabajo con la Agencia de Empleo de la SDDE. iv) Propuesta de transición para beneficiarias del programa Mujeres que Reverdecen. Durante el mes de abril se destacan los siguientes avances: i) 869 registros y 279 orientaciones de mujeres a través de la Ruta de Divulgación y Orientación para Mujeres. Lo anterior, se llevo a cabo en 19 localidades, mediante la participación en 57 espacios de difusión. ii) 7 sesiones de divulgación de la convocatoria del Decreto 332, y envío de convocatoria a empresas de 4 sectores económicos; iii) Divulgación del programa Distrital Empleo Joven, registro de mujeres al programa Impulso al Empleo y definición de ruta de trabajo con la Agencia de Empleo de la SDDE. iv) Propuesta de transición para beneficiarias del programa Mujeres que Reverdecen .Durante el mes de mayo se destacan los siguientes avances: i) 1.113 registros y 456 orientaciones de mujeres a través de la Ruta de Divulgación y Orientación para Mujeres. Lo anterior, se llevó a cabo en 19 localidades, mediante la participación en 122 espacios de difusión. ii) 10 sesiones de divulgación de la convocatoria del Decreto 332, a los a los sectores económicos de Construcción, transporte y almacenamiento, suministro de electricidad, gas y agua, actividades inmobiliarias, información y telecomunicaciones, industria manufacturera, comercio y reparación de vehículos. iii)Divulgación del programa Distrital Empleo Joven, Ruta de empleabilidad. iv) Propuesta brief de programa para la generación de ingresos “Vecinas, sigamos trabajando juntas” 
En ese orden de ideas, a mayo de 2022, se han orientado un total de 1.424 mujeres, y un acumulado de 3.672 registros. Durante el mes de junio se destacan los siguientes avances: i) 1.936 registros y 439 orientaciones de mujeres través de la Ruta de Divulgación y Orientación para Mujeres. Lo anterior, se llevó a cabo en 19 localidades, mediante la participación en 105 espacios de difusión. ii) Cinco (5) sesiones virtuales de capacitación del Decreto 332 de 2020 y de la aplicación y diligenciamiento de la herramienta de registro de información de cumplimiento del Decreto. iii) Divulgación del programa Distrital Empleo Joven, Ruta de empleabilidad, Impulso al Empleo. iv) Propuesta del programa nuevo ajustado, con el cual se tiene proyectado una intervención para fortalecer capacidades asociativas según el ciclo de vida de las organizaciones, con miras a dejar una capacidad instalada en las manzanas del cuidado.
En ese orden de ideas, a junio de 2022, se han orientado un total de 1.663 mujeres, y un acumulado de 5.512 registros.  Durante el mes de julio se destacan los siguientes avances: i) 1.272 registros y 374 orientaciones de mujeres través de la Ruta de Divulgación y Orientación para Mujeres. Lo anterior, se llevó a cabo en 19 localidades, mediante la participación en 109 espacios de difusión. ii) Dos (2) sesiones virtuales de capacitación del Decreto 332 de 2020, una de asistencia técnica a las Alcaldías Locales de Tunjuelito y Usaquén, y otra de acompañamiento y asistencia técnica a la Alcaldía Local de Kennedy. iii) Divulgación del programa Distrital Empleo Joven, Ruta de empleabilidad, Impulso al Empleo. iv) Se elaboró la propuesta de un modelo de intervención de oferta de generación de ingresos para el 2023 en las manzanas del cuidado, a partir de la conformación de unas duplas psicosociales de la SDMujer que trabajen de la mano con las gestoras empresariales de la Secretaría Distrital de Desarrollo Económico.
En ese orden de ideas, a julio de 2022 se destacan los siguientes avances: i) 1.272 registros y 374 orientaciones de mujeres través de la Ruta de Divulgación y Orientación para Mujeres. Lo anterior, se llevó a cabo en 19 localidades, mediante la participación en 109 espacios de difusión. ii) Dos (2) sesiones virtuales de capacitación del Decreto 332 de 2020, una de asistencia técnica a las Alcaldías Locales de Tunjuelito y Usaquén, y otra de acompañamiento y asistencia técnica a la Alcaldía Local de Kennedy. iii) Divulgación del programa Distrital Empleo Joven, Ruta de empleabilidad, Impulso al Empleo. iv) Se elaboró la propuesta de un modelo de intervención de oferta de generación de ingresos para el 2023 en las manzanas del cuidado, a partir de la conformación de unas duplas psicosociales de la SDMujer que trabajen de la mano con las gestoras empresariales de la Secretaría Distrital de Desarrollo Económico. En ese orden de ideas, a julio de 2022, se han orientado un total de 2.037 mujeres, y un acumulado de 6.784 registros.
</t>
    </r>
    <r>
      <rPr>
        <sz val="9"/>
        <color rgb="FF0070C0"/>
        <rFont val="Times New Roman"/>
      </rPr>
      <t xml:space="preserve">En ese orden de ideas, a agosto de 2022 se destacan los siguientes avances: i) 1.277 registros y 484 orientaciones de mujeres través de la Ruta de Divulgación y Orientación para Mujeres. Lo anterior, se llevó a cabo en 19 localidades, mediante la participación en 90 espacios de difusión. ii) Una (1) sesión virtual de capacitación del Decreto 332 de 2020  de acompañamiento y asistencia técnica a la Alcaldía Local de Ciudad Bolívar. iii) Divulgación de los programas Distritales: Empleo Joven, Ruta de empleabilidad, Impulso al Empleo. iv) Se elaboró flujograma para la identificación de perfiles de beneficiarias y oferta pertinente según el perfil, en marco del modelo de intervención de oferta de generación de ingresos para el 2023 en las manzanas del cuidado. En ese orden de ideas, a agosto de 2022, se han orientado un total de 2.521 mujeres, y 8.061 registros. 
</t>
    </r>
  </si>
  <si>
    <t xml:space="preserve">42.Número de contenidos diseñados para el desarrollo de capacidades socioemocionales, ocupacionales, técnicas y educación financiera para las mujeres (Módulos y diplomados) </t>
  </si>
  <si>
    <t>Contenidos diseñados</t>
  </si>
  <si>
    <t>Sumatoria de los contenidos diseñados</t>
  </si>
  <si>
    <t>Contenidos publicados en página web de la SDMujer</t>
  </si>
  <si>
    <t>Durante el mes de agosto, se dio continuidad a la etapa precontractual y se realizaron todos los ajustes y trámites realizados por la dirección de contratación, sin embargo se presenta retraso en la actividad ya que el contrato no inició ejecución para el mes programado, se prevé que para el mes de septiembre se de inicio a la ejecución del contrato e inicie la elaboración de los contenidos virutales.</t>
  </si>
  <si>
    <t>Durante el mes de septiembre se tiene programado dar inicio a la ejecución del contrato interadministrativo.</t>
  </si>
  <si>
    <t>Diseñar e implementar una (1) Estrategia para el Desarrollo De Capacidades Socioemocionales Y Técnicas de las Mujeres en toda su Diversidad para su Emprendimiento y Empleabilidad.</t>
  </si>
  <si>
    <t>Número de registros en la Ruta de  Divulgación y Orientación.</t>
  </si>
  <si>
    <t>N/A</t>
  </si>
  <si>
    <t>Registros</t>
  </si>
  <si>
    <t>Registros realizados</t>
  </si>
  <si>
    <r>
      <rPr>
        <sz val="9"/>
        <color rgb="FF000000"/>
        <rFont val="Times New Roman"/>
      </rPr>
      <t xml:space="preserve">Para el mes de febrero el equipo territorial asistió a veintinueve (29) espacios de difusión entre los que se encuentran ferias comunitarias, ferias de servicios, jornadas “Mujer Contigo en tu barrio", encuentro local de mujeres OEI, Festival Renace, jornadas de socialización con SIDICU, entre otras. Lo anterior, se desarrolló en las localidades de Kennedy, Bosa, Antonio Nariño, San Cristóbal, Engativá, Santa Fe, Barrios Unidos, Fontibón, Mártires, Rafael Uribe Uribe, Ciudad Bolívar, Chapinero y Suba (13 localidades); donde se llevó a cabo la difusión de la Estrategia E&amp;E, servicios de la SDMujer y programas activos de empleo y formación para el trabajo; así como la orientación y acompañamiento a mujeres. Con corte a 28 de febrero se cuenta con 422 registros en la Ruta de  Divulgación y Orientación. Para el mes de marzo se asistió a ochenta y cinco (85) espacios de difusión entre los que se encuentran conmemoración 8M, ferias comunitarias, ferias de servicios, jornadas "Mujer Contigo en tu barrio", días de empleo &amp; emprendimiento en las manzanas del cuidado, jornadas difusión programa "Vecinas Trabajemos Juntas "entre otras, en  (13 localidades). Durante el mes de marzo por medio de la ruta de divulgación de la Estrategia de E&amp;E se llevaron a cabo 1.172 registros, a través de la Ruta de Divulgación y Orientación para Mujeres. Durante el mes de abril el equipo territorial asistió a 57 (cincuenta y siete) espacios de difusión  en diecinueve localidades .En estos espacios se llevó a cabo difusión de la Estrategia E&amp;E, servicios de la SDMujer, difusión y apoyo en el programa "Vecinas Trabajemos Juntas", programas activos de empleo (Empleo Joven, Ruta de Empleabilidad, Más Empleos del Sector Gastronómico, Vacantes Coca-Cola Femsa, Vacantes disponibles en el sector industrial (Cemex), Impulso al Empleo, Vacantes Diamante, Vacantes Somos Bogotá Usme, Vacantes Xuss, Programa CREO, vacantes empresas BPO), generación de ingresos (Viste Tu Casa Corona, Mujer Emprendedora &amp; Productiva, Vecinas Trabajemos Juntas), formación para el trabajo (Cursos en alianza con la UNAL, Laboratoria, Fundación Sodexo-SENA) y orientación y acompañamiento a mujeres. Por medio de la Ruta de divulgación de la estrategia se llevaron a cabo 869 registros. Para el mes de mayo se asistió a 122 (ciento veintidós) espacios de difusión entre los que se encuentran ferias comunitarias, ferias de servicios, jornadas "Mujer Contigo en tu barrio", días de empleo &amp; emprendimiento en las manzanas del cuidado y CIOM, entre otras, en diecinueve (19). En estos espacios se llevó a cabo difusión de la Estrategia E&amp;E, servicios de la SDMujer, programas activos de empleo (Empleo Joven, Ruta de Empleabilidad, Programa Creo, Impulso al Empleo, Más Empleos del Sector Gastronómico, Vacantes Coca-Cola Femsa, Vacantes Cemex, Vacantes Xuss, Vacantes disponibles en sector industrial-Cemex, Somos Bogotá USME, Sodexo, Diamante, Hogarú, Ardanuy Ingeniería S.A, Efiservicios, Call Center - GNP, Auxiliar Enfermeras, Colombina, WOK, WOM, generación de ingresos (Viste Tu Casa Corona, Mujer Emprendedora &amp; Productiva), formación para el trabajo (Cursos en alianza con la UNAL, Fundación SODEXO, IBM) y orientación y acompañamiento a mujeres. Por medio de la Ruta de divulgación de la estrategia se llevaron a  cabo 1113 registros..Para el mes de junio el equipo territorial asistió a 105 (Ciento cinco) espacios de difusión entre los que se encuentran ferias comunitarias, ferias de servicios, jornadas "Mujer Contigo en tu barrio", días de empleo &amp; emprendimiento en las manzanas del cuidado y CIOM, talleres hoja de vida, entre otras, en (19) diecinueve localidades. En estos espacios se llevó a cabo difusión de la Estrategia E&amp;E, de los programas activos de empleo (Empleo Joven, Ruta de Empleabilidad, Impulso al Empleo, programa CREO, Más Empleos del Sector Gastronómico, Vacantes Coca-Cola Femsa, Vacantes Cemex, Vacantes Xuss, Somos Bogotá USME, Sodexo, Diamante, Hogaru, Ardanuy Ingenería S.A, Efiservicios, Call Center - GNP, Teleperformance, Enfermeras, Colombina, WOK, WOM), generación de ingresos (Viste Tu Casa Corona, NOVAVENTA, Mujer Emprendedora &amp; Productiva), formación para el trabajo (Cursos en alianza con la UNAL, Fundación Sodexo-SENA, curso para sector de bares y restaurantes Diageo, IBM) y orientación y acompañamiento a mujeres. Por medio de la Ruta de divulgación de la estrategia se llevaron a cabo 1113 registros.
Para el mes de julio el equipo territorial asistió a 109 (Ciento nueve) espacios de difusión entre los que se encuentran ferias comunitarias, ferias de servicios, jornadas "Mujer Contigo en tu barrio", días de empleo &amp; emprendimiento en las manzanas del cuidado y CIOM, talleres hoja de vida, entre otras, en  diecinueve (19) localidades). En estos espacios se llevó a cabo difusión de la Estrategia E&amp;E, de los programas activos de empleo (Empleo Joven, Ruta de Empleabilidad, Impulso al Empleo, programa CREO, Elempleo.com, Más Empleos del Sector Gastronómico, Vacantes Coca-Cola Femsa, Vacantes sector industria, Vacantes Cemex, Vacantes Xuss, Somos Bogotá USME, Sodexo, Diamante, Hogaru, Ardanuy Ingenería S.A, Efiservicios, Call Center - GNP, Teleperformance, Enfermeras, Colombina, WOK, WOM, Call Center Hoy Trabajas,Vacantes SECURITAS, OS ingeniería, POPSY, ENEL, EFICACIA, QUIROMAR, COTELCO, SERVIESPECIALES), generación de ingresos (Viste Tu Casa Corona, NOVAVENTA, Mujer Emprendedora &amp; Productiva), formación para el trabajo (Cursos en alianza con la UNAL, Fundación Sodexo-SENA, curso para sector de bares y restaurantes Diageo, formación técnica VANTI, IBM) y orientación y acompañamiento a mujeres.  Por medio de la Ruta de divulgación de la estrategia se llevaron a cabo 1.272 registros.
</t>
    </r>
    <r>
      <rPr>
        <sz val="9"/>
        <color rgb="FF0070C0"/>
        <rFont val="Times New Roman"/>
      </rPr>
      <t xml:space="preserve">Para el mes de agosto el equipo territorial asistió a 90 (Noventa) espacios de difusión entre los que se encuentran ferias comunitarias, ferias de servicios, jornadas "Mujer Contigo en tu barrio", días de empleo &amp; emprendimiento en las manzanas del cuidado y CIOM, talleres hoja de vida, entre otras, en las localidades de Usaquén, Mártires, Teusaquillo, Rafael Uribe Uribe, San Cristóbal, Ciudad Bolívar, Suba, Santa Fe, Chapinero, Engativá, Sumapaz, Kennedy, Usme, Bosa, Barrios Unidos, Candelaria, Antonio Nariño, Puente Aranda y Fontibón (19 localidades). En estos espacios se llevó a cabo difusión de la Estrategia E&amp;E, de los programas activos de empleo (Empleo Joven, Ruta de Empleabilidad, Impulso al Empleo, programa CREO, Elempleo.com, Más Empleos del Sector Gastronómico, Vacantes Coca-Cola Femsa, Vacantes sector industria, Vacantes Xuss, Vacantes Grouplic, Somos Bogotá USME, Sodexo, Diamante, Hogaru, Ardanuy Ingenería S.A, Efiservicios, Call Center - GNP, Teleperformance, Enfermeras, Colombina, WOK, WOM, Call Center Hoy Trabajas,Vacantes SECURITAS, OS ingeniería, POPSY, CNC, EFICACIA, QUIROMAR, COTELCO, SERVIESPECIALES, Maser Terpel, KANKA PERU, Calzado Barbarella, Transmilenio, Acodres), generación de ingresos (Bogotá Productiva Local, Viste Tu Casa Corona, NOVAVENTA), formación para el trabajo (Cursos en alianza con la UNAL, Fundación Sodexo-SENA, curso para sector de bares y restaurantes Diageo, formación técnica VANTI, IBM, Mujeres Eco-conductoras). Por medio de la ruta de divulgación de la estrategia se llevaron a cabo 1.277 registros.
</t>
    </r>
  </si>
  <si>
    <t>No obstante, los esfuerzos y el trabajo realizado por el equipo territorial para el registro de mujeres en los espacios territoriales a los que se asistió y, la orientación a mujeres remitidas por las CIOM, SIDICU y otros aliados locales, a través de medios como WhatsApp Business y telefónicamente, no se pudo alcanzar la meta para el primer trimestre toda vez que la asistencia de ciudadanas a estos espacios varió de manera considerable dependiendo las fechas y convocatorias. Durante el mes de abril hubo retrasos en el cumplimiento de la meta, toda vez que durante la semana santa no se realizaron espacios territoriales de divulgación y orientación, pues se esperaba muy poca participación de ciudadanas. Por esta razón, las actividades de divulgación corresponden únicamente a 3 semanas del mes, no 4 como normalmente sucede, razón por la que no se alcanzó la meta planteada.</t>
  </si>
  <si>
    <t>Para el mes de abril se continuará con la divulgación en  las ferias Distritales y en los espacios a nivel local (jornadas territoriales), adicionalmente, con las jornadas del 8m también aumentarán los registros y orientaciones. Así mismo, con la implementación a los Días de Empleabilidad y Emprendimiento en las Manzanas del Cuidado se propone aumentar las acciones para cumplir la meta.
Como acciones de mejora para el mes de mayo, el equipo territorial estará en espacios territoriales de divulgación y orientaciones las 4 semanas completas del mes, por lo que se espera alcanzar las metas planeadas. Las medidas que se están tomando para ponernos al día en los próximos meses son la articulación con más actores en territorio para llegar a más y nuevas mujeres, implementación de nuevas estrategias para aumentar la asistencia de mujeres en los días E&amp;E en manzanas del cuidado, el desarrollo de ferias con empresas aliadas que puedan registrar directamente a las mujeres a vacantes, entre otras.</t>
  </si>
  <si>
    <t>Mujeres orientadas</t>
  </si>
  <si>
    <t>Orientaciones realizadas</t>
  </si>
  <si>
    <r>
      <rPr>
        <sz val="9"/>
        <color rgb="FF000000"/>
        <rFont val="Times New Roman"/>
      </rPr>
      <t xml:space="preserve">Para el mes de febrero el equipo territorial asistió a veintinueve (29) espacios de difusión entre los que se encuentran ferias comunitarias, ferias de servicios, jornadas “Mujer Contigo en tu barrio", encuentro local de mujeres OEI, Festival Renace, jornadas de socialización con SIDICU, entre otras. Lo anterior, se desarrolló en las localidades de Kennedy, Bosa, Antonio Nariño, San Cristóbal, Engativá, Santa Fe, Barrios Unidos, Fontibón, Mártires, Rafael Uribe Uribe, Ciudad Bolívar, Chapinero y Suba (13 localidades); donde se llevó a cabo la difusión de la Estrategia E&amp;E, servicios de la SDMujer y programas activos de empleo y formación para el trabajo; así como la orientación y acompañamiento a mujeres. Con corte a 28 de febrero se cuenta con 165 mujeres orientadas a través de la Ruta de Divulgación y Orientación. Para el mes de marzo se asistió a ochenta y cinco (85) espacios de difusión entre los que se encuentran conmemoración 8M, ferias comunitarias, ferias de servicios, jornadas "Mujer Contigo en tu barrio", días de empleo &amp; emprendimiento en las manzanas del cuidado, jornadas difusión programa "Vecinas Trabajemos Juntas "entre otras, en  (13 localidades). Durante el mes de marzo por medio de la ruta de divulgación de la Estrategia de E&amp;E se llevaron a cabo 370 orientaciones, a través de la Ruta de Divulgación y Orientación para Mujeres. Durante el mes de abril el equipo territorial asistió a 57 (cincuenta y siete) espacios de difusión  en diecinueve localidades. En estos espacios se llevó a cabo difusión de la Estrategia E&amp;E, servicios de la SDMujer, difusión y apoyo en el programa "Vecinas Trabajemos Juntas", programas activos de empleo (Empleo Joven, Ruta de Empleabilidad, Más Empleos del Sector Gastronómico, Vacantes Coca-Cola Femsa, Vacantes disponibles en el sector industrial (Cemex), Impulso al Empleo, Vacantes Diamante, Vacantes Somos Bogotá Usme, Vacantes Xuss, Programa CREO, vacantes empresas BPO), generación de ingresos (Viste Tu Casa Corona, Mujer Emprendedora &amp; Productiva, Vecinas Trabajemos Juntas), formación para el trabajo (Cursos en alianza con la UNAL, Laboratoria, Fundación Sodexo-SENA) y orientación y acompañamiento a mujeres. Por medio de la Ruta de divulgación de la estrategia se llevaron a cabo 279 orientaciones. Para el mes de mayo se asistió a 122 (ciento veinte dos) espacios de difusión entre los que se encuentran ferias comunitarias, ferias de servicios, jornadas "Mujer Contigo en tu barrio", días de empleo &amp; emprendimiento en las manzanas del cuidado y CIOM, entre otras, en diecinueve (19). En estos espacios se llevó a cabo difusión de la Estrategia E&amp;E, servicios de la SDMujer, programas activos de empleo (Empleo Joven, Ruta de Empleabilidad, Programa Creo, Impulso al Empleo, Más Empleos del Sector Gastronómico, Vacantes Coca-Cola Femsa, Vacantes Cemex, Vacantes Xuss, Vacantes disponibles en sector industrial-Cemex, Somos Bogotá USME, Sodexo, Diamante, Hogarú, Ardanuy Ingeniería S.A, Efiservicios, Call Center - GNP, Auxiliar Enfermeras, Colombina, WOK, WOM, generación de ingresos (Viste Tu Casa Corona, Mujer Emprendedora &amp; Productiva), formación para el trabajo (Cursos en alianza con la UNAL, Fundación SODEXO, IBM) y orientación y acompañamiento a mujeres. Por medio de la Ruta de divulgación de la estrategia se llevo a cabo 456 orientaciones.Para el mes de junio el equipo territorial asistió a 105 (Ciento cinco) espacios de difusión entre los que se encuentran ferias comunitarias, ferias de servicios, jornadas "Mujer Contigo en tu barrio", días de empleo &amp; emprendimiento en las manzanas del cuidado y CIOM, talleres hoja de vida, entre otras, en (19) diecinueve localidades. En estos espacios se llevó a cabo difusión de la Estrategia E&amp;E, de los programas activos de empleo (Empleo Joven, Ruta de Empleabilidad, Impulso al Empleo, programa CREO, Más Empleos del Sector Gastronómico, Vacantes Coca-Cola Femsa, Vacantes Cemex, Vacantes Xuss, Somos Bogotá USME, Sodexo, Diamante, Hogaru, Ardanuy Ingenería S.A, Efiservicios, Call Center - GNP, Teleperformance, Enfermeras, Colombina, WOK, WOM), generación de ingresos (Viste Tu Casa Corona, NOVAVENTA, Mujer Emprendedora &amp; Productiva), formación para el trabajo (Cursos en alianza con la UNAL, Fundación Sodexo-SENA, curso para sector de bares y restaurantes Diageo, IBM) y orientación y acompañamiento a mujeres. Por medio de la Ruta de divulgación de la estrategia se orientaron 439 mujeres. Para el mes de julio el equipo territorial asistió a 109 (Ciento nueve) espacios de difusión entre los que se encuentran ferias comunitarias, ferias de servicios, jornadas "Mujer Contigo en tu barrio", días de empleo &amp; emprendimiento en las manzanas del cuidado y CIOM, talleres hoja de vida, entre otras, en  diecinueve (19) localidades). En estos espacios se llevó a cabo difusión de la Estrategia E&amp;E, de los programas activos de empleo (Empleo Joven, Ruta de Empleabilidad, Impulso al Empleo, programa CREO, Elempleo.com, Más Empleos del Sector Gastronómico, Vacantes Coca-Cola Femsa, Vacantes sector industria, Vacantes Cemex, Vacantes Xuss, Somos Bogotá USME, Sodexo, Diamante, Hogaru, Ardanuy Ingenería S.A, Efiservicios, Call Center - GNP, Teleperformance, Enfermeras, Colombina, WOK, WOM, Call Center Hoy Trabajas,Vacantes SECURITAS, OS ingeniería, POPSY, ENEL, EFICACIA, QUIROMAR, COTELCO, SERVIESPECIALES), generación de ingresos (Viste Tu Casa Corona, NOVAVENTA, Mujer Emprendedora &amp; Productiva), formación para el trabajo (Cursos en alianza con la UNAL, Fundación Sodexo-SENA, curso para sector de bares y restaurantes Diageo, formación técnica VANTI, IBM) y orientación y acompañamiento a mujeres. Por medio de la Ruta de divulgación de la estrategia se orientaron 374 mujeres.
</t>
    </r>
    <r>
      <rPr>
        <sz val="9"/>
        <color rgb="FF0070C0"/>
        <rFont val="Times New Roman"/>
      </rPr>
      <t>Para el mes de agosto el equipo territorial asistió a 90 (Noventa) espacios de difusión entre los que se encuentran ferias comunitarias, ferias de servicios, jornadas "Mujer Contigo en tu barrio", días de empleo &amp; emprendimiento en las manzanas del cuidado y CIOM, talleres hoja de vida, entre otras, en las localidades de Usaquén, Mártires, Teusaquillo, Rafael Uribe Uribe, San Cristóbal, Ciudad Bolívar, Suba, Santa Fe, Chapinero, Engativá, Sumapaz, Kennedy, Usme, Bosa, Barrios Unidos, Candelaria, Antonio Nariño, Puente Aranda y Fontibón (19 localidades). En estos espacios se llevó a cabo difusión de la Estrategia E&amp;E, de los programas activos de empleo (Empleo Joven, Ruta de Empleabilidad, Impulso al Empleo, programa CREO, Elempleo.com, Más Empleos del Sector Gastronómico, Vacantes Coca-Cola Femsa, Vacantes sector industria, Vacantes Xuss, Vacantes Grouplic, Somos Bogotá USME, Sodexo, Diamante, Hogaru, Ardanuy Ingenería S.A, Efiservicios, Call Center - GNP, Teleperformance, Enfermeras, Colombina, WOK, WOM, Call Center Hoy Trabajas,Vacantes SECURITAS, OS ingeniería, POPSY, CNC, EFICACIA, QUIROMAR, COTELCO, SERVIESPECIALES, Maser Terpel, KANKA PERU, Calzado Barbarella, Transmilenio, Acodres), generación de ingresos (Bogotá Productiva Local, Viste Tu Casa Corona, NOVAVENTA), formación para el trabajo (Cursos en alianza con la UNAL, Fundación Sodexo-SENA, curso para sector de bares y restaurantes Diageo, formación técnica VANTI, IBM, Mujeres Eco-conductoras). Por medio de la ruta de divulgación de la estrategia se orientaron 484 mujeres.</t>
    </r>
  </si>
  <si>
    <t>No obstante, los esfuerzos y el trabajo realizado por el equipo territorial para el registro de mujeres en los espacios territoriales a los que se asistió y, la orientación a mujeres remitidas por las CIOM, SIDICU y otros aliados locales, a través de medios como WhatsApp Business y telefónicamente, no se pudo alcanzar la meta para el mes de febrero, toda vez que la asistencia de ciudadanas a estos espacios varió de manera considerable dependiendo las fechas y convocatorias. Durante el mes de abril hubo retrasos en el cumplimiento de la meta, toda vez que durante la semana santa no se realizaron espacios territoriales de divulgación y orientación, pues se esperaba muy poca participación de ciudadanas. Por esta razón, las actividades de divulgación corresponden únicamente a 3 semanas del mes, no 4 como normalmente sucede, razón por la que no se alcanzó la meta planteada. Durante el mes de julio hubo un rezago de 15 orientaciones por debajo de la meta, pese a los esfuerzos y la presencia constante del equipo territorial, no se alcanzó la asistencia esperada de las mujeres en algunos espacios territoriales.</t>
  </si>
  <si>
    <t xml:space="preserve">Para el mes de abril  se continuará con la divulgación en  las ferias Distritales y en los espacios a nivel local (jornadas territoriales), adicionalmente, con las jornadas del 8m también aumentarán los registros y orientaciones. Así mismo, con la implementación a los Días de Empleabilidad y Emprendimiento en las Manzanas del Cuidado se propone aumentar las acciones para cumplir la meta. Como acciones de mejora para el mes de mayo, el equipo territorial estará en espacios territoriales de divulgación y orientaciones las 4 semanas completas del mes, por lo que se espera alcanzar las metas planeadas. Teniendo en cuenta que para la meta del semestre, tenemos retrasos de 142 por debajo, se proponen como acciones de mejora las siguientes: la articulación con más actores en territorio para llegar a más y nuevas mujeres, implementación de nuevas estrategias para aumentar la asistencia de mujeres en los días E&amp;E en manzanas del cuidado, el desarrollo de ferias con empresas aliadas que puedan registrar directamente a las mujeres a vacantes, así como la coordinación de eventos como la Macrorueda, en las cuales hay una gran acogida y convocatoria por parte de las mujeres en un solo espacio, lo cual permite optimizar el tiempo de trabajo. Teniendo en cuenta que hubo un retraso de 15 por debajo de la meta del mes de julio, se continuaran con los esfuerzos para lograr articulaciones con aliados que permitan que las mujeres participen en espacios presenciales, que queden cerca a sus hogares, como las manzanas del cuidado. </t>
  </si>
  <si>
    <t>Número de informes consolidados, elaborados a partir de los reportes enviados por las entidades y organismos Distrital en cumplimiento del Decreto 332/2020.</t>
  </si>
  <si>
    <t>Informes consolidados</t>
  </si>
  <si>
    <t>Sumatoria</t>
  </si>
  <si>
    <t>Semestral</t>
  </si>
  <si>
    <t>Reportes realizados</t>
  </si>
  <si>
    <r>
      <rPr>
        <sz val="9"/>
        <color rgb="FF000000"/>
        <rFont val="Times New Roman"/>
      </rPr>
      <t xml:space="preserve">De acuerdo a lo programado para el mes de febrero, se realizó el informe consolidado de los reportes remitidos por las entidades y organismos distritales frente al cumplimiento de las medidas contenidas en el Decreto 332 de 2020 para ser remitido a la Secretaría Jurídica Distrital en virtud de lo previsto en el artículo 4 del Decreto 2020. 
Actividad no programada para el mes de julio.
</t>
    </r>
    <r>
      <rPr>
        <sz val="9"/>
        <color rgb="FF0070C0"/>
        <rFont val="Times New Roman"/>
      </rPr>
      <t xml:space="preserve">
De acuerdo con lo programado para el mes de agosto, se realizó el informe consolidado, I semestre 2022, de los reportes remitidos por las entidades y organismos distritales frente al cumplimiento de las medidas contenidas en el Decreto 332 de 2020 para ser remitido a la Secretaría Jurídica Distrital en virtud de lo previsto por el Artículo 4 del Decreto.</t>
    </r>
  </si>
  <si>
    <t>Número de propuestas de programas enfocados a la disminución de brecha económica entre hombres y mujeres</t>
  </si>
  <si>
    <t>Propuestas diseñadas</t>
  </si>
  <si>
    <t>Sumatoria de  programas diseñados enfocados a disminuir la brecha económica entre hombres y mujeres</t>
  </si>
  <si>
    <t>Documentos de propuestas de programas enfocados a la disminución de brecha económica entre hombres y mujeres</t>
  </si>
  <si>
    <r>
      <rPr>
        <sz val="9"/>
        <color rgb="FF000000"/>
        <rFont val="Times New Roman"/>
      </rPr>
      <t xml:space="preserve">Para la vigencia reportada, se elabora una propuesta de generación de ingresos pensada en dejar capacidad instalada en las manzanas del cuidado a partir de la experiencia de vecinas trabajemos juntas con el propósito de fortalecer capacidades asociativas, socioemocionales y productivas en organizaciones de mujeres cuidadoras a partir de tres fases. Una primera fase de promoción de la vocación asociatiava, una segunda fase de fortalecimiento organizativo y una tercera fase de fortalecimiento en cuanto a acercamiento a mercados. Esta oferta se tiene pensada para las manzanas del cuidado mediante un equipo de triadas (psicológas, mentoras, formadoras). Esta propuesta es avalada por la secretaria y se da inicio a la segunda fase de estructuración de un modelo operativo e generación de ingresos en las manzanas del ciudado basado en una articulación intersectorial con la Secretaría Distrital de Desarrollo Económico. Actividad no programada para el mes de julio.
</t>
    </r>
    <r>
      <rPr>
        <sz val="9"/>
        <color rgb="FF0070C0"/>
        <rFont val="Times New Roman"/>
      </rPr>
      <t xml:space="preserve">Actividad no programada para el mes de agosto. </t>
    </r>
  </si>
  <si>
    <t>Número de informes del programa piloto, que den cuenta del avance mensual cumplimiento de los objetivos planteados en el programa y de las actividades definidas en el plan de trabajo del programa, actas del comité técnico que den cuenta del seguimiento a los objetivos del piloto.</t>
  </si>
  <si>
    <t>Un programa piloto implementado correspondiente al 100% del cumplimiento de la meta</t>
  </si>
  <si>
    <t>Trimestral</t>
  </si>
  <si>
    <t>Informes de supervisión trimestrales y actas del comité técnico</t>
  </si>
  <si>
    <r>
      <rPr>
        <sz val="9"/>
        <color rgb="FF000000"/>
        <rFont val="Times New Roman"/>
      </rPr>
      <t xml:space="preserve">Se elaboró del informe de seguimiento de avance de la ejecución e implementación del programa con el aliado. El informe tiene como propósito la realización del seguimiento técnico y financiero al plan de trabajo y ejecución presupuestal del convenio ACI No. 777 de 2022 SDMUJER-RE-ACI-001-2022 para el periodo comprendido entre el 1 de mayo al 30 de junio de 2022. En el informe de supervisión  de junio se da cuenta del seguimiento de las actividades programadas con corte 30 de junio, el cierre de la convocatoria, la identificación y levantamiento de línea base de las mujeres beneficiarias de la intervención, la entrega de los productos para el segundo desembolso y la identificación de retrasos con recomendaciones para la supervisión. A la fecha se tienen identificadas 272 mujeres beneficiarias de la intervención, se adelanta el diagnóstico de necesidades de fortalecimiento de capacidadedes para la generación de ingresos de sus organizaciones, se formularon los 30 planes de fortalecimiento que representan la carta de orientación de la intervención y se realiza un levantamiento de 272 líneas base individuales. Para el mes de julio se realiza el informe de supervisión en donde se da cuenta de la ejecución del 41 % de las actividades y se avanza en la elaboración de la estrategia y manual de acercamiento a mercados, plan de acercamiento a mercados, cronograma de acercamiento a mercados, instrumetno de medición de habilidades socioemocionales; borrador documento línea base de 289 mujeres beneficiarias, borrador documento de diagnóstico. Asimismo se da cuenta del comité de seguimiento del 11 de julio de 2022. Actividad no programada para el mes de julio.
</t>
    </r>
    <r>
      <rPr>
        <sz val="9"/>
        <color rgb="FF0070C0"/>
        <rFont val="Times New Roman"/>
      </rPr>
      <t>Actividad no programada para el mes de agosto.</t>
    </r>
  </si>
  <si>
    <t>Dado los retrasos identificados en el plan de trabajo se remite un llamado de atención al cooperante con radicado número 1-2022-008147.</t>
  </si>
  <si>
    <t>Se espera que en agosto el cooperante cumplan con las actividades que presentan rezago en el plan de trabajo y que fueron identificadas en el llamado de atención por parte de la SDMujer.</t>
  </si>
  <si>
    <t>Documento técnico el comité técnico del programa que incluye: i) guía operativa del programa, ii) bases de datos para la convocatoria, iii) términos de referencia de la convocatoria, iv) piezas de la convocatoria, v) términos de referencia de los contratos de los pool de mentores y asesores psicosociales, vi)  Plan de trabajo detallado correspondiente a la duración total del programa</t>
  </si>
  <si>
    <t>Constante</t>
  </si>
  <si>
    <t>Documento técnico</t>
  </si>
  <si>
    <t>Un paquete de documentos para el comité técnico desarrollados correspondiente al 100% de cumplimiento de la actividad de estructurar los insumos técnicos del programa para el componente de seguimiento y monitoreo</t>
  </si>
  <si>
    <t>Anual</t>
  </si>
  <si>
    <t>Paquete de documentos técnicos para el comité técnico del programa piloto  que incluye: i) guía operativa del programa, ii) bases de datos para la convocatoria, iii) términos de referencia de la convocatoria, iv) piezas de la convocatoria, v) términos de referencia de los contratos de los pool de mentores y asesores psicosociales, vi) Diseño y seguimiento al Plan de trabajo detallado correspondiente a la duración total del programa</t>
  </si>
  <si>
    <r>
      <rPr>
        <sz val="9"/>
        <color rgb="FF0070C0"/>
        <rFont val="Times New Roman"/>
      </rPr>
      <t>Actividad no programada para el mes de agosto</t>
    </r>
    <r>
      <rPr>
        <sz val="9"/>
        <color rgb="FF000000"/>
        <rFont val="Times New Roman"/>
      </rPr>
      <t xml:space="preserve">. </t>
    </r>
  </si>
  <si>
    <t>Documento técnico fortalecimiento organizativo elaborado.</t>
  </si>
  <si>
    <t>Un documento que de cuenta de las herramientas de fortalecimiento organizativo, mentoría personalizada, de formación y acompañamiento pedagógico implementadas correspondiente al 100% del cumplimiento de los componentes 1 y 2 del programa</t>
  </si>
  <si>
    <t>Un documento de reporte al proceso de fortalecimiento organizativo, mentoría personalizada, formación y acompañamiento psicosocial</t>
  </si>
  <si>
    <t>Documento proceso de convocatoria elaborado.</t>
  </si>
  <si>
    <t>Documento</t>
  </si>
  <si>
    <t xml:space="preserve">Un documento que da cuenta del proceso de la convocatoria, registro, verificación de los términos de referencia, selección de las beneficiarias correspondiente al 100% del cumplimiento de la actividad de diseño e implementación de la convocatoria del piloto </t>
  </si>
  <si>
    <t>Un documento de reporte al proceso de convocatoria, registró, verificación de requisitos y selección.</t>
  </si>
  <si>
    <t>Se avanza en la elaboración del documento que da cuenta del proceso de convocatoria con los componentes que se programaron en los indicadores, teniendo en cuenta que la convocatoria va hasta el día 8 de abril del 2022. Hasta el cierre de la convocatoria, será posible registrar la verificación de los términos de referencia y la selección de las beneficiarias en un 100% .Durante el mes de abril se avanzó en identificar 362 organizaciones de mujeres cuidadoras asociadas en la plataforma de la convocatoria de las cuales 128 pasaron al primer filtro de verificación del programa por cumplir con los términos de referencia.; de este último grupo, saldrán las 30 organizaciones seleccionadas. Durante el mes de mayo se elaboró el documento final que da cuenta del proceso de selección de las 30 organizaciones de mujeres productivas , donde se encuentra incluida la verificación de los términos de referencia con sus correspondientes puntajes. Actividad cumplida en el primer trimestre de la vigencia.</t>
  </si>
  <si>
    <t>El retraso se debe a que la convocatorio se decidió lanzar el 8 de marzo, aprovechando la coyuntura, por lo tanto la convocatoria que estaba programada para un mes, cierra hasta el 8 de abril. Se hace entrega del documento de cierre del proceso de convocatoria.</t>
  </si>
  <si>
    <t>Desarrollo de Capacidades</t>
  </si>
  <si>
    <t>Porcentaje de avance en la divulgación de la oferta de formación</t>
  </si>
  <si>
    <t>Divulgación de la gratuidad de la oferta de formación de la Dirección de gestión del conocimiento</t>
  </si>
  <si>
    <t>Piezas comunicativas</t>
  </si>
  <si>
    <r>
      <rPr>
        <sz val="9"/>
        <color rgb="FF000000"/>
        <rFont val="Times New Roman"/>
      </rPr>
      <t xml:space="preserve">
Durante la vigencia 2022, se han respondido veintisiete (27) requerimientos, en los cuales se informa sobre los procesos de formación, así como la gratuidad de los mismos. Estos se encuentran distribuidos de la siguiente manera:
a. Requerimientos en donde se informa la gratuidad de la oferta formativa periodo enero-marzo = 5
a. Requerimientos en donde se informa la gratuidad de la oferta formativa periodo abril- junio =       5
Asimismo, se realizaron las siguientes publicaciones de las piezas comunicativas en redes sociales, informando a la ciudadanía sobre la gratuidad de la oferta formativa:
</t>
    </r>
    <r>
      <rPr>
        <b/>
        <sz val="9"/>
        <color rgb="FF000000"/>
        <rFont val="Times New Roman"/>
      </rPr>
      <t xml:space="preserve">Trimestre enero-marzo
1. Twitter: 16
2. Instagram: 5 publicaciones
3. Facebook: 18
Trimestre abril-junio
1. Twitter: 71 publicaciones
2. Instagram: 4 publicaciones
3. Facebook: 72 publicaciones
Por otra parte, las facilitadoras de los CID divulgaron las piezas comunicativas a través de medios como whats app y correo electrónicos
</t>
    </r>
    <r>
      <rPr>
        <b/>
        <sz val="9"/>
        <color rgb="FF0070C0"/>
        <rFont val="Times New Roman"/>
      </rPr>
      <t>Actividad no programada para el mes de agosto</t>
    </r>
  </si>
  <si>
    <t>Diseñar 13 contenidos para el desarrollo de capacidades socioemocionales, técnicas y digitales de las mujeres, en toda su diversidad</t>
  </si>
  <si>
    <t>Porcentaje de avance en la estructuración del proceso contractual (Convenios/Contratos)</t>
  </si>
  <si>
    <t xml:space="preserve">Convenios/contratos realizados para la elaboración de los contenidos </t>
  </si>
  <si>
    <t>Actas y listados de asistencia
Documento de formalización del contrato o convenio (minuta, documentos del proceso)</t>
  </si>
  <si>
    <t xml:space="preserve">Durante los meses de julio y agosto se adelantó la etapa precontractual del proceso, los documentos aprobados por el comité de contratación se radicaron en la dirección de contratación para etapa contractual. </t>
  </si>
  <si>
    <t>Para el mes de agosto se presenta retraso en la actividad, los documentos finales ya se encuentran aprobados y se remitió a firmas por parte de la Universidad Nacional.</t>
  </si>
  <si>
    <t>Para el mes de septiembre se espera dar inicio a la ejecución del contrato interadministrativo</t>
  </si>
  <si>
    <t xml:space="preserve">Diseñar e implementar 1 estrategia para el desarrollo de capacidades socioemocionales y técnicas de las mujeres en toda su diversidad para su emprendimiento y empleabilidad.  </t>
  </si>
  <si>
    <t>Informe de alianzas realizadas</t>
  </si>
  <si>
    <t>Informe realizado</t>
  </si>
  <si>
    <t>Implementación, formalización y continuidad de los procesos realizados con la gestión de alianzas nacionales, internacionales, públicos y privados mediante la articulación de las dependencias competentes en cada caso y la interlocución con los aliados</t>
  </si>
  <si>
    <t>Actas y listados de asistencia
Documento de formalización de la alianza (memorando, acuerdo, etc.)</t>
  </si>
  <si>
    <t xml:space="preserve">I. Alianzas Concretadas. 
Durante el mes de agosto de 2022 se gestionaron alianzas con 16 actores nacionales, internacionales, públicos y privados, con el fin de favorecer iniciativas asociadas a la Política Pública de Mujeres y Equidad de Género del Distrito Capital que derivaron en acciones concretas: 
1.	Google: i) Gestiones de seguimiento al plan de trabajo. (01-19.08.22). ii) Reunión de seguimiento de articulación Google. (24.08.22)
2.	Iniciativa Global para la Transparencia Fiscal – GIFT. i) Gestiones para la visita a la Manzana del Cuidado de Ciudad Bolívar. (01.08.22) ii) Visita a la manzana del cuidado de Ciudad Bolívar. (01-03.08.22)
3.	ONU Mujeres. i) Gestiones de seguimiento al Comité Técnico Convenio 819 ONU Mujeres- SDMujer. (02.08.22). ii) Gestiones publicación en el SECOP II de los soportes de ejecución del Convenio 819. (04.08.22)  iii) Gestiones revisión IV Informe Bimensual del Convenio 819 ONU Mujeres- SDMujer. (13-24.08.22)
4.	Unión Europea. i) Reuniones semanales de seguimiento al proyecto Avantia (3,10,17,24,31.08.22) ii) Gestiones staff Bogotá proyecto Avantia (24.08.22)
5.	Banco Interamericano de Desarrollo– BID. i) Comités de seguimiento a la implementación del piloto en la Manzana de Cuidado de los Mártires para mujeres migrantes y locales cuidadoras. (4,18.08.22) ii) Gestiones de seguimiento al proyecto Comunidades Cuidadoras como herramienta para una vida libre de violencia de género y divulgación convocatoria consultoría. (16-17.08.22) iii) Reunión de seguimiento al proyecto de Comunidades Cuidadoras (31.08.22)
6.	Barcelona Times Use Iniciative. i) Gestiones para la participación de la SDMujer en la Time Use Week que se realizará en la ciudad de Barcelona, del 24 al 28 de octubre de 2022. (08-24.08.22) ii) Gestiones participación en la I Semana Iberoamericana de los Horarios y el Tiempo, en cual se presentará la línea base del Sistema de Cuidado. (24-30.08.22)
7.	Cemex. i) Gestiones y firma del Pacto de Ciudad por la Igualdad de Género. (12.08.22) ii) Reunión de articulación asistencia técnica para la implementación el enfoque de género (29.08.22)
8.	Despacio. i) Gestiones para la visita de la delegación de la Habana a la manzana del cuidado de Ciudad Bolívar. (17-23.08.22). ii) Reunión de coordinación visita delegación La Habana. (19.08.22) iii) Reunión delegación de La Habana – SDMujer (30.08.22) iv) Visita manzana del cuidado de Ciudad Bolívar (30.08.33)
9.	CHANGE- City Hub and Network for Gender. i) Reunión mensual red de ciudades CHANGE. (23.08.22) ii) Diligenciamiento borrador encuesta para la participación del Sistema de Cuidado en el Caregiving Project. (10-12.08.22)   iii) Reunión sobre el Caregiving Project. (25.08.22) iv) Gestiones participación de la SDMujer en la Annual Summit, que tendrá lugar en el mes de noviembre en Los Ángeles. (31.08.22)
10.	Metrópolis. i) Gestiones estudio sobre el Sistema de Cuidado. (19-26.08.22)
11.	Brookings Institution. i) Gestiones para realizar ajustes al brief sobre el Sistema de Cuidado que participará en el Playbook de Brookings. (18-22.08.22)
12.	Municipalidad de Río Grande. i) Reunión presentación del Sistema del Cuidado. (24.08.22)
13.	IDARTES. i) Donación de 100 colecciones de libros por parte de UNICEF. (26.08.22) 
14.	NYU. i) Presentación final resultados proyecto Capstone (12-16.08.22)
15.	Urban Challenges. Reunión sobre la equidad de género en el sector transporte, para conocer acerca de los avances para generar espacios seguros y garantías laborales para las mujeres. (18.08.22)
ANEXOS:
1.	Correos electrónicos, evidencia asistencia a reunión
2.	Correo electrónico, agenda visita, evidencia visita, presentación del Sistema de Cuidado
3.	Correos electrónicos, soportes SECOP, dossier metodología final
4.	Evidencia asistencia a reuniones, correo electrónico
5.	Evidencia asistencia comités y reunión, correos electrónicos, evidencia publicación convocatoria
6.	Correos electrónicos, pieza gráfica panelistas
7.	Correos electrónicos, pacto firmado, evidencia asistencia reunión 
8.	Correos electrónicos, evidencias asistencia a reuniones agenda del día, lista de integrantes, evidencia visita a la manzana del cuidado de Ciudad Bolívar.
9.	Correos electrónicos, agenda de la reunión, evidencias asistencia a reuniones, encuesta caregiving project
10.	Correos electrónicos
11.	Correos electrónicos, brief del Sistema, imagen manzana del cuidado prototipo
12.	Evidencia asistencia a reunión
13.	Carta de aceptación donación, correo electrónico
14.	Correo electrónico, presentación final proyecto.
15.	Evidencia asistencia a reunión.
II- Alianzas Gestionadas. 
Durante el mes de agosto se gestionaron alianzas con 16 actores nacionales, internacionales, públicos y privados, con el fin de favorecer iniciativas asociadas a la Política Pública de Mujeres y Equidad de Género del Distrito Capital que aún no cuentan con un resultado específico: 
1.	Banco Itaú. i) Gestiones para lograr articulación entre el Banco Itaú y la Dirección de Eliminación de Violencias contra las Mujeres y Acceso a la Justicia. (01.08.22)
2.	1er Encuentro “El Cuidado en América Latina”. i) Envío segunda tanda de invitaciones. (10-29.08.22) ii) Gestiones firma cartas de invitación (10-31.08.22) iii) Gestiones seguimiento confirmaciones invitados (02-31.08.22) iv) Reuniones de seguimiento organización evento del cuidado. (24-31.08.22) v) Reunión interna comunicaciones encuentro del cuidado (31.08.22) vi) Gestiones preparación material documental encuentro del cuidado (8-16.08.22).
3.	Falabella. i) Reunión de articulación para la implementación del enfoque de género y firma del Pacto de Igualdad. (05.08.22)
4.	GIFMM. i) Gestiones para lograr articulación con la Dirección de Eliminación de Violencias. (08.08.22) ii) Reunión interna seguimiento articulación con la Dirección de Enfoque Diferencial. (09.08.22) iii) Reunión interna de articulación con Dirección de Eliminación de Violencias. (10.08.22) iv) Reunión de articulación Grupo de Protección del GIFMM con la Dirección de Eliminación de Violencias. (25.08.22)
5.	Dirección Distrital de Relaciones Internacionales. i) Reunión de seguimiento a iniciativas de cooperación de la SDMujer. (5.08.22) ii) Gestiones eventos UE-SDMujer octubre-noviembre. (24.08.22) iii) Gestiones respuesta fundación Petra. (26.08.22)
6.	ACNUR. Gestiones para la donación de 3 tablets a la Dirección de Enfoque Diferencial en el marco del proyecto Empoderando Mujeres Migrantes y Refugiadas en el Distrito Capital. (11.08.22)
7.	IRC. Gestiones de seguimiento articulación IRC - Dirección de Territorialización. (16.08.22)
8.	Secretaria de Ambiente. Gestiones para la participación de la SDMujer en el proyecto "Energía fotovoltaica para edificios públicos”. (18-25.08.22)
9.	Banco Interamericano de Desarrollo (BID). Gestiones participación en el Diálogo Regional BID. (24.08.22)
10.	PROING. i) Reunión de articulación para la implementación del enfoque de género y firma del Pacto de Igualdad. (19.08.22) ii) Reunión seguimiento articulación y definición de cronograma de trabajo como parte de la asistencia técnica sobre enfoque de género (29.08.22)
11.	Xuss. Reunión y gestiones de articulación para apoyar la implementación del enfoque de género y realizar algunas charlas sobre violencias basadas en género. (23-30.08.22)
12.	Asofiduciarias. Gestiones presentación sensibilización del derecho a una vida libre de violencias y la ruta de atención para mujeres víctimas de violencia. (24-31.08.22)
13.	USAID. i) Reunión programa Comunidades Saludables USAID. (10.08.22) ii) Reunión presentación portafolio de USAID en Bogotá. (17.08.22) iii) Reunión programa Juntos Aprendemos. (29.08.22) 
14.	Fidupopular. Reunión de articulación para la implementación del enfoque de género y firma del Pacto de Igualdad. (29.08.22)
15.	Agencia Francesa de Desarrollo (AFD). Gestiones respuesta Crédito Presupuestario de Apoyo AFD 2022 sobre Manzanas del Cuidado. (23.08.22)
16.	 Fundación Tecnológica Alberto Merani. Gestiones articulación. (29.08.22)
ANEXOS
1.	Correo electrónico
2.	Correos electrónicos, evidencias asistencias reuniones, nota conceptual, cartillas logísticas, cartas sectores que acompañan el evento, carta de bienvenida, cuadro de seguimiento confirmaciones, cuadro detalles invitados
3.	Evidencia asistencia reunión 
4.	Correo electrónico, evidencias asistencia a reuniones
5.	Evidencia asistencia a reunión, correos electrónicos, informe ejecutivo visitas, cuadro de seguimiento
6.	Correos electrónicos
7.	Correos electrónicos
8.	Correos electrónicos, brief del proyecto, carta de aceptación, agenda de lanzamiento, borrador memorando de entendimiento
9.	Correos electrónicos
10.	Evidencias asistencias a reuniones 
11.	Evidencia asistencia reunión, correo electrónico
12.	Correos electrónicos
13.	Evidencias asistencia a reuniones, cuadro articulaciones programas  
14.	Evidencia asistencia a reunión, correo electrónico
15.	Correos electrónicos, presentación crédito presupuestario AFD
16.	Correos electrónicos
</t>
  </si>
  <si>
    <t>ELABORÓ</t>
  </si>
  <si>
    <t>Firma:</t>
  </si>
  <si>
    <t>APROBÓ (Según aplique Gerenta de proyecto, Líder técnica y responsable de proceso)</t>
  </si>
  <si>
    <t>REVISÓ OFICINA ASESORA DE PLANEACIÓN</t>
  </si>
  <si>
    <t xml:space="preserve">VoBo. </t>
  </si>
  <si>
    <t>Nombre: M1-Rocio Duran Mahecha. M2-Ángela Adriana Ávila. M3.M4- Ana María Sánchez</t>
  </si>
  <si>
    <t>Nombre: Angie Paola Mesa Rojas</t>
  </si>
  <si>
    <t>Nombre: Diana María Parra Romero</t>
  </si>
  <si>
    <t>Nombre:</t>
  </si>
  <si>
    <t>Nombre: Sandra Catalina Campos</t>
  </si>
  <si>
    <t>Cargo: Contratista DGC / Contratistas SCPI</t>
  </si>
  <si>
    <t xml:space="preserve">Cargo: Directora de gestión del conocimiento (M1) </t>
  </si>
  <si>
    <t>Cargo: Subsecretaria del Cuidado y Políticas de Igualdad (M2,M3,M4)</t>
  </si>
  <si>
    <t xml:space="preserve">Cargo: </t>
  </si>
  <si>
    <t>Cargo: Jefa Oficina Asesora de Planeación</t>
  </si>
  <si>
    <t>Asignación recursos</t>
  </si>
  <si>
    <t>Proyecto</t>
  </si>
  <si>
    <t>Número de meta</t>
  </si>
  <si>
    <t xml:space="preserve">Nombre proyecto / Meta proyecto de inversión </t>
  </si>
  <si>
    <t>Total cuatrienio</t>
  </si>
  <si>
    <t>Ponderación ppto</t>
  </si>
  <si>
    <t>Ponderación definida por el proyecto</t>
  </si>
  <si>
    <t>Meta 1. Formar 26100 Mujeres En Sus Derechos A Través De Procesos De Desarrollo De Capacidades En El Uso Tic.</t>
  </si>
  <si>
    <t>Meta 2. Diseñar 13 Contenidos Para El Desarrollo De Capacidades Socioemocionales, Técnicas Y Digitales De Las Mujeres, En Toda Su Diversidad</t>
  </si>
  <si>
    <t>Meta 3. Diseñar E Implementar 1 Estrategía Para El Desarrollo De Capacidades Sociomecionales Y Técnicas De Las Mujeres En Toda Su Diversidad Para Su Emprendimiento Y Empleabilidad.</t>
  </si>
  <si>
    <t xml:space="preserve">Meta 4. Diseñar e Implementar 1 programa piloto para promover la autonomía económica de las mujeres cuidadoras en el marco de la estrategia de emprendimiento y empleabilidad de la SDMujer  </t>
  </si>
  <si>
    <t>PROGRAMACION</t>
  </si>
  <si>
    <t>VALIDACION</t>
  </si>
  <si>
    <t>PROGRAMADO</t>
  </si>
  <si>
    <t>EJECUTADO</t>
  </si>
  <si>
    <t>LLAVE</t>
  </si>
  <si>
    <t>PROYECTO</t>
  </si>
  <si>
    <t>Ejercicio</t>
  </si>
  <si>
    <t>Período</t>
  </si>
  <si>
    <t>Fecha Inicial</t>
  </si>
  <si>
    <t>Fecha Final</t>
  </si>
  <si>
    <t>Centro gestor</t>
  </si>
  <si>
    <t>Fe.contabil.en control presupuestario</t>
  </si>
  <si>
    <t>g</t>
  </si>
  <si>
    <t>Compromiso</t>
  </si>
  <si>
    <t>No. Compromiso</t>
  </si>
  <si>
    <t>Plazo</t>
  </si>
  <si>
    <t>Forma Pago</t>
  </si>
  <si>
    <t>Descripción</t>
  </si>
  <si>
    <t>Número de CDP</t>
  </si>
  <si>
    <t>Número de CRP</t>
  </si>
  <si>
    <t>Objeto</t>
  </si>
  <si>
    <t>Rubro</t>
  </si>
  <si>
    <t>Descripcion Rubro</t>
  </si>
  <si>
    <t>Fondos</t>
  </si>
  <si>
    <t>Descripcion del Fondo</t>
  </si>
  <si>
    <t>Concepto del gasto</t>
  </si>
  <si>
    <t>Descripción del Concepto del gasto</t>
  </si>
  <si>
    <t>Elemento PEP</t>
  </si>
  <si>
    <t>Texto Id Proyecto</t>
  </si>
  <si>
    <t>Modalidad de selección</t>
  </si>
  <si>
    <t>BP Beneficiario</t>
  </si>
  <si>
    <t>Tipo Documento BP</t>
  </si>
  <si>
    <t>Número documento BP</t>
  </si>
  <si>
    <t>Nombre BP Beneficiario</t>
  </si>
  <si>
    <t>Moneda transacción</t>
  </si>
  <si>
    <t>Valor CRP</t>
  </si>
  <si>
    <t>Anulaciones</t>
  </si>
  <si>
    <t>Reintegros</t>
  </si>
  <si>
    <t>Valor neto</t>
  </si>
  <si>
    <t>Autorizacion giro</t>
  </si>
  <si>
    <t>Compromisos sin Aut. de Giro</t>
  </si>
  <si>
    <t>Número interno CRP</t>
  </si>
  <si>
    <t>Pos.referencia</t>
  </si>
  <si>
    <t>Número interno CDP</t>
  </si>
  <si>
    <t>Posición de la imputacion CDP</t>
  </si>
  <si>
    <t>Fecha de entrada</t>
  </si>
  <si>
    <t>M1</t>
  </si>
  <si>
    <t>M2</t>
  </si>
  <si>
    <t>M3</t>
  </si>
  <si>
    <t>feb</t>
  </si>
  <si>
    <t>mar</t>
  </si>
  <si>
    <t>abril</t>
  </si>
  <si>
    <t>mayo</t>
  </si>
  <si>
    <t>jun</t>
  </si>
  <si>
    <t>265301299133011601020000007673</t>
  </si>
  <si>
    <t>2022</t>
  </si>
  <si>
    <t>1</t>
  </si>
  <si>
    <t>0121-01</t>
  </si>
  <si>
    <t>148</t>
  </si>
  <si>
    <t>CONTRATO DE PRESTACION DE SERVICIOS DE APOYO A LA GESTION</t>
  </si>
  <si>
    <t>265</t>
  </si>
  <si>
    <t>331</t>
  </si>
  <si>
    <t>02</t>
  </si>
  <si>
    <t>ORDENES DE PAGO</t>
  </si>
  <si>
    <t>301</t>
  </si>
  <si>
    <t>299</t>
  </si>
  <si>
    <t>Apoyar a la Dirección de Gestión del Conocimiento en la implementaciónde los procesos formativos asociados a temas de derechos de las mujeresmediante el uso de herramientas TIC, TAC y TEP. PC 439 CD-PS-281-2021</t>
  </si>
  <si>
    <t>133011601020000007673</t>
  </si>
  <si>
    <t>Desarrollo de capacidades para aumentar la autonomía y empoderamiento de las mujeres en toda su diversidad en Bogotá</t>
  </si>
  <si>
    <t>1-100-F001</t>
  </si>
  <si>
    <t>VA-Recursos distrito</t>
  </si>
  <si>
    <t>1082001052</t>
  </si>
  <si>
    <t>Servicios para la comunidad, sociales y personales</t>
  </si>
  <si>
    <t>PM/0121/0100/0000007673</t>
  </si>
  <si>
    <t>0121 INVERSIÓN 0000007673</t>
  </si>
  <si>
    <t>10</t>
  </si>
  <si>
    <t>CONTRATACIÓN DIRECTA</t>
  </si>
  <si>
    <t>1000134987</t>
  </si>
  <si>
    <t>CC</t>
  </si>
  <si>
    <t>1033697548</t>
  </si>
  <si>
    <t>YINA FERNANDA ROBAYO CARDENAS</t>
  </si>
  <si>
    <t>COP</t>
  </si>
  <si>
    <t>5000120685</t>
  </si>
  <si>
    <t>96764</t>
  </si>
  <si>
    <t>62814861611133011601020000007673</t>
  </si>
  <si>
    <t>145</t>
  </si>
  <si>
    <t>CONTRATO DE PRESTACION DE SERVICIOS PROFESIONALES</t>
  </si>
  <si>
    <t>628</t>
  </si>
  <si>
    <t>0</t>
  </si>
  <si>
    <t>1486</t>
  </si>
  <si>
    <t>1611</t>
  </si>
  <si>
    <t>Adición y prórroga al contrato 628 de 2021 cuyo objeto es "Prestarservicios profesionales para apoyar la implementación de la estrategiade empleabilidad y emprendimiento para la reducción de la feminizaciónde la pobreza en las localidades que le sean asignadas por lasupervisora del contrato"</t>
  </si>
  <si>
    <t>PM/0121/0103/0000007673</t>
  </si>
  <si>
    <t>IGUALDAD DE OPORTUNIDADES Y DESARROLLO DE CAPACIDA</t>
  </si>
  <si>
    <t>1012069544</t>
  </si>
  <si>
    <t>1061746337</t>
  </si>
  <si>
    <t>5000242517</t>
  </si>
  <si>
    <t>198388</t>
  </si>
  <si>
    <t>671927921133011601020000007673</t>
  </si>
  <si>
    <t>11</t>
  </si>
  <si>
    <t>CONTRATOS INTERADMINISTRATIVOS</t>
  </si>
  <si>
    <t>671</t>
  </si>
  <si>
    <t>183</t>
  </si>
  <si>
    <t>927</t>
  </si>
  <si>
    <t>921</t>
  </si>
  <si>
    <t>Suministrar los servicios integrados de comunicaciones convergentes querequiera la Secretaría Distrital de la Mujer. PC 461 CD-CI-684-2021</t>
  </si>
  <si>
    <t>1082001042</t>
  </si>
  <si>
    <t>Servicios prestados a las empresas y servicios de producción</t>
  </si>
  <si>
    <t>1000451829</t>
  </si>
  <si>
    <t>NIT</t>
  </si>
  <si>
    <t>899999115</t>
  </si>
  <si>
    <t>EMPRESA DE TELECOMUNICACIONES DE BOGOTÁ S.A. E.S.P. - ETB S.A. ESP</t>
  </si>
  <si>
    <t>5000182498</t>
  </si>
  <si>
    <t>156883</t>
  </si>
  <si>
    <t>70614871610133011601020000007673</t>
  </si>
  <si>
    <t>706</t>
  </si>
  <si>
    <t>1487</t>
  </si>
  <si>
    <t>1610</t>
  </si>
  <si>
    <t>Adición y prórroga al contrato 706 de 2021 cuyo objeto es "Apoyartécnicamente los procesos de formación en el marco de la implementaciónde la estrategia para el desarrollo de capacidades socioemocionales ytécnicas de las mujeres en toda su diversidad para su emprendimiento yempleabilidad".</t>
  </si>
  <si>
    <t>1000148087</t>
  </si>
  <si>
    <t>1064427260</t>
  </si>
  <si>
    <t>5000242512</t>
  </si>
  <si>
    <t>198389</t>
  </si>
  <si>
    <t>72472910231330116010200000076732712013</t>
  </si>
  <si>
    <t>12</t>
  </si>
  <si>
    <t>CONTRATO DE PRESTACION DE SERVICIOS</t>
  </si>
  <si>
    <t>724</t>
  </si>
  <si>
    <t>150</t>
  </si>
  <si>
    <t>729</t>
  </si>
  <si>
    <t>1023</t>
  </si>
  <si>
    <t>Prestar los servicios de apoyo logístico para atender las actividadesmisionales y/o de apoyo que adelante la Secretaría Distrital de la Mujeren cumplimiento de sus funciones, de conformidad con el anexo técnico yla oferta presentada por el contratista. PC 728 SDMUJER-LP-002-2021</t>
  </si>
  <si>
    <t>01</t>
  </si>
  <si>
    <t>LICITACIÓN PÚBLICA</t>
  </si>
  <si>
    <t>1000545163</t>
  </si>
  <si>
    <t>830078025</t>
  </si>
  <si>
    <t>DOUGLAS TRADE S A S</t>
  </si>
  <si>
    <t>5000191416</t>
  </si>
  <si>
    <t>140817</t>
  </si>
  <si>
    <t>8351226132013301160102000000767324000003</t>
  </si>
  <si>
    <t>835</t>
  </si>
  <si>
    <t>84</t>
  </si>
  <si>
    <t>1226</t>
  </si>
  <si>
    <t>1320</t>
  </si>
  <si>
    <t>Prestación de servicios para el diseño, implementación y puesta enmarcha de diplomados virtuales que permitan el desarrollo de capacidadessocioemocionales, técnicas y ciudadanas de las mujeres en su diversidadPC 986 CD-CI-820-2021</t>
  </si>
  <si>
    <t>1000500751</t>
  </si>
  <si>
    <t>899999063</t>
  </si>
  <si>
    <t>UNIVERSIDAD NACIONAL DE COLOMBIA</t>
  </si>
  <si>
    <t>5000211597</t>
  </si>
  <si>
    <t>174527</t>
  </si>
  <si>
    <t>93312801509133011601020000007673</t>
  </si>
  <si>
    <t>16</t>
  </si>
  <si>
    <t>CONTRATO DE COMPRAVENTA</t>
  </si>
  <si>
    <t>933</t>
  </si>
  <si>
    <t>36</t>
  </si>
  <si>
    <t>1280</t>
  </si>
  <si>
    <t>1509</t>
  </si>
  <si>
    <t>Contratar la adquisición de Switches para fortalecer la infraestructurade comunicaciones, de la Secretaría Distrital de la Mujer. PC 737</t>
  </si>
  <si>
    <t>1082000052</t>
  </si>
  <si>
    <t>Productos metálicos y paquetes de software</t>
  </si>
  <si>
    <t>1000485928</t>
  </si>
  <si>
    <t>900434462</t>
  </si>
  <si>
    <t>REDNEET S.A.S.</t>
  </si>
  <si>
    <t>5000229227</t>
  </si>
  <si>
    <t>178574</t>
  </si>
  <si>
    <t>94411061522133011601020000007673</t>
  </si>
  <si>
    <t>19</t>
  </si>
  <si>
    <t>CONTRATO DE SUMINISTRO</t>
  </si>
  <si>
    <t>944</t>
  </si>
  <si>
    <t>31</t>
  </si>
  <si>
    <t>1106</t>
  </si>
  <si>
    <t>1522</t>
  </si>
  <si>
    <t>Suministro de elementos de ferretería para la Secretaría Distrital de laMujer. PC 731</t>
  </si>
  <si>
    <t>1082000041</t>
  </si>
  <si>
    <t>Otros bienes transportables (excepto productos metálicos, maquinaria y equipo)</t>
  </si>
  <si>
    <t>03</t>
  </si>
  <si>
    <t>SELEC. ABREV. SUBASTA INVERSA</t>
  </si>
  <si>
    <t>1000629505</t>
  </si>
  <si>
    <t>830073899</t>
  </si>
  <si>
    <t>COMERCIALIZADORA ELECTROCON SAS</t>
  </si>
  <si>
    <t>5000230970</t>
  </si>
  <si>
    <t>165314</t>
  </si>
  <si>
    <t>96314881634133011601020000007673</t>
  </si>
  <si>
    <t>7</t>
  </si>
  <si>
    <t>1488</t>
  </si>
  <si>
    <t>Contratar la solución tecnológica para poner en funcionamiento elsistema de video conferencia BigBlueButton con el fin de conectar estesistema con la plataforma Moodle de la Secretaría de la Mujer. PC 1003</t>
  </si>
  <si>
    <t>04</t>
  </si>
  <si>
    <t>CONTRATACIÓN MÍNIMA CUANTÍA</t>
  </si>
  <si>
    <t>1012214708</t>
  </si>
  <si>
    <t>900736431</t>
  </si>
  <si>
    <t>MINDSIT S.A.S.</t>
  </si>
  <si>
    <t>5000246174</t>
  </si>
  <si>
    <t>198576</t>
  </si>
  <si>
    <t>78092132413561330116010200000076734759996</t>
  </si>
  <si>
    <t>ORDEN DE COMPRA</t>
  </si>
  <si>
    <t>1324</t>
  </si>
  <si>
    <t>1356</t>
  </si>
  <si>
    <t>Adquirir a través de la Tienda Virtual del Estado Colombiano consumiblesde impresión para los equipos multifuncionales de la SecretaríaDistrital de la Mujer. PC 726</t>
  </si>
  <si>
    <t>1000505876</t>
  </si>
  <si>
    <t>830037946</t>
  </si>
  <si>
    <t>PANAMERICANA LIBRERIA Y PAPELERIA S A</t>
  </si>
  <si>
    <t>5000216830</t>
  </si>
  <si>
    <t>182258</t>
  </si>
  <si>
    <t>8369714041628133011601020000007673</t>
  </si>
  <si>
    <t>83697</t>
  </si>
  <si>
    <t>4</t>
  </si>
  <si>
    <t>1404</t>
  </si>
  <si>
    <t>1628</t>
  </si>
  <si>
    <t>Contratar a través de la Tienda Virtual del Estado Colombiano por mediodel Acuerdo Marco de Precios No. CCE-925-AMP-2019 Equipos Tecnológicos yperiféricos para la Secretaría Distrital de la Mujer. PC 723</t>
  </si>
  <si>
    <t>1080100021</t>
  </si>
  <si>
    <t>Maquinaria y equipo</t>
  </si>
  <si>
    <t>17</t>
  </si>
  <si>
    <t>SELEC. ABREV.  MARCO DE PRECIOS</t>
  </si>
  <si>
    <t>1000558594</t>
  </si>
  <si>
    <t>811021363</t>
  </si>
  <si>
    <t>UNIPLES SA</t>
  </si>
  <si>
    <t>5000245745</t>
  </si>
  <si>
    <t>188879</t>
  </si>
  <si>
    <t xml:space="preserve">M1 (100%) </t>
  </si>
  <si>
    <t>163-2020808730133011601020000007673</t>
  </si>
  <si>
    <t>163-2020</t>
  </si>
  <si>
    <t>58</t>
  </si>
  <si>
    <t>808</t>
  </si>
  <si>
    <t>730</t>
  </si>
  <si>
    <t>Adición y prórroga al contrato No. 163 de 2020, cuyo objeto es:"Suministrar los servicios integrados de comunicaciones convergentes querequiera la SDMujer".</t>
  </si>
  <si>
    <t>5000167572</t>
  </si>
  <si>
    <t>146314</t>
  </si>
  <si>
    <t>Tipo de compromiso</t>
  </si>
  <si>
    <t>Giros reservas julio - etb</t>
  </si>
  <si>
    <t>963</t>
  </si>
  <si>
    <t>1634</t>
  </si>
  <si>
    <t>78092</t>
  </si>
  <si>
    <t>Fecha de Correo</t>
  </si>
  <si>
    <t>Programacion</t>
  </si>
  <si>
    <t>PAABS</t>
  </si>
  <si>
    <t>Consecutivo preliminar PAABS</t>
  </si>
  <si>
    <t>Consecutivo DEFINITIVO PAABS V1 - 2022</t>
  </si>
  <si>
    <t>No. Proyecto</t>
  </si>
  <si>
    <t>Nombre Proyecto</t>
  </si>
  <si>
    <t>Tipo de Proceso</t>
  </si>
  <si>
    <t>Insumo MGA</t>
  </si>
  <si>
    <t xml:space="preserve">Proposito </t>
  </si>
  <si>
    <t xml:space="preserve">Logro de ciudad </t>
  </si>
  <si>
    <t>Programa</t>
  </si>
  <si>
    <t>Programa estrategico</t>
  </si>
  <si>
    <t xml:space="preserve">Meta Plan de Desarrollo </t>
  </si>
  <si>
    <t xml:space="preserve">Meta proyecto de inversión </t>
  </si>
  <si>
    <t xml:space="preserve"> % Distribución Presupuestal a la meta proyecto de inversión</t>
  </si>
  <si>
    <t>Código componente de gasto</t>
  </si>
  <si>
    <t xml:space="preserve">Descripción componente de Gasto </t>
  </si>
  <si>
    <t>Códigos UNSPSC</t>
  </si>
  <si>
    <t>Descripción proceso</t>
  </si>
  <si>
    <t>Fecha estimada de inicio de proceso de selección</t>
  </si>
  <si>
    <t>Fecha estimada de presentación de ofertas</t>
  </si>
  <si>
    <t>Duración estimada del contrato</t>
  </si>
  <si>
    <t xml:space="preserve">Modalidad de selección </t>
  </si>
  <si>
    <t>Fuente de los recursos</t>
  </si>
  <si>
    <t xml:space="preserve">Valor total estimado </t>
  </si>
  <si>
    <t xml:space="preserve">Valor honorarios mensuales </t>
  </si>
  <si>
    <t>Justificación de la necesidad a contratar</t>
  </si>
  <si>
    <t xml:space="preserve">Área responsable de realizar la contratación </t>
  </si>
  <si>
    <t>Abril</t>
  </si>
  <si>
    <t>Sep</t>
  </si>
  <si>
    <t>Oct</t>
  </si>
  <si>
    <t>Nov</t>
  </si>
  <si>
    <t>Dic</t>
  </si>
  <si>
    <t>Cta x pagar</t>
  </si>
  <si>
    <t>M4</t>
  </si>
  <si>
    <t>miércoles 25/08/2021 10:18 p. m.</t>
  </si>
  <si>
    <t>SI</t>
  </si>
  <si>
    <t>PRESTACION DE SERVICIOS</t>
  </si>
  <si>
    <t>Mano de obra calificada</t>
  </si>
  <si>
    <t>3. Igualdad de oportunidades y desarrollo de capacidades para las mujeres</t>
  </si>
  <si>
    <t>1. Hacer un nuevo contrato social con igualdad de oportunidades para la inclusión social, productiva y política.</t>
  </si>
  <si>
    <t>2. Reducir la pobreza monetaria, multidimensional y la feminización de la pobreza.</t>
  </si>
  <si>
    <t xml:space="preserve">2. Igualdad de oportunidades y desarrollo de capacidades para las mujeres </t>
  </si>
  <si>
    <t>1. Oportunidades de educación, salud y cultura para mujeres, jóvenes, niños, niñas y adolescentes</t>
  </si>
  <si>
    <t>9. Aumentar en un 30% el número de mujeres formadas en los centros de inclusión digital</t>
  </si>
  <si>
    <t>M1. Formar 26.100 mujeres en sus derechos a través de procesos de desarrollo de capacidades en el uso TIC</t>
  </si>
  <si>
    <t>O232020200991114</t>
  </si>
  <si>
    <t>Servicios de planificación económica, social y estadística de la administración publica</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</si>
  <si>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t>
  </si>
  <si>
    <t>CCE-16 - Contratación directa.</t>
  </si>
  <si>
    <t>1-100-F001 - VA-Recursos distrito</t>
  </si>
  <si>
    <t>Se hace necesaria la contratación de dos profesionales que formulen y actualicen los lineamientos de formación, procedimientos de carácter estratégico y actividades que permitan la planeación, implementación, seguimiento y sostenibilidad de las líneas de trabajo definidas y asociadas a la formación en derechos de las mujeres a través de las TIC, TAC y TEP. Así como la propuesta de modelos pedagógicos que propongan formas innovadoras de llevar e intercambiar conocimientos a niñas, adolescentes y jóvenes y que a futuro permita mostrar otras opciones para la construcción de sus proyectos de vida.</t>
  </si>
  <si>
    <t>Dirección de Gestión del Conocimiento</t>
  </si>
  <si>
    <t xml:space="preserve">Prestar servicios profesionales a la Dirección de Gestión del Conocimiento en la formulación, actualización, seguimiento de lineamientos de formación y estrategias pedagógicas orientadas al fortalecimiento de derechos de las mujeres, sus capacidades y habilidades. </t>
  </si>
  <si>
    <t>Se hace necesaria la contratación de dos profesionales que formulen y actualicen los lineamientos de formación, procedimientos de carácter estratégico y actividades que permitan la planeación, implementación, seguimiento y sostenibilidad de las líneas de trabajo definidas y asociadas a la formación en derechos de las mujeres para el fortalecimiento de sus capacidades y habilidades.</t>
  </si>
  <si>
    <t>O232020200883132</t>
  </si>
  <si>
    <t>Servicios de soporte en tecnologías de la información (TI)</t>
  </si>
  <si>
    <t>Prestar servicios profesionales a la Dirección de Gestión del Conocimiento participando en la elaboración y puesta en marcha de contenidos virtuales relacionados con los derechos de las mujeres mediante el uso de herramientas TIC, TAC y TEP.</t>
  </si>
  <si>
    <t>Los procesos de formación a través de herramientas TIC requieren de una persona que elabore los contenidos para que las mujeres participantes se apropien de sus derechos, a través del uso de medios digitales para acceder a información que les permita el desarrollo de capacidades para su autonomía. 
Es necesario que los procesos de formación se ofrezcan en una plataforma web para facilitar el acceso de las mujeres. Así mismo, incorporar elementos gráficos, amigables y con entornos de aprendizaje adecuados para el desarrollo de los mismos.</t>
  </si>
  <si>
    <t>Prestar servicios profesionales a la Dirección de Gestión del Conocimiento para apoyar la orientación estratégica, seguimiento y articulación intra e interinstitucional de la estrategia Centros de Inclusión Digital; así como en la formulación y seguimiento de los instrumentos de planeación de la dependencia.</t>
  </si>
  <si>
    <t xml:space="preserve">La Dirección de Gestión del Conocimiento requiere un profesional que realice articulación de las actividades adelantadas por la estrategia de CID con los lineamientos que definan la Subsecretaría de Políticas de Igualdad (en calidad de Gerenta del proyecto) y la Dirección de Gestión del Conocimiento (en calidad de líder técnico del componente CID); así mismo, realizará interlocución con otras entidades para la coordinación de acciones conjuntas. También apoyará la formulación y seguimiento de instrumentos de planeación a cargo de la DGC. </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</si>
  <si>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t>
  </si>
  <si>
    <t xml:space="preserve">Las acciones de formación a través del uso de tecnologías de información y comunicaciones en la dimensión territorial requieren del desarrollo de procesos de monitoreo y seguimiento, dando cuenta de las particularidades, avances y aprendizajes en los Centros de Inclusión Digital, así como de ejercicios de reflexión y aprendizaje conducentes a la mejora continua de dichas acciones de formación orientadas por el equipo de facilitación. Así mismo, esta profesional debe dar cuenta del correcto funcionamiento de los Centros de Inclusión Digital en territorio. </t>
  </si>
  <si>
    <t>O232020200992913</t>
  </si>
  <si>
    <t>Servicios de educación para la formación y el trabajo</t>
  </si>
  <si>
    <t>Apoyar a la Dirección de Gestión del Conocimiento en la implementación de los procesos formativos asociados a temas de derechos de las mujeres mediante el uso de herramientas TIC, TAC y TEP.</t>
  </si>
  <si>
    <t xml:space="preserve">La implementación de los procesos formativos a través del uso de TIC, requiere del apoyo de personas que faciliten las acciones de aprendizaje con la ciudadanía, buscando el desarrollo de capacidades de las mujeres, tanto en escenarios virtuales como de acompañamiento en los Centros de Inclusión Digital, entendiendo estos últimos como escenarios físicos no estáticos, sino que recogen la oferta tecnológica presente en las localidades y que son de fácil acceso a la ciudadanía. </t>
  </si>
  <si>
    <t>Apoyar a la Dirección de Gestión del Conocimiento en la implementación de los procesos formativos asociados a temas de derechos de las mujeres así como el desarrollo de sus capacidades y habilidades.</t>
  </si>
  <si>
    <t xml:space="preserve">La implementación de los procesos formativos asociados a temas de derechos de las mujeres así como el desarrollo de sus capacidades y habilidades, requiere del apoyo de personas que faciliten las acciones de aprendizaje con la ciudadanía, buscando el desarrollo de capacidades de las mujeres, en espacios disponibles en el territorio y que son de fácil acceso a la ciudadanía. </t>
  </si>
  <si>
    <t>10. Diseñar y acompañar la estrategia de emprendimiento y empleabilidad para la autonomía económica de las mujeres</t>
  </si>
  <si>
    <t xml:space="preserve">M3. Diseñar e implementar 1 estrategia para el desarrollo de capacidades socioemocionales y técnicas de las mujeres en toda su diversidad para su emprendimiento y empleabilidad.  </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</si>
  <si>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t>
  </si>
  <si>
    <t xml:space="preserve">Aumenta la urgencia de garantizar ingresos para las mujeres, que históricamente han enfrentado barreras para vincularse al mercado laboral y se han visto particularmente afectadas por la actual emergencia dado el carácter parcial e informal de la mayoría de las actividades económicas en las que solían desempeñarse.
Teniendo en cuenta lo anterior, la Secretaría Distrital de la Mujer requiere contar con los servicios profesionales especializados para continuar con las acciones de implementación, formalización y continuidad de los procesos relacionados con la gestión de alianzas con actores nacionales, internacionales, públicos y privados mediante la articulación de las dependencias competentes en cada caso y la interlocución con los aliados. Lo anterior, en virtud de un enfoque de corresponsabilidad, donde estos últimos son contrapartes esenciales para apoyar técnica y financieramente el diseño e implementación de la estrategia para el desarrollo de capacidades socioemocionales y técnicas de las mujeres en toda su diversidad para su emprendimiento y empleabilidad cuyo fin último es aportar a la reducción de la pobreza de las mujeres en Bogotá. 
</t>
  </si>
  <si>
    <t>Subsecretaría de Políticas de Igualdad</t>
  </si>
  <si>
    <t>Prestar servicios profesionales para apoyar la implementación de alianzas estratégicas con actores diversos, que le permitan, faciliten y apoyen a la Secretaría Distrital de la Mujer el cumplimiento de los logros correspondientes al sector mujeres.</t>
  </si>
  <si>
    <t>Se considera necesaria la contratación de los servicios profesionales especializados de una persona que apoye las gestiones para implementar y hacer seguimiento a iniciativas en materia de alianzas y cooperación técnica y financiera, nacional e internacional, pública y privada. Dichas alianzas están abocadas a desarrollar acciones concretas para fortalecer la autonomía económica de las mujeres de Bogotá y potenciar sus capacidades socioemocionales y técnicas, como elementos necesarios para mejorar sus condiciones de vida y potenciar su liderazgo dentro de sus comunidades. Lo anterior, con el fin de responder a las profundas brechas de género existentes en el mercado laboral y empresarial de la ciudad, las cuales siguen limitando el acceso de las mujeres a oportunidades de empleabilidad y emprendimiento.</t>
  </si>
  <si>
    <t>Prestar servicios profesionales para coordinar la implementación de la estrategia de empleo y emprendimiento de la Secretaría Distrital de la Mujer, así como apoyar la articulación de esta con los diferentes actores públicos y privados.</t>
  </si>
  <si>
    <t>Se requiere de los servicios profesionales de una persona que apoye la definición de la estrategia y que acompañe la elaboración e implementación de esta, apoyando la coordinación de acciones al interior del equipo el cual para la vigencia 2022 aumentará. Se requieren las labores de coordinación con el fin de generar revisiones del componente técnico durante el proceso de diseño y formulación de la estrategia de empleabilidad y formación para el empleo, y para su implementación en conjunto con la estrategia de emprendimiento, todo ello orientado a la reducción de la feminización de la pobreza, lo cual implica la coordinación y articulación con otros sectores de la Administración Distrital que tienen asiento en la Mesa de reducción de la feminización de la pobreza.</t>
  </si>
  <si>
    <t xml:space="preserve">Prestar servicios profesionales para el desarrollo e implementación del componente de empleo de la estrategia de empleo y emprendimiento para la reducción de la feminización de la pobreza y la articulación con los demás sectores de la administración distrital.  </t>
  </si>
  <si>
    <t>Se requiere de los servicios profesionales de una persona que apoye la definición y que acompañe la elaboración e implementación del componente técnico de la estrategia asociado a empleo, lo anterior  con el fin de generar revisiones del componente durante el proceso de diseño y formulación de la estrategia. De igual forma se requiere que acompañe su articulación intersectorial y aporte al proceso de búsqueda, recolección y análisis de información requerida en el marco de la implementación del componente de empleo.</t>
  </si>
  <si>
    <t xml:space="preserve">Prestar servicios profesionales para el desarrollo e implementación del componente de emprendimiento de la estrategia de empleo y emprendimiento para la reducción de la feminización de la pobreza y la articulación con los demás sectores de la administración distrital.  </t>
  </si>
  <si>
    <t>Se requiere de los servicios profesionales de una persona que apoye la definición y que acompañe la elaboración e implementación del componente técnico de la estrategia asociado a emprendimiento, lo anterior  con el fin de generar revisiones del componente durante el proceso de diseño y formulación de la estrategia. De igual forma se requiere que acompañe su articulación intersectorial y aporte al proceso de búsqueda, recolección y análisis de información requerida en el marco de la implementación del componente de emprendimiento.</t>
  </si>
  <si>
    <t>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t>
  </si>
  <si>
    <t>Teniendo en cuenta el papel de la Secretaría Distrital de la Mujer frente al Decreto Distrital 332 de 2020, y que la entidad además tiene a su cargo el acompañamiento de la estrategia de empleo y emprendimiento para mujeres, y con el propósito de cumplir con la meta establecida en el PDD, se requiere de los servicios profesionales de una persona que acompañe técnicamente la implementación del Decreto 332 de 2020 y apoye a los sectores de la Administración Distrital en la identificación de barreras de acceso que afectan a las mujeres y la consolidación de la información relacionada con acciones de empleabilidad y emprendimiento.</t>
  </si>
  <si>
    <t>Prestar servicios profesionales para apoyar los procesos de gestión y articulación de la estrategia de empleo y emprendimiento(E&amp;E) de la Secretaría Distrital de la Mujer.</t>
  </si>
  <si>
    <t>Teniendo en cuenta  el alcance que adquiere la estrategia en consideración al deterioro de la brecha laboral y de generación de ingresos de las mujeres de Bogotá como resultado de la pandemia, la Secretaría Distrital de la Mujer requiere contratar los servicios profesionales de un profesional especializado que apoye los procesos de  diseño, implementación y seguimiento de la estrategia de emprendimiento y empleabilidad, así como las diferentes articulaciones intra e inter institucional a nivel distrital y nacional, así como la gestión de alianzas con entidades del sector privado que se requieran para el cumplimiento de la misma. Adicionalmente este apoyo comprende las labores de elaboración, consolidación y revisión de informes y documentos que se necesiten como soporte para la correcta ejecución e implementación de la estrategia en el Distrito Capital.</t>
  </si>
  <si>
    <t>Prestar servicios profesionales para apoyar las actividades asociadas a la recolección de insumos; análisis y divulgación estratégicos para el componente de empleo de la estrategia de empleo y emprendimiento.</t>
  </si>
  <si>
    <t>Teniendo en cuenta el alcance que adquiere la estrategia en consideración al deterioro de la brecha laboral y de generación de ingresos de las mujeres de Bogotá como resultado de la pandemia, desde el componente de empleo se requiere de los servicios profesionales de una persona que realice labores de apoyo técnico y administrativo. Este apoyo se refiere al aporte de insumos de contenido, técnicos y operativos y la gestión intra e interinstitucional con entidades de la administración, así como con entidades públicas y privados para el diseño, la formulación, la implementación y el seguimiento del componente de empleo. través de la identificación de insumos. Igualmente, este apoyo comprende actividades administrativas que demanda el desarrollo del componente de empleo, así como la respuesta a las solicitudes de distintas instancias en relación con los contenidos, avances, aportes de la estrategia de emprendimiento y empleabilidad.</t>
  </si>
  <si>
    <t>Prestar servicios profesionales para apoyar la coordinación del equipo territorial encargado de implementar la estrategia de empleabilidad y emprendimiento para la reducción de la feminización de la pobreza.</t>
  </si>
  <si>
    <t>Se requiere de los servicios profesionales de una persona que coordine el componente territorial de la estrategia, así como el equipo de profesionales territoriales de la misma, lo anterior permitirá que las acciones cuenten con acompañamiento técnico oportuno; de igual forma apoyará la distribución y organización del equipo y la identificación de necesidades que serán la base para la implementación de la estrategia a nivel local</t>
  </si>
  <si>
    <t>Apoyar técnicamente los procesos de formación en el marco de la implementación de la estrategia para el desarrollo de capacidades socioemocionales y técnicas de las mujeres en toda su diversidad para su emprendimiento y empleabilidad</t>
  </si>
  <si>
    <t>Se requiere contar con un (1) apoyo técnico que acompañe el desarrollo del componente de  la estrategia de emprendimiento y empleabilidad para el desarrollo de capacidades socioemocionales y técnicas de las mujeres previstas en el proyecto de inversión. De igual modo, la persona realizará apoyo a las profesionales, para la organización, convocatoria, capacitación y demás acciones que se requiera para dar cumplimiento al objeto del contrato.</t>
  </si>
  <si>
    <t>Prestar servicios profesionales para apoyar la implementación de la estrategia de empleabilidad y emprendimiento para la reducción de la feminización de la pobreza en las localidades que le sean asignadas por la supervisora del contrato.</t>
  </si>
  <si>
    <t>Se requiere brindar asesoría, implementar y llevar a cabo el acompañamiento de la estrategia con las mujeres, con el fin de identificar, caracterizar y analizar las diferentes situaciones a las que se enfrentan las mujeres así como buscar alternativas que sean insumo de la reactivación económica, para lo cual resulta necesario contar con servicios de diez (10) profesionales adicionales que brinden apoyo en el desarrollo de la necesidad planteada.</t>
  </si>
  <si>
    <t>Apoyar la supervisión técnica, administrativa y financiera de los convenios y/o contratos, así como las diferentes etapas contractuales de los procesos que se le asignen desde la supervisión del contrato</t>
  </si>
  <si>
    <t>Teniendo en cuenta que se prevé el crecimiento de la estrategia de empleabilidad y emprendimiento, se estima necesaria la contratación de una abogada que apoye la supervisión de convenios y/o contratos que se deriven de las articulaciones; de igual forma que apoye en la estructuración de procesos y demás elementos de las diferente etapas contractuales</t>
  </si>
  <si>
    <t>Subsecretaria de Políticas de Igualdad</t>
  </si>
  <si>
    <t>ADECUACIONES LOGICAS Y FISICAS</t>
  </si>
  <si>
    <t>Mantenimiento maquinaria y equipo</t>
  </si>
  <si>
    <t>O2320202005040254252</t>
  </si>
  <si>
    <t>Servicios generales de construcción de cables locales y obras conexas</t>
  </si>
  <si>
    <t>Adecuaciones lógicas y físicas para las diferentes sedes de la Secretaría Distrital de la Mujer</t>
  </si>
  <si>
    <t>CCE-02 - Licitación pública</t>
  </si>
  <si>
    <t>Para el correcto funcionamiento de los CID es necesario contar con un proveedor que realice las adecuaciones lógicas (Cableado estructurado) y físicas, en caso de reubicación o puesta en operación de nuevas sedes.</t>
  </si>
  <si>
    <t>Oficina Asesora de Planeación</t>
  </si>
  <si>
    <t>ADQUISICION E INSTALACION DE MUEBLES DE OFICINA</t>
  </si>
  <si>
    <t>Maquinaria y Equipo</t>
  </si>
  <si>
    <t>O232020200662283</t>
  </si>
  <si>
    <t>Comercio al por menor de maquinaria y equipo de oficina incluyendo los muebles de oficina en establecimientos especializados</t>
  </si>
  <si>
    <t>56111500; 73111505; 72153606</t>
  </si>
  <si>
    <t>Contratar la adquisición e instalación de muebles de oficina para los Centros de Inclusión Digital de la Secretaría Distrital de la Mujer</t>
  </si>
  <si>
    <t>CCE-07 - Selección abreviada subasta inversa</t>
  </si>
  <si>
    <t xml:space="preserve">Con la reorientación conceptual de los CID, iniciada durante 2021, se hace necesario fortalecer los CID con mobiliario, como mesas, sillas, gavetas, entro otros. </t>
  </si>
  <si>
    <t>CURSOS VIRTUALES</t>
  </si>
  <si>
    <t xml:space="preserve">M2. Diseñar 13 contenidos para el desarrollo de capacidades socioemocionales, técnicas y digitales de las mujeres, en toda su diversidad </t>
  </si>
  <si>
    <t>86101810, 60105301, 60105303, 43232404, 43232408, 86101810, 93141801, 94141810</t>
  </si>
  <si>
    <t>Elaborar, desarrollar, virtualizar y poner en marcha cursos virtuales para el desarrollo de capacidades de las mujeres, así como capacidades institucionales a partir de los enfoques de género y diferencial</t>
  </si>
  <si>
    <t xml:space="preserve">Se considera fundamental desde la SDMujer, promover la formación para la empleabilidad entendida de acuerdo con la Resolución 195 de la OIT, como el conjunto de “competencias y cualificaciones transferibles que refuerzan la capacidad de las personas para aprovechar las oportunidades de educación y de formación que se les presenten con miras a encontrar y conservar un trabajo decente, progresar en la empresa o al cambiar de empleo y adaptarse a la evolución de la tecnología y de las condiciones del mercado de trabajo” Esta concepción de la empleabilidad (OIT- CINTEFOR, 2012) implica una transferencia de poder que permite desenvolverse con autonomía en un contexto con incertidumbre, que presenta cambios que demanda adaptaciones para el empleo y desarrollar capacidades de emprendimiento. La “competencia emprendedora” (OIT- CINTEFOR, 2012) se entiende como los conocimientos, habilidades y destrezas que promueven innovación, la creatividad, la autoconfianza y la capacidad para desarrollar o fortalecer proyectos individuales o colectivos. De esta forma, de acuerdo con los autores, la competencia emprendedora se materializa cuando una idea de negocio se consolida en un plan de negocio con metas, plazos y recursos definidos que se lleva a cabo. </t>
  </si>
  <si>
    <t>BOLSA 01</t>
  </si>
  <si>
    <t>BOLSA ADOBE</t>
  </si>
  <si>
    <t>O232020200883143</t>
  </si>
  <si>
    <t>Software originales</t>
  </si>
  <si>
    <t>43232100</t>
  </si>
  <si>
    <t xml:space="preserve"> Contratar la Adquisición de licencias Adobe para la Secretaria Distrital de la Mujer.</t>
  </si>
  <si>
    <t>Se utilizará una licencia para los elementos gráficos de los cursos y para diseñar la visualización de los procesos formativos virtuales.</t>
  </si>
  <si>
    <t>Oficina Asesora de Planeación - Tecnología</t>
  </si>
  <si>
    <t>BOLSA 02</t>
  </si>
  <si>
    <t>BOLSA APOYO LOGISTICO</t>
  </si>
  <si>
    <t>Servicios de alojamiento comidas y bebidas</t>
  </si>
  <si>
    <t>O232020200663399</t>
  </si>
  <si>
    <t>Otros servicios de suministro de comidas</t>
  </si>
  <si>
    <t xml:space="preserve">Prestar los servicios de apoyo logístico para atender las actividades misionales y/o de apoyo que adelante la Secretaría Distrital de la Mujer en cumplimiento de sus funciones, de conformidad con el anexo técnico y la oferta presentada por el contratista
</t>
  </si>
  <si>
    <t>Se tiene previsto realizar actividades de socialización, evaluación y retroalimentación de los procesos formativos, con participación de ciudadanas interesadas así como actividades de socialización de la estrategia de empleo y emprendimiento con la participación de diferentes actores públicos y privados.</t>
  </si>
  <si>
    <t>Dirección de Gestión Administrativa y Financiera</t>
  </si>
  <si>
    <t>BOLSA 04</t>
  </si>
  <si>
    <t>BOLSA BIOSEGURIDAD</t>
  </si>
  <si>
    <t>Materiales</t>
  </si>
  <si>
    <t>O2320201003083899997</t>
  </si>
  <si>
    <t>Artículos n.c.p. para protección</t>
  </si>
  <si>
    <t>46181500</t>
  </si>
  <si>
    <t>Adquirir elementos de protección personal y bioseguridad para la Secretaría Distrital de la Mujer</t>
  </si>
  <si>
    <t>CCE-99 - Seléccion abreviada - acuerdo marco</t>
  </si>
  <si>
    <t>Teniendo en cuenta el trabajo que realiza el equipo de formación de la DGC en diversos territorios y su contacto directo con ciudadanía, se hace necesario que cuenten con elementos de protección personal para evitar contagio por COVID-19.</t>
  </si>
  <si>
    <t xml:space="preserve">Dirección de Talento Humano </t>
  </si>
  <si>
    <t>BOLSA 05</t>
  </si>
  <si>
    <t>BOLSA COMUNICACIONES CONVERGENTES</t>
  </si>
  <si>
    <t>O232020200884222</t>
  </si>
  <si>
    <t>Servicios de acceso a Internet de banda ancha</t>
  </si>
  <si>
    <t>81161700</t>
  </si>
  <si>
    <t>Suministrar los servicios integrados de comunicaciones convergentes que requiera la Secretaría Distrital de la Mujer.</t>
  </si>
  <si>
    <t xml:space="preserve">CCE-05 - Contratación directa (con ofertas) </t>
  </si>
  <si>
    <t>Es necesario garantizar la continuidad de servicios de telefonía y datos móviles en los Centros de Inclusión Digital para llevar a cabo los procesos formativos así como para la difusión de la estrategia se requiere contar con servicios de telefonía móvil y con mensajes de texto que apoyarán la divulgación de los servicios que se implementen.</t>
  </si>
  <si>
    <t>BOLSA 06</t>
  </si>
  <si>
    <t>BOLSA CONSUMIBLES DE IMPRESIÓN</t>
  </si>
  <si>
    <t>O2320201003053513001</t>
  </si>
  <si>
    <t>Tintas tipográficas para imprenta</t>
  </si>
  <si>
    <t>44103103</t>
  </si>
  <si>
    <t>Adquirir a través de la Tienda Virtual del Estado Colombiano consumibles de impresión para  los equipos multifuncionales de la Secretaría Distrital de la Mujer</t>
  </si>
  <si>
    <t>La entidad debe contar con los tóner requeridos para el funcionamiento de 15 impresoras ubicadas en los CID.</t>
  </si>
  <si>
    <t>BOLSA 08</t>
  </si>
  <si>
    <t>BOLSA FERRETERIA</t>
  </si>
  <si>
    <t>Servicios de venta y de distribución</t>
  </si>
  <si>
    <t>O2320201004024299991</t>
  </si>
  <si>
    <t>Artículos n.c.p. de ferretería y cerrajería</t>
  </si>
  <si>
    <t>Suministro de elementos de ferretería para la Secretaría Distrital de la Mujer</t>
  </si>
  <si>
    <t>Es necesario adquirir elementos de ferretería para la adecuación de los CID.</t>
  </si>
  <si>
    <t>BOLSA 09</t>
  </si>
  <si>
    <t>BOLSA LICENCIAS MICROSOFT</t>
  </si>
  <si>
    <t>43231500</t>
  </si>
  <si>
    <t>Contratar a través de la Tienda Virtual del Estado Colombiano por medio del Instrumento de Agregación de Demanda No. CCE-139-IAD-2020 productos Microsoft para la Secretaría Distrital de la Mujer</t>
  </si>
  <si>
    <t>Continuidad del licenciamiento Microsoft para equipos ubicados en los CID asi como para contratistas que hacen parte del proyecto de inversión.</t>
  </si>
  <si>
    <t>BOLSA 10</t>
  </si>
  <si>
    <t>BOLSA PAPELERIA</t>
  </si>
  <si>
    <t>O2320201003083899998</t>
  </si>
  <si>
    <t>Artículos n.c.p. para escritorio y oficina</t>
  </si>
  <si>
    <t>44121630</t>
  </si>
  <si>
    <t xml:space="preserve">Suministro de elementos de papelería, útiles de escritorio y oficina, que sean requeridos para apoyar la gestión administrativa de la Secretaria Distrital de la Mujer </t>
  </si>
  <si>
    <t>Los procesos formativos y la implementación de la estrategia de empleo y emprendimiento, requieren elementos de papelería para su ejecución.</t>
  </si>
  <si>
    <t>Dirección de Gestión Administrativa y Financiera - DOCUMENTAL</t>
  </si>
  <si>
    <t>BOLSA 12</t>
  </si>
  <si>
    <t>BOLSA PRODUCCION E IMPRESIÓN DE PIEZAS GRAFICAS</t>
  </si>
  <si>
    <t>O2320201003023262003</t>
  </si>
  <si>
    <t>Catálogos, folletos y otras impresiones publicitarias</t>
  </si>
  <si>
    <t>Prestar el servicio de producción e impresión de piezas gráficas y artículos para la divulgación de información pedagógica y campañas institucionales de la Secretaria Distrital de la Mujer.</t>
  </si>
  <si>
    <t>Los procesos formativos requieren ocasionalmente la impresión de piezas comunicativas y otros materiales pedagógicos. También es necesario que se impriman piezas que permitan socializar la oferta de servicios de los CID.</t>
  </si>
  <si>
    <t>Proceso Comunicación estratégica</t>
  </si>
  <si>
    <t>BOLSA 13</t>
  </si>
  <si>
    <t>BOLSA TRANSPORTE TERRESTRE</t>
  </si>
  <si>
    <t>Transporte</t>
  </si>
  <si>
    <t>O232020200664119</t>
  </si>
  <si>
    <t>Otros servicios de transporte terrestre local de pasajeros n.c.p.</t>
  </si>
  <si>
    <t>78111800</t>
  </si>
  <si>
    <t>Contratar la prestación del servicio de transporte terrestre automotor especial de acuerdo con las necesidades de la Secretaría Distrital de la Mujer para el cumplimiento de su misión y desarrollo de sus funciones.</t>
  </si>
  <si>
    <t>Se requiere la prestación del servicio de transporte con el fin de trasladar el equipo territorial de tal forma que la difusión de la estrategia se realice a nivel distrital</t>
  </si>
  <si>
    <t>BOLSA 19</t>
  </si>
  <si>
    <t>BOLSA COMPRA DE EQUIPOS TECNOLOGICOS</t>
  </si>
  <si>
    <t>O232010100502030101</t>
  </si>
  <si>
    <t>Paquetes de software</t>
  </si>
  <si>
    <t>43211500</t>
  </si>
  <si>
    <t>Contratar a través de la Tienda Virtual del Estado Colombiano por medio del Acuerdo Marco de Precios No. CCE-925-AMP-2019 Equipos Tecnológicos y periféricos para la Secretaría Distrital de la Mujer</t>
  </si>
  <si>
    <t>Con la reorientación conceptual de los CID, iniciada durante 2021, se hace necesario fortalecer los CID con dispositivos móviles como tabletas para que las mujeres participantes en los procesos formativos los utilicen y pongan en práctica los conocimientos adquiridos.</t>
  </si>
  <si>
    <t>RESCATE SOCIAL - Encadenamientos productivos</t>
  </si>
  <si>
    <t xml:space="preserve">M4. Diseñar e implementar 1 piloto de un programa para promover la autonomía económica de las mujeres cuidadoras en el marco de la estrategia de empleo y emprendimiento de la Secretaría  </t>
  </si>
  <si>
    <t>O232020200991122</t>
  </si>
  <si>
    <t>Servicios de la administración pública relacionados con la salud y los servicios sociales</t>
  </si>
  <si>
    <t>Prestación de servicios de un operador territorial para la implementación programa de generación de ingresos dirigido a fomentar la asociatividad de mujeres cuidadoras</t>
  </si>
  <si>
    <t>1-200-F001 - RB-Otros distrito</t>
  </si>
  <si>
    <t>Los programas ofrecidos por el Distrito en el marco del rescate social favorecen a un amplio grupo de la población, pero tienen barreras para el acceso de mujeres que actualmente están dedicando más de diez horas diarias al cuidado (1.000.000 de mujeres en la ciudad aproximadamente según la GEIH), asociados precisamente a la falta de tiempo disponible. Es por esta razón que desde la Secretaría Distrital de la Mujer, se propone un programa para fomentar la asociatividad de mujeres cuidadoras para la generación de ingresos y la organización del trabajo de cuidado a través de esquemas de economía solidaria. Este programa busca crear o fortalecer a 50 organizaciones productivas de mujeres cuidadoras para encadenarlas a esquemas de proveeduría inclusiva de empresas identificadas como parte del programa.</t>
  </si>
  <si>
    <t>Prestar servicios profesionales para brindar apoyo administrativo en el diseño, implementación y seguimiento del programa piloto para promover la autonomía económica de las mujeres cuidadoras en el marco de la estrategia de emprendimiento y empleabilidad de la Secretaría Distrital de la Mujer.</t>
  </si>
  <si>
    <t>Teniendo en cuenta el alcance que adquiere para la estrategia el diseño e implementación del programa piloto “Vecinas, trabajemos juntas”, se requiere contratar los servicios profesionales de una persona que brinde el apoyo administrativo para el correcto diseño, ejecución y seguimiento del programa que se implementará a través de un Convenio de Cooperación Internacional. En este sentido, se requieren las labores de apoyo en la supervisión del convenio, seguimiento a los requerimientos administrativos, tanto por parte de la SDMujer como por parte de le entidad con la que se realice el convenio para la ejecución del programa, prestar apoyo en la elaboración, consolidación y revisión de informes y documentos administrativos y financieros, apoyar al equipo coordinador en la revisión de todos los entregables, y en la gestión y logística de las actividades requeridas, así como en cualquier otra actividad administrativa que se requiera.</t>
  </si>
  <si>
    <t>viernes, 3 de diciembre de 2021, 11:12 a. m.</t>
  </si>
  <si>
    <t>Prestar servicios profesionales para apoyar la coordinación del diseño, implementación y seguimiento del programa piloto para promover la autonomía económica de las mujeres cuidadoras en el marco de la estrategia de emprendimiento y empleabilidad de la Secretaría Distrital de la Mujer.</t>
  </si>
  <si>
    <t>Teniendo en cuenta el alcance que adquiere para la estrategia el diseño e implementación del programa piloto “Vecinas, trabajemos juntas”, se requiere contratar los servicios profesionales de una persona que apoye la coordinación del programa “Vecinas, trabajemos juntas” y que acompañe el diseño e implementación del mismo, tanto al interior del equipo y la entidad, como externamente con la entidad con la que se lleve a cabo el convenio para la ejecución de este. Teniendo en cuenta lo anterior, se requieren las labores de un profesional a cargo de coordinar la operación del programa, participar en las instancias técnicas y de toma de decisión, articular el desarrollo del programa con la Estrategia de Empleo y Emprendimiento, en particular, brindando apoyo en el componente de generación de ingresos, e identificar oportunidades para fortalecer los resultados esperados de la intervención a través de la articulación con otros sectores de la Administración Distrital o del sector privado.</t>
  </si>
  <si>
    <t>NO</t>
  </si>
  <si>
    <t>PROCESO EN CURSO</t>
  </si>
  <si>
    <t>PCC 7673</t>
  </si>
  <si>
    <t>SIMISIONAL - PCC</t>
  </si>
  <si>
    <t>9. Aumentar en un 30% el número de mujeres formadas en los centros de inclusión digital
10. Diseñar y acompañar la estrategia de emprendimiento y empleabilidad para la autonomía económica de las mujeres</t>
  </si>
  <si>
    <t>O232020200883142</t>
  </si>
  <si>
    <t>Servicios de diseño y desarrollo de redes y sistemas en tecnologías de la información (TI)</t>
  </si>
  <si>
    <t>Diseñar y desarrollar el nuevo Sistema de Información Misional de la Secretaría de la Mujer, SIMISIONAL 2.0. PC 429 P.2021</t>
  </si>
  <si>
    <t>CCE-04 - Concurso de méritos abierto</t>
  </si>
  <si>
    <t>1-501-I001 - PCC-Otros distrito</t>
  </si>
  <si>
    <t>Dirección de Gestsión del conocimiento</t>
  </si>
  <si>
    <t>PROCESO NUEVO FINALIZANDO EL AÑO TELEFONOS CEL</t>
  </si>
  <si>
    <t>Código UNSPSC (cada código separado por ;)</t>
  </si>
  <si>
    <t>Fecha estimada de inicio de proceso de selección (mes)</t>
  </si>
  <si>
    <t>Fecha estimada de presentación de ofertas (mes)</t>
  </si>
  <si>
    <t>Duración del contrato (número)</t>
  </si>
  <si>
    <t>Duración del contrato (intervalo: días, meses, años)</t>
  </si>
  <si>
    <t>Valor total estimado</t>
  </si>
  <si>
    <t>Valor estimado en la vigencia actual</t>
  </si>
  <si>
    <t>44122003</t>
  </si>
  <si>
    <t>128. 7671,7673,7675,7718,7662. Adquisición de productos derivados del papel y cartón requeridos para apoyar la gestión administrativa de la Secretaria Distrital de la Mujer.</t>
  </si>
  <si>
    <t>Febrero</t>
  </si>
  <si>
    <t>Marzo</t>
  </si>
  <si>
    <t>90</t>
  </si>
  <si>
    <t>Días</t>
  </si>
  <si>
    <t>Seléccion abreviada - acuerdo marco</t>
  </si>
  <si>
    <t xml:space="preserve">Recursos propios </t>
  </si>
  <si>
    <t>934. 7662,7668,7673,7739. Contratar la Adquisición de licencias Adobe para la Secretaria Distrital de la Mujer.</t>
  </si>
  <si>
    <t>360</t>
  </si>
  <si>
    <t>Selección abreviada subasta inversa</t>
  </si>
  <si>
    <t>80141607</t>
  </si>
  <si>
    <t>935. 7718,7668,7671,7673,7675,7734,7738,7739. Prestar los servicios de apoyo logístico para atender las actividades misionales y/o de apoyo que adelante la Secretaría Distrital de la Mujer en cumplimiento de sus funciones, de conformidad con el anexo técnico y la oferta presentada por el contratista</t>
  </si>
  <si>
    <t>Mayo</t>
  </si>
  <si>
    <t>30</t>
  </si>
  <si>
    <t>Licitación pública</t>
  </si>
  <si>
    <t>937. 7718,7671,7672,7673,7675,7734,FUN. Adquirir elementos de protección personal y bioseguridad para la Secretaría Distrital de la Mujer</t>
  </si>
  <si>
    <t>60</t>
  </si>
  <si>
    <t>83111603</t>
  </si>
  <si>
    <t>938. 7718,7662,7671,7672,7673,7675,7734. Suministrar los servicios integrados de comunicaciones convergentes que requiera la Secretaría Distrital de la Mujer.</t>
  </si>
  <si>
    <t>939. 7671,7673,7675. Adquirir a través de la Tienda Virtual del Estado Colombiano consumibles de impresión para los equipos multifuncionales de la Secretaría Distrital de la Mujer</t>
  </si>
  <si>
    <t>31162800</t>
  </si>
  <si>
    <t>941. 7718,7662,7671,7673,7675. Suministro de elementos de ferretería para la Secretaría Distrital de la Mujer</t>
  </si>
  <si>
    <t>942. 7718,7662,7668,7671,7672,7673,7675,7734,7738,7739. Contratar a través de la Tienda Virtual del Estado Colombiano por medio del Instrumento de Agregación de Demanda No. CCE-139-IAD-2020 productos Microsoft para la Secretaría Distrital de la Mujer</t>
  </si>
  <si>
    <t>943. 7718,7662,7671,7673,7675. Suministro de elementos de papelería, útiles de escritorio y oficina, que sean requeridos para apoyar la gestión administrativa de la Secretaria Distrital de la Mujer.</t>
  </si>
  <si>
    <t>240</t>
  </si>
  <si>
    <t>82101905</t>
  </si>
  <si>
    <t>945. 7718,7668,7671,7673,7675,7676,7734,7738,7739. Prestar el servicio de producción e impresión de piezas gráficas y artículos para la divulgación de información pedagógica y campañas institucionales de la Secretaria Distrital de la Mujer</t>
  </si>
  <si>
    <t>Agosto</t>
  </si>
  <si>
    <t>946. 7718,7668,7671,7672,7673,7675,7734. Contratar la prestación del servicio de transporte terrestre automotor especial de acuerdo con las necesidades de la Secretaría Distrital de la Mujer para el cumplimiento de su misión y desarrollo de sus funciones.</t>
  </si>
  <si>
    <t>315</t>
  </si>
  <si>
    <t>952. 7718,7673. Contratar a través de la Tienda Virtual del Estado Colombiano por medio del Acuerdo Marco de Precios No. CCE-925-AMP-2019 Equipos Tecnológicos y periféricos para la Secretaría Distrital de la Mujer</t>
  </si>
  <si>
    <t>Junio</t>
  </si>
  <si>
    <t>72151605</t>
  </si>
  <si>
    <t>413. 7673. Adecuaciones lógicas y físicas para las diferentes sedes de la Secretaría Distrital de la Mujer</t>
  </si>
  <si>
    <t>210</t>
  </si>
  <si>
    <t>56111500</t>
  </si>
  <si>
    <t>414. 7673. Contratar la adquisición e instalación de muebles de oficina para los Centros de Inclusión Digital de la Secretaría Distrital de la Mujer</t>
  </si>
  <si>
    <t>86101810</t>
  </si>
  <si>
    <t>415. 7673. Elaborar, desarrollar, virtualizar y poner en marcha cursos virtuales para el desarrollo de capacidades de las mujeres, así como capacidades institucionales a partir de los enfoques de género y diferencial</t>
  </si>
  <si>
    <t>Contratación directa.</t>
  </si>
  <si>
    <t>Total 30-jun-2022</t>
  </si>
  <si>
    <t>Total PDD</t>
  </si>
  <si>
    <t>Reporte PDD
ene-mar</t>
  </si>
  <si>
    <t>Reporte PDD
abr-jun</t>
  </si>
  <si>
    <t>Reporte PDD
jul-sep</t>
  </si>
  <si>
    <t>Reporte PDD
oct-dic</t>
  </si>
  <si>
    <t>Reporte PDD
ene</t>
  </si>
  <si>
    <t>Reporte PDD
feb</t>
  </si>
  <si>
    <t>Reporte PDD
mar</t>
  </si>
  <si>
    <t>Reporte PDD
abr</t>
  </si>
  <si>
    <t>Reporte PDD
may</t>
  </si>
  <si>
    <t>Reporte PDD
jun</t>
  </si>
  <si>
    <t>Reporte PDD
jul</t>
  </si>
  <si>
    <t>Reporte PDD
ago</t>
  </si>
  <si>
    <t>Reporte PDD
sep</t>
  </si>
  <si>
    <t>Reporte PDD
oct</t>
  </si>
  <si>
    <t>Reporte PDD
nov</t>
  </si>
  <si>
    <t>Reporte PDD
dic</t>
  </si>
  <si>
    <t>Meta 1</t>
  </si>
  <si>
    <t>Meta 2</t>
  </si>
  <si>
    <t>Meta 3</t>
  </si>
  <si>
    <t>Promedio</t>
  </si>
  <si>
    <t>Redondeo</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</si>
  <si>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</si>
  <si>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</si>
  <si>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</si>
  <si>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</si>
  <si>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</si>
  <si>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</si>
  <si>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</si>
  <si>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</si>
  <si>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</si>
  <si>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</si>
  <si>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</si>
  <si>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</si>
  <si>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</si>
  <si>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</si>
  <si>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</si>
  <si>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</si>
  <si>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</si>
  <si>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</si>
  <si>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</si>
  <si>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</si>
  <si>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</si>
  <si>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</si>
  <si>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</si>
  <si>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</si>
  <si>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</si>
  <si>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</si>
  <si>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</si>
  <si>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</si>
  <si>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</si>
  <si>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</si>
  <si>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</si>
  <si>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</si>
  <si>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</si>
  <si>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</si>
  <si>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</si>
  <si>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</si>
  <si>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</si>
  <si>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</si>
  <si>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</si>
  <si>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</si>
  <si>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</si>
  <si>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</si>
  <si>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</si>
  <si>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</si>
  <si>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</si>
  <si>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</si>
  <si>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</si>
  <si>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</si>
  <si>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</si>
  <si>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</si>
  <si>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</si>
  <si>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</si>
  <si>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</si>
  <si>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</si>
  <si>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</si>
  <si>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</si>
  <si>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</si>
  <si>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</si>
  <si>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</si>
  <si>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</si>
  <si>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</si>
  <si>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</si>
  <si>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</si>
  <si>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</si>
  <si>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</si>
  <si>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</si>
  <si>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</si>
  <si>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</si>
  <si>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</si>
  <si>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</si>
  <si>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</si>
  <si>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</si>
  <si>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</si>
  <si>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</si>
  <si>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</si>
  <si>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</si>
  <si>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</si>
  <si>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</si>
  <si>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</si>
  <si>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</si>
  <si>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</si>
  <si>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</si>
  <si>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</si>
  <si>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</si>
  <si>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Indigenas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</si>
  <si>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</si>
  <si>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</si>
  <si>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</si>
  <si>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</si>
  <si>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</si>
  <si>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</si>
  <si>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</si>
  <si>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</si>
  <si>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</si>
  <si>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</si>
  <si>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</si>
  <si>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</si>
  <si>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</si>
  <si>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</si>
  <si>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</si>
  <si>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</si>
  <si>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</si>
  <si>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</si>
  <si>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</si>
  <si>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</si>
  <si>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</si>
  <si>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</si>
  <si>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</si>
  <si>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</si>
  <si>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</si>
  <si>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</si>
  <si>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</si>
  <si>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</si>
  <si>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</si>
  <si>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</si>
  <si>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</si>
  <si>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</si>
  <si>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</si>
  <si>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</si>
  <si>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</si>
  <si>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</si>
  <si>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</si>
  <si>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</si>
  <si>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</si>
  <si>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</si>
  <si>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</si>
  <si>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</si>
  <si>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</si>
  <si>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</si>
  <si>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</si>
  <si>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</si>
  <si>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</si>
  <si>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</si>
  <si>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</si>
  <si>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</si>
  <si>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</si>
  <si>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</si>
  <si>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</si>
  <si>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</si>
  <si>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</si>
  <si>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</si>
  <si>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</si>
  <si>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</si>
  <si>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</si>
  <si>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</si>
  <si>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</si>
  <si>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</si>
  <si>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</si>
  <si>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</si>
  <si>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</si>
  <si>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</si>
  <si>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</si>
  <si>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</si>
  <si>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</si>
  <si>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</si>
  <si>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</si>
  <si>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</si>
  <si>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</si>
  <si>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</si>
  <si>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</si>
  <si>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</si>
  <si>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</si>
  <si>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</si>
  <si>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</si>
  <si>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</si>
  <si>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</si>
  <si>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</si>
  <si>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</si>
  <si>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</si>
  <si>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</si>
  <si>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</si>
  <si>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</si>
  <si>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</si>
  <si>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</si>
  <si>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</si>
  <si>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</si>
  <si>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</si>
  <si>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</si>
  <si>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</si>
  <si>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</si>
  <si>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</si>
  <si>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</si>
  <si>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</si>
  <si>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</si>
  <si>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</si>
  <si>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</si>
  <si>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</si>
  <si>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</si>
  <si>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</si>
  <si>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</si>
  <si>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</si>
  <si>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</si>
  <si>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</si>
  <si>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</si>
  <si>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</si>
  <si>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</si>
  <si>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</si>
  <si>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</si>
  <si>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</si>
  <si>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</si>
  <si>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</si>
  <si>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</si>
  <si>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</si>
  <si>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</si>
  <si>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</si>
  <si>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</si>
  <si>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</si>
  <si>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</si>
  <si>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</si>
  <si>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</si>
  <si>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Acorde con la programación para el mes de marzo se formaron un total de 950 mujeres, para un avance del 21% en la meta 2022, en los siguientes procesos de formación:</t>
  </si>
  <si>
    <t>a. Informática: Microsoft Word, Excel e Internet</t>
  </si>
  <si>
    <t>a. Informática: Microsoft Word, Excel e Internet: se han formado en total 249 mujeres (24 en febrero, 158 en marzo y 67 en abril)</t>
  </si>
  <si>
    <t>b. Herramientas TIC - Fotografía digital</t>
  </si>
  <si>
    <t>b. Herramientas TIC - Fotografía digital: se han formado 3 mujeres (1 febrero, 2 en marzo)</t>
  </si>
  <si>
    <t>c. Herramientas TIC - Manejo de Adobe PhotoShop</t>
  </si>
  <si>
    <t>c. Herramientas TIC - Manejo de Adobe PhotoShop:  se han formado 4 mujeres (2 febrero, 2 en marzo)</t>
  </si>
  <si>
    <t>d. Habilidades Socioemocionales Moodle</t>
  </si>
  <si>
    <t xml:space="preserve">d. Habilidades Socioemocionales Moodle: se han formado 49 mujeres (24 febrero, 25 en marzo) </t>
  </si>
  <si>
    <t>e. Educación Financiera Moodle</t>
  </si>
  <si>
    <t>e. Educación Financiera Moodle: se han formado 127 mujeres (83 febrero, 41 en marzo, 3 abril)</t>
  </si>
  <si>
    <t>f. Habilidades Socioemocionales - CID</t>
  </si>
  <si>
    <t>f.  Habilidades Socioemocionales - CID: se han formado 955 mujeres (237 febrero, 341 en marzo, 377 abril)</t>
  </si>
  <si>
    <t>g. Habilidades digitales</t>
  </si>
  <si>
    <t>g. Habilidades digitales: se han formado 639 mujeres (148 febrero, 340 en marzo, 151 abril)</t>
  </si>
  <si>
    <t>h. Introducción a los indicadores de género</t>
  </si>
  <si>
    <t>h. Introducción a los indicadores de género: se han formado 12 mujeres (4 febrero, 2 en marzo, 6 abril)</t>
  </si>
  <si>
    <t>i. Construcción y aplicación de indicadores de género en ideas de proyecto</t>
  </si>
  <si>
    <t>i. Construcción y aplicación de indicadores de género en ideas de proyecto: se han formado 3 mujeres (3 febrero)</t>
  </si>
  <si>
    <t>j. Derechos de las mujeres y TIC</t>
  </si>
  <si>
    <t>j. Derechos de las mujeres y TIC: se han formado 40 mujeres (4 febrero, 21 en marzo, 15 abril)</t>
  </si>
  <si>
    <t>k. Prevencion de violencias digitales</t>
  </si>
  <si>
    <t>k. Prevencion de violencias digitales: se han formado 74 mujeres (19 en marzo, 55 abril)</t>
  </si>
  <si>
    <t>l. Claves para ingresar al mundo laboral</t>
  </si>
  <si>
    <t>l. Claves para ingresar al mundo laboral: se han formado 25 mujeres (25 abril)</t>
  </si>
  <si>
    <t>m. Constructoras Tic para la Paz</t>
  </si>
  <si>
    <t>m. Constructoras Tic para la Paz: se han formado 4 mujeres (4 abril)</t>
  </si>
  <si>
    <t>n. Manejo básico de herramientas Microsoft Office 2016</t>
  </si>
  <si>
    <t>n. Manejo básico de herramientas Microsoft Office 2016: excel: se han formado 30 mujeres (30 abril)</t>
  </si>
  <si>
    <t>o. Manejo intermedio de herramientas Microsoft office excel 2016</t>
  </si>
  <si>
    <t>o. Manejo intermedio de herramientas Microsoft office excel 2016: se han formado 4 mujeres (7 abril)</t>
  </si>
  <si>
    <t>Las facilitadoras realizan un seguimiento y recolección de aprendizajes mediante instrumentos previamente diseñados, que favorecen la identificación de beneficios para las mujeres que participan del proceso.</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</si>
  <si>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</si>
  <si>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</si>
  <si>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</si>
  <si>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</si>
  <si>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</si>
  <si>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</si>
  <si>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</si>
  <si>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</si>
  <si>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</si>
  <si>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</si>
  <si>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</si>
  <si>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</si>
  <si>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</si>
  <si>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</si>
  <si>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</si>
  <si>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</si>
  <si>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</si>
  <si>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 xml:space="preserve">Durante el mes de agosto, se recibe el instrumento de seguimiento a las horas de mentoría a las OPS y el mecanismo de seguimiento a la asistencia de las mujeres. Anexo 1 Verificación trabajo mentores; Anexo 2: Instrumento de seguimiento a las mujeres.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</si>
</sst>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5" formatCode="&quot;$&quot;\ #,##0;\-&quot;$&quot;\ #,##0"/>
    <numFmt numFmtId="6" formatCode="&quot;$&quot;\ #,##0;[Red]\-&quot;$&quot;\ #,##0"/>
    <numFmt numFmtId="42" formatCode="_-&quot;$&quot;\ * #,##0_-;\-&quot;$&quot;\ * #,##0_-;_-&quot;$&quot;\ * &quot;-&quot;_-;_-@_-"/>
    <numFmt numFmtId="41" formatCode="_-* #,##0_-;\-* #,##0_-;_-* &quot;-&quot;_-;_-@_-"/>
    <numFmt numFmtId="44" formatCode="_-&quot;$&quot;\ * #,##0.00_-;\-&quot;$&quot;\ * #,##0.00_-;_-&quot;$&quot;\ * &quot;-&quot;??_-;_-@_-"/>
    <numFmt numFmtId="164" formatCode="#,##0\ &quot;€&quot;;\-#,##0\ &quot;€&quot;"/>
    <numFmt numFmtId="165" formatCode="_-* #,##0\ &quot;€&quot;_-;\-* #,##0\ &quot;€&quot;_-;_-* &quot;-&quot;\ &quot;€&quot;_-;_-@_-"/>
    <numFmt numFmtId="166" formatCode="_-* #,##0\ _€_-;\-* #,##0\ _€_-;_-* &quot;-&quot;\ _€_-;_-@_-"/>
    <numFmt numFmtId="167" formatCode="_-* #,##0.00\ _€_-;\-* #,##0.00\ _€_-;_-* &quot;-&quot;??\ _€_-;_-@_-"/>
    <numFmt numFmtId="168" formatCode="_-&quot;$&quot;* #,##0.00_-;\-&quot;$&quot;* #,##0.00_-;_-&quot;$&quot;* &quot;-&quot;??_-;_-@_-"/>
    <numFmt numFmtId="169" formatCode="_(&quot;$&quot;\ * #,##0.00_);_(&quot;$&quot;\ * \(#,##0.00\);_(&quot;$&quot;\ * &quot;-&quot;??_);_(@_)"/>
    <numFmt numFmtId="170" formatCode="_ &quot;$&quot;\ * #,##0.00_ ;_ &quot;$&quot;\ * \-#,##0.00_ ;_ &quot;$&quot;\ * &quot;-&quot;??_ ;_ @_ "/>
    <numFmt numFmtId="171" formatCode="&quot;$&quot;\ #,##0"/>
    <numFmt numFmtId="172" formatCode="_-* #,##0\ _€_-;\-* #,##0\ _€_-;_-* &quot;-&quot;??\ _€_-;_-@_-"/>
    <numFmt numFmtId="173" formatCode="0.0%"/>
    <numFmt numFmtId="174" formatCode="[$$-240A]\ #,##0;[Red][$$-240A]\ #,##0"/>
    <numFmt numFmtId="175" formatCode="#,##0;[Red]#,##0"/>
    <numFmt numFmtId="176" formatCode="_-[$$-240A]\ * #,##0.00_-;\-[$$-240A]\ * #,##0.00_-;_-[$$-240A]\ * &quot;-&quot;??_-;_-@_-"/>
    <numFmt numFmtId="177" formatCode="#,##0_ ;\-#,##0\ "/>
    <numFmt numFmtId="178" formatCode="0.000"/>
    <numFmt numFmtId="179" formatCode="0.00000"/>
    <numFmt numFmtId="180" formatCode="0.0000"/>
    <numFmt numFmtId="181" formatCode="&quot;$&quot;#,##0.00"/>
    <numFmt numFmtId="182" formatCode="&quot;$&quot;\ #,##0.00"/>
    <numFmt numFmtId="183" formatCode="#,###\ &quot;COP&quot;"/>
    <numFmt numFmtId="184" formatCode="#,##0.0"/>
    <numFmt numFmtId="185" formatCode="0.0"/>
    <numFmt numFmtId="186" formatCode="#,##0.00000000000000"/>
    <numFmt numFmtId="187" formatCode="#,##0.0000"/>
    <numFmt numFmtId="188" formatCode="_-[$$-240A]\ * #,##0_-;\-[$$-240A]\ * #,##0_-;_-[$$-240A]\ * &quot;-&quot;??_-;_-@_-"/>
    <numFmt numFmtId="189" formatCode="#,##0.00;[Red]#,##0.00"/>
    <numFmt numFmtId="190" formatCode="#,##0.000"/>
    <numFmt numFmtId="191" formatCode="_-[$$-240A]\ * #,##0.0000_-;\-[$$-240A]\ * #,##0.0000_-;_-[$$-240A]\ * &quot;-&quot;??_-;_-@_-"/>
    <numFmt numFmtId="192" formatCode="_-&quot;$&quot;\ * #,##0_-;\-&quot;$&quot;\ * #,##0_-;_-&quot;$&quot;\ * &quot;-&quot;??_-;_-@_-"/>
  </numFmts>
  <fonts count="112">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1"/>
      <color theme="0" tint="-0.34998626667073579"/>
      <name val="Times New Roman"/>
      <family val="1"/>
    </font>
    <font>
      <sz val="11"/>
      <color rgb="FFFF0000"/>
      <name val="Calibri"/>
      <family val="2"/>
      <scheme val="minor"/>
    </font>
    <font>
      <sz val="9"/>
      <color indexed="81"/>
      <name val="Tahoma"/>
      <family val="2"/>
    </font>
    <font>
      <b/>
      <sz val="8"/>
      <name val="Times New Roman"/>
      <family val="1"/>
    </font>
    <font>
      <sz val="11"/>
      <name val="Calibri"/>
      <family val="2"/>
    </font>
    <font>
      <sz val="8"/>
      <name val="Times New Roman"/>
      <family val="1"/>
    </font>
    <font>
      <sz val="8"/>
      <name val="Calibri"/>
      <family val="2"/>
    </font>
    <font>
      <b/>
      <sz val="8"/>
      <name val="Calibri"/>
      <family val="2"/>
    </font>
    <font>
      <b/>
      <sz val="10"/>
      <name val="Times Roman"/>
    </font>
    <font>
      <b/>
      <sz val="10"/>
      <color theme="0"/>
      <name val="Times Roman"/>
    </font>
    <font>
      <b/>
      <sz val="9"/>
      <color rgb="FF000000"/>
      <name val="Tahoma"/>
      <family val="2"/>
    </font>
    <font>
      <sz val="9"/>
      <color rgb="FF000000"/>
      <name val="Tahoma"/>
      <family val="2"/>
    </font>
    <font>
      <b/>
      <sz val="9"/>
      <color indexed="81"/>
      <name val="Tahoma"/>
      <family val="2"/>
    </font>
    <font>
      <sz val="10"/>
      <color rgb="FF000000"/>
      <name val="Arial Narrow"/>
      <family val="2"/>
    </font>
    <font>
      <b/>
      <sz val="10"/>
      <name val="Arial Narrow"/>
      <family val="2"/>
    </font>
    <font>
      <b/>
      <sz val="10"/>
      <color theme="1"/>
      <name val="Arial Narrow"/>
      <family val="2"/>
    </font>
    <font>
      <sz val="10"/>
      <color theme="1"/>
      <name val="Arial Narrow"/>
      <family val="2"/>
    </font>
    <font>
      <b/>
      <sz val="10"/>
      <color theme="8" tint="-0.249977111117893"/>
      <name val="Arial Narrow"/>
      <family val="2"/>
    </font>
    <font>
      <sz val="9"/>
      <name val="Times New Roman"/>
      <family val="1"/>
    </font>
    <font>
      <sz val="8"/>
      <name val="Calibri"/>
      <family val="2"/>
      <scheme val="minor"/>
    </font>
    <font>
      <sz val="8"/>
      <name val="Arial"/>
      <family val="2"/>
    </font>
    <font>
      <sz val="8"/>
      <color rgb="FF0070C0"/>
      <name val="Arial"/>
      <family val="2"/>
    </font>
    <font>
      <sz val="8"/>
      <color theme="1"/>
      <name val="Maiandra GD"/>
      <family val="2"/>
    </font>
    <font>
      <b/>
      <sz val="8"/>
      <color theme="1"/>
      <name val="Maiandra GD"/>
      <family val="2"/>
    </font>
    <font>
      <sz val="8"/>
      <name val="Maiandra GD"/>
      <family val="2"/>
    </font>
    <font>
      <sz val="8"/>
      <color rgb="FFFF0000"/>
      <name val="Maiandra GD"/>
      <family val="2"/>
    </font>
    <font>
      <sz val="10"/>
      <color rgb="FFFF0000"/>
      <name val="Arial Narrow"/>
      <family val="2"/>
    </font>
    <font>
      <b/>
      <sz val="10"/>
      <color rgb="FFFF0000"/>
      <name val="Arial Narrow"/>
      <family val="2"/>
    </font>
    <font>
      <b/>
      <sz val="8"/>
      <color rgb="FFFF0000"/>
      <name val="Maiandra GD"/>
      <family val="2"/>
    </font>
    <font>
      <sz val="8"/>
      <name val="Arial Narrow"/>
      <family val="2"/>
    </font>
    <font>
      <b/>
      <sz val="8"/>
      <color theme="1"/>
      <name val="Verdana"/>
      <family val="2"/>
    </font>
    <font>
      <sz val="8"/>
      <color theme="1"/>
      <name val="Calibri"/>
      <family val="2"/>
      <scheme val="minor"/>
    </font>
    <font>
      <sz val="8"/>
      <color theme="1"/>
      <name val="Verdana"/>
      <family val="2"/>
    </font>
    <font>
      <b/>
      <sz val="10"/>
      <color rgb="FF000000"/>
      <name val="Times New Roman"/>
      <family val="1"/>
    </font>
    <font>
      <sz val="10"/>
      <color rgb="FF000000"/>
      <name val="Times New Roman"/>
      <family val="1"/>
    </font>
    <font>
      <sz val="8"/>
      <color rgb="FF00B050"/>
      <name val="Arial"/>
      <family val="2"/>
    </font>
    <font>
      <b/>
      <sz val="11"/>
      <color indexed="81"/>
      <name val="Tahoma"/>
      <family val="2"/>
    </font>
    <font>
      <sz val="11"/>
      <color indexed="81"/>
      <name val="Tahoma"/>
      <family val="2"/>
    </font>
    <font>
      <b/>
      <sz val="10"/>
      <color indexed="81"/>
      <name val="Tahoma"/>
      <family val="2"/>
    </font>
    <font>
      <sz val="10"/>
      <color indexed="81"/>
      <name val="Tahoma"/>
      <family val="2"/>
    </font>
    <font>
      <b/>
      <sz val="11"/>
      <color rgb="FFFF0000"/>
      <name val="Times New Roman"/>
      <family val="1"/>
    </font>
    <font>
      <b/>
      <sz val="8"/>
      <color rgb="FF0070C0"/>
      <name val="Arial"/>
      <family val="2"/>
    </font>
    <font>
      <b/>
      <sz val="8"/>
      <name val="Arial"/>
      <family val="2"/>
    </font>
    <font>
      <b/>
      <sz val="9"/>
      <color theme="1"/>
      <name val="Calibri"/>
      <family val="2"/>
      <scheme val="minor"/>
    </font>
    <font>
      <b/>
      <sz val="8"/>
      <color rgb="FF00B050"/>
      <name val="Arial"/>
      <family val="2"/>
    </font>
    <font>
      <b/>
      <sz val="11"/>
      <color theme="1" tint="0.249977111117893"/>
      <name val="Times New Roman"/>
      <family val="1"/>
    </font>
    <font>
      <sz val="11"/>
      <color theme="1" tint="0.249977111117893"/>
      <name val="Times New Roman"/>
      <family val="1"/>
    </font>
    <font>
      <b/>
      <sz val="8"/>
      <name val="Arial Narrow"/>
      <family val="2"/>
    </font>
    <font>
      <b/>
      <sz val="8"/>
      <color theme="1"/>
      <name val="Calibri"/>
      <family val="2"/>
      <scheme val="minor"/>
    </font>
    <font>
      <sz val="9"/>
      <color theme="1"/>
      <name val="Times New Roman"/>
      <family val="1"/>
    </font>
    <font>
      <sz val="9"/>
      <color rgb="FFFF0000"/>
      <name val="Times New Roman"/>
      <family val="1"/>
    </font>
    <font>
      <b/>
      <sz val="8"/>
      <color indexed="8"/>
      <name val="Times New Roman"/>
      <family val="1"/>
    </font>
    <font>
      <sz val="9"/>
      <color rgb="FF000000"/>
      <name val="Times New Roman"/>
      <family val="1"/>
    </font>
    <font>
      <b/>
      <sz val="7"/>
      <name val="Times New Roman"/>
      <family val="1"/>
    </font>
    <font>
      <sz val="9"/>
      <color rgb="FF00B0F0"/>
      <name val="Times New Roman"/>
      <family val="1"/>
    </font>
    <font>
      <sz val="11"/>
      <color rgb="FF00B0F0"/>
      <name val="Times New Roman"/>
      <family val="1"/>
    </font>
    <font>
      <b/>
      <sz val="10"/>
      <color rgb="FF000000"/>
      <name val="Tahoma"/>
      <family val="2"/>
    </font>
    <font>
      <sz val="10"/>
      <color rgb="FF000000"/>
      <name val="Tahoma"/>
      <family val="2"/>
    </font>
    <font>
      <b/>
      <sz val="11"/>
      <name val="Calibri"/>
      <family val="2"/>
      <scheme val="minor"/>
    </font>
    <font>
      <sz val="12"/>
      <color rgb="FF000000"/>
      <name val="Tahoma"/>
      <family val="2"/>
    </font>
    <font>
      <sz val="11"/>
      <color rgb="FF000000"/>
      <name val="Times New Roman"/>
    </font>
    <font>
      <b/>
      <sz val="11"/>
      <color rgb="FF000000"/>
      <name val="Times New Roman"/>
    </font>
    <font>
      <sz val="11"/>
      <color rgb="FF000000"/>
      <name val="Calibri"/>
      <family val="2"/>
    </font>
    <font>
      <sz val="9"/>
      <color rgb="FF000000"/>
      <name val="Times New Roman"/>
    </font>
    <font>
      <sz val="9"/>
      <color rgb="FF0070C0"/>
      <name val="Times New Roman"/>
    </font>
    <font>
      <sz val="9"/>
      <color theme="1"/>
      <name val="Times New Roman"/>
    </font>
    <font>
      <b/>
      <sz val="9"/>
      <color rgb="FF000000"/>
      <name val="Times New Roman"/>
    </font>
    <font>
      <b/>
      <sz val="9"/>
      <color rgb="FF0070C0"/>
      <name val="Times New Roman"/>
    </font>
    <font>
      <sz val="9"/>
      <color rgb="FF0070C0"/>
      <name val="Times New Roman"/>
      <family val="1"/>
    </font>
    <font>
      <sz val="9"/>
      <name val="Times New Roman"/>
    </font>
    <font>
      <sz val="8"/>
      <color theme="1"/>
      <name val="Times New Roman"/>
      <family val="1"/>
    </font>
    <font>
      <b/>
      <sz val="8"/>
      <color rgb="FFFF0000"/>
      <name val="Times New Roman"/>
      <family val="1"/>
    </font>
  </fonts>
  <fills count="47">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patternFill>
    </fill>
    <fill>
      <patternFill patternType="solid">
        <fgColor theme="4" tint="0.79998168889431442"/>
        <bgColor indexed="64"/>
      </patternFill>
    </fill>
    <fill>
      <patternFill patternType="solid">
        <fgColor rgb="FF00B0F0"/>
        <bgColor indexed="64"/>
      </patternFill>
    </fill>
    <fill>
      <patternFill patternType="solid">
        <fgColor rgb="FFFFFFCC"/>
        <bgColor rgb="FFFFFFCC"/>
      </patternFill>
    </fill>
    <fill>
      <patternFill patternType="solid">
        <fgColor rgb="FFC6D9F0"/>
        <bgColor rgb="FFC6D9F0"/>
      </patternFill>
    </fill>
    <fill>
      <patternFill patternType="solid">
        <fgColor rgb="FFFDE9D9"/>
        <bgColor rgb="FFFDE9D9"/>
      </patternFill>
    </fill>
    <fill>
      <patternFill patternType="solid">
        <fgColor rgb="FFF79646"/>
        <bgColor rgb="FFF79646"/>
      </patternFill>
    </fill>
    <fill>
      <patternFill patternType="solid">
        <fgColor theme="9" tint="0.39997558519241921"/>
        <bgColor indexed="64"/>
      </patternFill>
    </fill>
    <fill>
      <patternFill patternType="solid">
        <fgColor rgb="FFCC99FF"/>
        <bgColor indexed="64"/>
      </patternFill>
    </fill>
    <fill>
      <patternFill patternType="solid">
        <fgColor rgb="FFFFFF00"/>
        <bgColor rgb="FF000000"/>
      </patternFill>
    </fill>
    <fill>
      <patternFill patternType="solid">
        <fgColor rgb="FF59F0D1"/>
        <bgColor indexed="64"/>
      </patternFill>
    </fill>
    <fill>
      <patternFill patternType="solid">
        <fgColor rgb="FF59F0D1"/>
        <bgColor rgb="FF000000"/>
      </patternFill>
    </fill>
    <fill>
      <patternFill patternType="solid">
        <fgColor indexed="22"/>
        <bgColor indexed="64"/>
      </patternFill>
    </fill>
    <fill>
      <patternFill patternType="solid">
        <fgColor rgb="FFFF6699"/>
        <bgColor indexed="64"/>
      </patternFill>
    </fill>
    <fill>
      <patternFill patternType="solid">
        <fgColor rgb="FFFF0000"/>
        <bgColor indexed="64"/>
      </patternFill>
    </fill>
    <fill>
      <patternFill patternType="solid">
        <fgColor rgb="FF33CC33"/>
        <bgColor indexed="64"/>
      </patternFill>
    </fill>
    <fill>
      <patternFill patternType="solid">
        <fgColor rgb="FF4BACC6"/>
        <bgColor rgb="FF4BACC6"/>
      </patternFill>
    </fill>
    <fill>
      <patternFill patternType="solid">
        <fgColor rgb="FF00B050"/>
        <bgColor indexed="64"/>
      </patternFill>
    </fill>
    <fill>
      <patternFill patternType="solid">
        <fgColor rgb="FFFFFFFF"/>
        <bgColor indexed="64"/>
      </patternFill>
    </fill>
    <fill>
      <patternFill patternType="solid">
        <fgColor rgb="FF99FF99"/>
        <bgColor indexed="64"/>
      </patternFill>
    </fill>
    <fill>
      <patternFill patternType="solid">
        <fgColor rgb="FFFFFFFF"/>
        <bgColor rgb="FF000000"/>
      </patternFill>
    </fill>
    <fill>
      <patternFill patternType="solid">
        <fgColor rgb="FFCCC0DA"/>
        <bgColor rgb="FF000000"/>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rgb="FF000000"/>
      </right>
      <top style="thin">
        <color indexed="64"/>
      </top>
      <bottom/>
      <diagonal/>
    </border>
    <border>
      <left/>
      <right style="thin">
        <color rgb="FF000000"/>
      </right>
      <top/>
      <bottom/>
      <diagonal/>
    </border>
  </borders>
  <cellStyleXfs count="35">
    <xf numFmtId="0" fontId="0" fillId="0" borderId="0"/>
    <xf numFmtId="0" fontId="20" fillId="3" borderId="66" applyNumberFormat="0" applyAlignment="0" applyProtection="0"/>
    <xf numFmtId="49" fontId="22" fillId="0" borderId="0" applyFill="0" applyBorder="0" applyProtection="0">
      <alignment horizontal="left" vertical="center"/>
    </xf>
    <xf numFmtId="0" fontId="23" fillId="4" borderId="67" applyNumberFormat="0" applyFont="0" applyFill="0" applyAlignment="0"/>
    <xf numFmtId="0" fontId="23" fillId="4" borderId="68" applyNumberFormat="0" applyFont="0" applyFill="0" applyAlignment="0"/>
    <xf numFmtId="0" fontId="25" fillId="5" borderId="0" applyNumberFormat="0" applyProtection="0">
      <alignment horizontal="left" wrapText="1" indent="4"/>
    </xf>
    <xf numFmtId="0" fontId="26" fillId="5" borderId="0" applyNumberFormat="0" applyProtection="0">
      <alignment horizontal="left" wrapText="1" indent="4"/>
    </xf>
    <xf numFmtId="0" fontId="24"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67"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167" fontId="5" fillId="0" borderId="0" applyFont="0" applyFill="0" applyBorder="0" applyAlignment="0" applyProtection="0"/>
    <xf numFmtId="165" fontId="20" fillId="0" borderId="0" applyFont="0" applyFill="0" applyBorder="0" applyAlignment="0" applyProtection="0"/>
    <xf numFmtId="168" fontId="20" fillId="0" borderId="0" applyFont="0" applyFill="0" applyBorder="0" applyAlignment="0" applyProtection="0"/>
    <xf numFmtId="170" fontId="2" fillId="0" borderId="0" applyFont="0" applyFill="0" applyBorder="0" applyAlignment="0" applyProtection="0"/>
    <xf numFmtId="169" fontId="20" fillId="0" borderId="0" applyFont="0" applyFill="0" applyBorder="0" applyAlignment="0" applyProtection="0"/>
    <xf numFmtId="168" fontId="1" fillId="0" borderId="0" applyFont="0" applyFill="0" applyBorder="0" applyAlignment="0" applyProtection="0"/>
    <xf numFmtId="164" fontId="23"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3"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6" fillId="0" borderId="0" applyFill="0" applyBorder="0">
      <alignment wrapText="1"/>
    </xf>
    <xf numFmtId="0" fontId="21" fillId="0" borderId="0"/>
    <xf numFmtId="0" fontId="30" fillId="5" borderId="0" applyNumberFormat="0" applyBorder="0" applyProtection="0">
      <alignment horizontal="left" indent="1"/>
    </xf>
    <xf numFmtId="0" fontId="21" fillId="25" borderId="0" applyNumberFormat="0" applyBorder="0" applyAlignment="0" applyProtection="0"/>
    <xf numFmtId="44" fontId="20" fillId="0" borderId="0" applyFont="0" applyFill="0" applyBorder="0" applyAlignment="0" applyProtection="0"/>
  </cellStyleXfs>
  <cellXfs count="1287">
    <xf numFmtId="0" fontId="0" fillId="0" borderId="0" xfId="0"/>
    <xf numFmtId="9" fontId="4" fillId="9" borderId="1" xfId="27" applyFont="1" applyFill="1" applyBorder="1" applyAlignment="1" applyProtection="1">
      <alignment horizontal="center" vertical="center" wrapText="1"/>
      <protection locked="0"/>
    </xf>
    <xf numFmtId="9" fontId="3" fillId="0" borderId="2" xfId="21" applyNumberFormat="1" applyFont="1" applyBorder="1" applyAlignment="1">
      <alignment horizontal="center" vertical="center" wrapText="1"/>
    </xf>
    <xf numFmtId="175" fontId="20" fillId="0" borderId="0" xfId="3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7" applyFont="1" applyFill="1" applyBorder="1" applyAlignment="1" applyProtection="1">
      <alignment horizontal="center" vertical="center" wrapText="1"/>
      <protection locked="0"/>
    </xf>
    <xf numFmtId="9" fontId="3" fillId="10" borderId="2" xfId="21"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7" applyFont="1" applyFill="1" applyBorder="1" applyAlignment="1" applyProtection="1">
      <alignment horizontal="center" vertical="center" wrapText="1"/>
      <protection locked="0"/>
    </xf>
    <xf numFmtId="9" fontId="3" fillId="12" borderId="2" xfId="21"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7" applyFont="1" applyFill="1" applyBorder="1" applyAlignment="1" applyProtection="1">
      <alignment horizontal="center" vertical="center" wrapText="1"/>
      <protection locked="0"/>
    </xf>
    <xf numFmtId="9" fontId="3" fillId="10" borderId="9" xfId="21" applyNumberFormat="1" applyFont="1" applyFill="1" applyBorder="1" applyAlignment="1">
      <alignment horizontal="center" vertical="center" wrapText="1"/>
    </xf>
    <xf numFmtId="9" fontId="3" fillId="12" borderId="8" xfId="21"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7" applyFont="1" applyBorder="1" applyAlignment="1">
      <alignment horizontal="center" vertical="center"/>
    </xf>
    <xf numFmtId="0" fontId="0" fillId="0" borderId="0" xfId="0" applyAlignment="1">
      <alignment vertical="center"/>
    </xf>
    <xf numFmtId="0" fontId="12" fillId="19" borderId="69" xfId="21" applyFont="1" applyFill="1" applyBorder="1" applyAlignment="1">
      <alignment vertical="center" wrapText="1"/>
    </xf>
    <xf numFmtId="0" fontId="12" fillId="19" borderId="70" xfId="21" applyFont="1" applyFill="1" applyBorder="1" applyAlignment="1">
      <alignment vertical="center" wrapText="1"/>
    </xf>
    <xf numFmtId="0" fontId="12" fillId="19" borderId="71" xfId="21" applyFont="1" applyFill="1" applyBorder="1" applyAlignment="1">
      <alignment vertical="center" wrapText="1"/>
    </xf>
    <xf numFmtId="0" fontId="12" fillId="19" borderId="0" xfId="21" applyFont="1" applyFill="1" applyAlignment="1">
      <alignment vertical="center" wrapText="1"/>
    </xf>
    <xf numFmtId="0" fontId="14" fillId="19" borderId="0" xfId="21" applyFont="1" applyFill="1" applyAlignment="1">
      <alignment vertical="center" wrapText="1"/>
    </xf>
    <xf numFmtId="0" fontId="12" fillId="19" borderId="11" xfId="21" applyFont="1" applyFill="1" applyBorder="1" applyAlignment="1">
      <alignment vertical="center" wrapText="1"/>
    </xf>
    <xf numFmtId="0" fontId="11" fillId="19" borderId="11" xfId="21" applyFont="1" applyFill="1" applyBorder="1" applyAlignment="1">
      <alignment vertical="center" wrapText="1"/>
    </xf>
    <xf numFmtId="0" fontId="11" fillId="19" borderId="12" xfId="21" applyFont="1" applyFill="1" applyBorder="1" applyAlignment="1">
      <alignment vertical="center" wrapText="1"/>
    </xf>
    <xf numFmtId="0" fontId="12" fillId="19" borderId="13" xfId="21" applyFont="1" applyFill="1" applyBorder="1" applyAlignment="1">
      <alignment vertical="center" wrapText="1"/>
    </xf>
    <xf numFmtId="0" fontId="11" fillId="19" borderId="0" xfId="21" applyFont="1" applyFill="1" applyAlignment="1">
      <alignment vertical="center" wrapText="1"/>
    </xf>
    <xf numFmtId="0" fontId="11" fillId="19" borderId="14" xfId="21"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1" applyFont="1" applyAlignment="1">
      <alignment horizontal="center" vertical="center" wrapText="1"/>
    </xf>
    <xf numFmtId="0" fontId="12" fillId="0" borderId="14" xfId="21" applyFont="1" applyBorder="1" applyAlignment="1">
      <alignment horizontal="center" vertical="center" wrapText="1"/>
    </xf>
    <xf numFmtId="0" fontId="12" fillId="19" borderId="13" xfId="21" applyFont="1" applyFill="1" applyBorder="1" applyAlignment="1">
      <alignment horizontal="center" vertical="center" wrapText="1"/>
    </xf>
    <xf numFmtId="0" fontId="12" fillId="19" borderId="75" xfId="21" applyFont="1" applyFill="1" applyBorder="1" applyAlignment="1">
      <alignment horizontal="center" vertical="center" wrapText="1"/>
    </xf>
    <xf numFmtId="0" fontId="15" fillId="19" borderId="0" xfId="21" applyFont="1" applyFill="1" applyAlignment="1">
      <alignment horizontal="center" vertical="center" wrapText="1"/>
    </xf>
    <xf numFmtId="0" fontId="12" fillId="19" borderId="0" xfId="21" applyFont="1" applyFill="1" applyAlignment="1">
      <alignment horizontal="center" vertical="center" wrapText="1"/>
    </xf>
    <xf numFmtId="0" fontId="15" fillId="0" borderId="0" xfId="21" applyFont="1" applyAlignment="1">
      <alignment horizontal="center" vertical="center" wrapText="1"/>
    </xf>
    <xf numFmtId="0" fontId="0" fillId="0" borderId="0" xfId="0" applyAlignment="1">
      <alignment horizontal="center" vertical="center" wrapText="1"/>
    </xf>
    <xf numFmtId="0" fontId="11" fillId="19" borderId="15" xfId="21" applyFont="1" applyFill="1" applyBorder="1" applyAlignment="1">
      <alignment vertical="center" wrapText="1"/>
    </xf>
    <xf numFmtId="0" fontId="11" fillId="19" borderId="16" xfId="21" applyFont="1" applyFill="1" applyBorder="1" applyAlignment="1">
      <alignment vertical="center" wrapText="1"/>
    </xf>
    <xf numFmtId="9" fontId="12" fillId="0" borderId="17" xfId="27" applyFont="1" applyFill="1" applyBorder="1" applyAlignment="1" applyProtection="1">
      <alignment horizontal="center" vertical="center" wrapText="1"/>
    </xf>
    <xf numFmtId="0" fontId="16" fillId="2" borderId="0" xfId="21"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12" fillId="19" borderId="0" xfId="21" applyFont="1" applyFill="1" applyAlignment="1">
      <alignment horizontal="left" vertical="center" wrapText="1"/>
    </xf>
    <xf numFmtId="0" fontId="0" fillId="19" borderId="0" xfId="0" applyFill="1" applyAlignment="1">
      <alignment vertical="center"/>
    </xf>
    <xf numFmtId="0" fontId="11" fillId="19" borderId="13" xfId="21" applyFont="1" applyFill="1" applyBorder="1" applyAlignment="1">
      <alignment vertical="center" wrapText="1"/>
    </xf>
    <xf numFmtId="175" fontId="0" fillId="0" borderId="0" xfId="0" applyNumberFormat="1" applyAlignment="1">
      <alignment vertical="center"/>
    </xf>
    <xf numFmtId="174" fontId="0" fillId="19" borderId="0" xfId="0" applyNumberFormat="1" applyFill="1" applyAlignment="1">
      <alignment vertical="center"/>
    </xf>
    <xf numFmtId="0" fontId="11" fillId="0" borderId="18" xfId="21" applyFont="1" applyBorder="1" applyAlignment="1">
      <alignment horizontal="left" vertical="center" wrapText="1"/>
    </xf>
    <xf numFmtId="166" fontId="12" fillId="0" borderId="10" xfId="11" applyFont="1" applyFill="1" applyBorder="1" applyAlignment="1" applyProtection="1">
      <alignment horizontal="center" vertical="center" wrapText="1"/>
    </xf>
    <xf numFmtId="165" fontId="20" fillId="0" borderId="0" xfId="14" applyFont="1" applyAlignment="1">
      <alignment vertical="center"/>
    </xf>
    <xf numFmtId="0" fontId="12" fillId="20" borderId="1" xfId="21" applyFont="1" applyFill="1" applyBorder="1" applyAlignment="1">
      <alignment horizontal="center" vertical="center" wrapText="1"/>
    </xf>
    <xf numFmtId="0" fontId="12" fillId="0" borderId="10" xfId="21" applyFont="1" applyBorder="1" applyAlignment="1">
      <alignment horizontal="center" vertical="center" wrapText="1"/>
    </xf>
    <xf numFmtId="0" fontId="12" fillId="0" borderId="4" xfId="21" applyFont="1" applyBorder="1" applyAlignment="1">
      <alignment horizontal="left" vertical="center" wrapText="1"/>
    </xf>
    <xf numFmtId="0" fontId="12" fillId="9" borderId="19" xfId="21" applyFont="1" applyFill="1" applyBorder="1" applyAlignment="1">
      <alignment horizontal="left" vertical="center" wrapText="1"/>
    </xf>
    <xf numFmtId="9" fontId="33" fillId="9" borderId="19" xfId="29" applyFont="1" applyFill="1" applyBorder="1" applyAlignment="1" applyProtection="1">
      <alignment vertical="center" wrapText="1"/>
    </xf>
    <xf numFmtId="173" fontId="12" fillId="9" borderId="19" xfId="27" applyNumberFormat="1" applyFont="1" applyFill="1" applyBorder="1" applyAlignment="1" applyProtection="1">
      <alignment vertical="center" wrapText="1"/>
    </xf>
    <xf numFmtId="165" fontId="31" fillId="0" borderId="0" xfId="14" applyFont="1" applyAlignment="1">
      <alignment vertical="center"/>
    </xf>
    <xf numFmtId="9" fontId="11" fillId="0" borderId="4" xfId="28" applyFont="1" applyFill="1" applyBorder="1" applyAlignment="1" applyProtection="1">
      <alignment horizontal="center" vertical="center" wrapText="1"/>
      <protection locked="0"/>
    </xf>
    <xf numFmtId="9" fontId="12" fillId="0" borderId="20" xfId="21" applyNumberFormat="1" applyFont="1" applyBorder="1" applyAlignment="1">
      <alignment horizontal="center" vertical="center" wrapText="1"/>
    </xf>
    <xf numFmtId="9" fontId="12" fillId="0" borderId="0" xfId="21" applyNumberFormat="1" applyFont="1" applyAlignment="1">
      <alignment vertical="center" wrapText="1"/>
    </xf>
    <xf numFmtId="0" fontId="31" fillId="0" borderId="0" xfId="0" applyFont="1" applyAlignment="1">
      <alignment vertical="center"/>
    </xf>
    <xf numFmtId="0" fontId="12" fillId="9" borderId="1" xfId="21" applyFont="1" applyFill="1" applyBorder="1" applyAlignment="1">
      <alignment horizontal="left" vertical="center" wrapText="1"/>
    </xf>
    <xf numFmtId="9" fontId="11" fillId="9" borderId="1" xfId="27" applyFont="1" applyFill="1" applyBorder="1" applyAlignment="1" applyProtection="1">
      <alignment horizontal="center" vertical="center" wrapText="1"/>
      <protection locked="0"/>
    </xf>
    <xf numFmtId="9" fontId="12" fillId="0" borderId="2" xfId="21" applyNumberFormat="1" applyFont="1" applyBorder="1" applyAlignment="1">
      <alignment horizontal="center" vertical="center" wrapText="1"/>
    </xf>
    <xf numFmtId="0" fontId="12" fillId="0" borderId="1" xfId="21" applyFont="1" applyBorder="1" applyAlignment="1">
      <alignment horizontal="left" vertical="center" wrapText="1"/>
    </xf>
    <xf numFmtId="9" fontId="11" fillId="0" borderId="1" xfId="28" applyFont="1" applyFill="1" applyBorder="1" applyAlignment="1" applyProtection="1">
      <alignment horizontal="center" vertical="center" wrapText="1"/>
      <protection locked="0"/>
    </xf>
    <xf numFmtId="9" fontId="11" fillId="9" borderId="2" xfId="27" applyFont="1" applyFill="1" applyBorder="1" applyAlignment="1" applyProtection="1">
      <alignment horizontal="center" vertical="center" wrapText="1"/>
      <protection locked="0"/>
    </xf>
    <xf numFmtId="9" fontId="11" fillId="9" borderId="19" xfId="27" applyFont="1" applyFill="1" applyBorder="1" applyAlignment="1" applyProtection="1">
      <alignment horizontal="center" vertical="center" wrapText="1"/>
      <protection locked="0"/>
    </xf>
    <xf numFmtId="9" fontId="11" fillId="9" borderId="21" xfId="27" applyFont="1" applyFill="1" applyBorder="1" applyAlignment="1" applyProtection="1">
      <alignment horizontal="center" vertical="center" wrapText="1"/>
      <protection locked="0"/>
    </xf>
    <xf numFmtId="9" fontId="12" fillId="0" borderId="21" xfId="21" applyNumberFormat="1" applyFont="1" applyBorder="1" applyAlignment="1">
      <alignment horizontal="center" vertical="center" wrapText="1"/>
    </xf>
    <xf numFmtId="0" fontId="32" fillId="0" borderId="0" xfId="0" applyFont="1" applyAlignment="1">
      <alignment vertical="center"/>
    </xf>
    <xf numFmtId="0" fontId="34" fillId="9" borderId="1" xfId="0" applyFont="1" applyFill="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35" fillId="9" borderId="1" xfId="0" applyFont="1" applyFill="1" applyBorder="1" applyAlignment="1">
      <alignment horizontal="center" vertical="center"/>
    </xf>
    <xf numFmtId="0" fontId="32" fillId="0" borderId="0" xfId="0" applyFont="1" applyAlignment="1">
      <alignment horizontal="center" vertical="center"/>
    </xf>
    <xf numFmtId="0" fontId="36" fillId="0" borderId="1" xfId="0" applyFont="1" applyBorder="1" applyAlignment="1">
      <alignment vertical="center"/>
    </xf>
    <xf numFmtId="0" fontId="35"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6" fillId="0" borderId="0" xfId="0" applyFont="1" applyAlignment="1">
      <alignment vertical="center"/>
    </xf>
    <xf numFmtId="0" fontId="34" fillId="0" borderId="0" xfId="0" applyFont="1" applyAlignment="1">
      <alignment horizontal="left" vertical="center"/>
    </xf>
    <xf numFmtId="0" fontId="34"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4" fillId="21" borderId="1" xfId="0" applyFont="1" applyFill="1" applyBorder="1" applyAlignment="1">
      <alignment horizontal="center" vertical="center"/>
    </xf>
    <xf numFmtId="0" fontId="34" fillId="0" borderId="1" xfId="0" applyFont="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4" fillId="0" borderId="1" xfId="0" applyFont="1" applyBorder="1" applyAlignment="1">
      <alignment horizontal="center" vertical="center" wrapText="1"/>
    </xf>
    <xf numFmtId="0" fontId="32" fillId="0" borderId="1" xfId="0" applyFont="1" applyBorder="1" applyAlignment="1">
      <alignment vertical="center" wrapText="1"/>
    </xf>
    <xf numFmtId="0" fontId="34" fillId="0" borderId="1" xfId="0" applyFont="1" applyBorder="1" applyAlignment="1">
      <alignment vertical="center" wrapText="1"/>
    </xf>
    <xf numFmtId="0" fontId="11" fillId="19" borderId="1" xfId="0" applyFont="1" applyFill="1" applyBorder="1" applyAlignment="1">
      <alignment horizontal="left" vertical="center" wrapText="1"/>
    </xf>
    <xf numFmtId="0" fontId="34" fillId="0" borderId="10" xfId="0" applyFont="1" applyBorder="1" applyAlignment="1">
      <alignment horizontal="left" vertical="center" wrapText="1"/>
    </xf>
    <xf numFmtId="0" fontId="32" fillId="0" borderId="10" xfId="0" applyFont="1" applyBorder="1" applyAlignment="1">
      <alignment horizontal="left" vertical="center"/>
    </xf>
    <xf numFmtId="0" fontId="12" fillId="19" borderId="2" xfId="21" applyFont="1" applyFill="1" applyBorder="1" applyAlignment="1">
      <alignment horizontal="center" vertical="center" wrapText="1"/>
    </xf>
    <xf numFmtId="0" fontId="12" fillId="19" borderId="5" xfId="21" applyFont="1" applyFill="1" applyBorder="1" applyAlignment="1">
      <alignment horizontal="center" vertical="center" wrapText="1"/>
    </xf>
    <xf numFmtId="0" fontId="12" fillId="0" borderId="2" xfId="21" applyFont="1" applyBorder="1" applyAlignment="1">
      <alignment horizontal="center" vertical="center" wrapText="1"/>
    </xf>
    <xf numFmtId="0" fontId="12" fillId="0" borderId="26" xfId="21"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9" fontId="12" fillId="0" borderId="10" xfId="27" applyFont="1" applyFill="1" applyBorder="1" applyAlignment="1" applyProtection="1">
      <alignment horizontal="center" vertical="center" wrapText="1"/>
    </xf>
    <xf numFmtId="9" fontId="12" fillId="9" borderId="19" xfId="27" applyFont="1" applyFill="1" applyBorder="1" applyAlignment="1" applyProtection="1">
      <alignment horizontal="center" vertical="center" wrapText="1"/>
    </xf>
    <xf numFmtId="0" fontId="12" fillId="19" borderId="30" xfId="21" applyFont="1" applyFill="1" applyBorder="1" applyAlignment="1">
      <alignment horizontal="center" vertical="center" wrapText="1"/>
    </xf>
    <xf numFmtId="0" fontId="12" fillId="19" borderId="22" xfId="21" applyFont="1" applyFill="1" applyBorder="1" applyAlignment="1">
      <alignment horizontal="center" vertical="center" wrapText="1"/>
    </xf>
    <xf numFmtId="0" fontId="12" fillId="19" borderId="23" xfId="21" applyFont="1" applyFill="1" applyBorder="1" applyAlignment="1">
      <alignment horizontal="center" vertical="center" wrapText="1"/>
    </xf>
    <xf numFmtId="0" fontId="31" fillId="0" borderId="0" xfId="0" applyFont="1" applyAlignment="1">
      <alignment horizontal="center" vertical="center" wrapText="1"/>
    </xf>
    <xf numFmtId="0" fontId="0" fillId="0" borderId="0" xfId="0" applyAlignment="1">
      <alignment horizontal="center" vertical="center"/>
    </xf>
    <xf numFmtId="0" fontId="12" fillId="0" borderId="13" xfId="21" applyFont="1" applyBorder="1" applyAlignment="1">
      <alignment vertical="center" wrapText="1"/>
    </xf>
    <xf numFmtId="0" fontId="11" fillId="0" borderId="14" xfId="21" applyFont="1" applyBorder="1" applyAlignment="1">
      <alignment vertical="center" wrapText="1"/>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6" fontId="13" fillId="0" borderId="1" xfId="14" applyNumberFormat="1" applyFont="1" applyFill="1" applyBorder="1" applyAlignment="1">
      <alignment horizontal="center" vertical="center"/>
    </xf>
    <xf numFmtId="0" fontId="17" fillId="23" borderId="1" xfId="0" applyFont="1" applyFill="1" applyBorder="1" applyAlignment="1">
      <alignment horizontal="center" vertical="center"/>
    </xf>
    <xf numFmtId="0" fontId="17" fillId="0" borderId="1" xfId="0" applyFont="1" applyBorder="1" applyAlignment="1">
      <alignment horizontal="center" vertical="center" wrapText="1"/>
    </xf>
    <xf numFmtId="2" fontId="12" fillId="0" borderId="10" xfId="21" applyNumberFormat="1" applyFont="1" applyBorder="1" applyAlignment="1">
      <alignment horizontal="center" vertical="center" wrapText="1"/>
    </xf>
    <xf numFmtId="0" fontId="12" fillId="9" borderId="10" xfId="21" applyFont="1" applyFill="1" applyBorder="1" applyAlignment="1">
      <alignment horizontal="left" vertical="center" wrapText="1"/>
    </xf>
    <xf numFmtId="9" fontId="12" fillId="0" borderId="1" xfId="21" applyNumberFormat="1" applyFont="1" applyBorder="1" applyAlignment="1">
      <alignment horizontal="center" vertical="center" wrapText="1"/>
    </xf>
    <xf numFmtId="0" fontId="31" fillId="26" borderId="40" xfId="0" applyFont="1" applyFill="1" applyBorder="1" applyAlignment="1">
      <alignment horizontal="center" vertical="center" wrapText="1"/>
    </xf>
    <xf numFmtId="0" fontId="31" fillId="26" borderId="47" xfId="0" applyFont="1" applyFill="1" applyBorder="1" applyAlignment="1">
      <alignment horizontal="center" vertical="center" wrapText="1"/>
    </xf>
    <xf numFmtId="0" fontId="31" fillId="27" borderId="47" xfId="0" applyFont="1" applyFill="1" applyBorder="1" applyAlignment="1">
      <alignment horizontal="center" vertical="center" wrapText="1"/>
    </xf>
    <xf numFmtId="0" fontId="31" fillId="26" borderId="48" xfId="0" applyFont="1" applyFill="1" applyBorder="1" applyAlignment="1">
      <alignment horizontal="center" vertical="center" wrapText="1"/>
    </xf>
    <xf numFmtId="4" fontId="0" fillId="0" borderId="1" xfId="0" applyNumberFormat="1" applyBorder="1" applyAlignment="1">
      <alignment horizontal="right" vertical="center"/>
    </xf>
    <xf numFmtId="4" fontId="31" fillId="26" borderId="1" xfId="0" applyNumberFormat="1" applyFont="1" applyFill="1" applyBorder="1" applyAlignment="1">
      <alignment horizontal="right" vertical="center"/>
    </xf>
    <xf numFmtId="4" fontId="31" fillId="26" borderId="9" xfId="0" applyNumberFormat="1" applyFont="1" applyFill="1" applyBorder="1" applyAlignment="1">
      <alignment horizontal="right" vertical="center"/>
    </xf>
    <xf numFmtId="4" fontId="0" fillId="26" borderId="1" xfId="0" applyNumberFormat="1" applyFill="1" applyBorder="1" applyAlignment="1">
      <alignment horizontal="right" vertical="center"/>
    </xf>
    <xf numFmtId="4" fontId="0" fillId="26" borderId="19" xfId="0" applyNumberFormat="1" applyFill="1" applyBorder="1" applyAlignment="1">
      <alignment horizontal="right" vertical="center"/>
    </xf>
    <xf numFmtId="4" fontId="31" fillId="26" borderId="19" xfId="0" applyNumberFormat="1" applyFont="1" applyFill="1" applyBorder="1" applyAlignment="1">
      <alignment horizontal="right" vertical="center"/>
    </xf>
    <xf numFmtId="177" fontId="12" fillId="0" borderId="10" xfId="10" applyNumberFormat="1" applyFont="1" applyFill="1" applyBorder="1" applyAlignment="1" applyProtection="1">
      <alignment horizontal="center" vertical="center" wrapText="1"/>
    </xf>
    <xf numFmtId="9" fontId="0" fillId="0" borderId="0" xfId="27" applyFont="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4" fontId="0" fillId="0" borderId="9" xfId="0" applyNumberFormat="1" applyBorder="1" applyAlignment="1">
      <alignment vertical="center"/>
    </xf>
    <xf numFmtId="4" fontId="0" fillId="26" borderId="9" xfId="0" applyNumberFormat="1" applyFill="1" applyBorder="1" applyAlignment="1">
      <alignment vertical="center"/>
    </xf>
    <xf numFmtId="4" fontId="0" fillId="26" borderId="33" xfId="0" applyNumberFormat="1" applyFill="1" applyBorder="1" applyAlignment="1">
      <alignment vertical="center"/>
    </xf>
    <xf numFmtId="9" fontId="0" fillId="0" borderId="0" xfId="0" applyNumberFormat="1" applyAlignment="1">
      <alignment horizontal="center" vertical="center"/>
    </xf>
    <xf numFmtId="9" fontId="31" fillId="0" borderId="0" xfId="0" applyNumberFormat="1" applyFont="1" applyAlignment="1">
      <alignment horizontal="center" vertical="center"/>
    </xf>
    <xf numFmtId="0" fontId="45" fillId="0" borderId="0" xfId="0" applyFont="1"/>
    <xf numFmtId="0" fontId="46" fillId="0" borderId="0" xfId="0" applyFont="1"/>
    <xf numFmtId="0" fontId="44" fillId="0" borderId="0" xfId="0" applyFont="1"/>
    <xf numFmtId="0" fontId="43" fillId="28" borderId="76" xfId="0" applyFont="1" applyFill="1" applyBorder="1" applyAlignment="1">
      <alignment horizontal="center" vertical="center" wrapText="1"/>
    </xf>
    <xf numFmtId="0" fontId="43" fillId="0" borderId="76" xfId="0" applyFont="1" applyBorder="1" applyAlignment="1">
      <alignment horizontal="center" vertical="center" wrapText="1"/>
    </xf>
    <xf numFmtId="0" fontId="46" fillId="0" borderId="0" xfId="0" applyFont="1" applyAlignment="1">
      <alignment horizontal="center" vertical="center"/>
    </xf>
    <xf numFmtId="0" fontId="43" fillId="29" borderId="76" xfId="0" applyFont="1" applyFill="1" applyBorder="1" applyAlignment="1">
      <alignment horizontal="center" vertical="center" wrapText="1"/>
    </xf>
    <xf numFmtId="178" fontId="46" fillId="29" borderId="0" xfId="0" applyNumberFormat="1" applyFont="1" applyFill="1" applyAlignment="1">
      <alignment horizontal="center" vertical="center"/>
    </xf>
    <xf numFmtId="178" fontId="47" fillId="29" borderId="0" xfId="0" applyNumberFormat="1" applyFont="1" applyFill="1" applyAlignment="1">
      <alignment horizontal="center" vertical="center"/>
    </xf>
    <xf numFmtId="0" fontId="46" fillId="30" borderId="0" xfId="0" applyFont="1" applyFill="1" applyAlignment="1">
      <alignment horizontal="center" vertical="center"/>
    </xf>
    <xf numFmtId="179" fontId="47" fillId="30" borderId="0" xfId="0" applyNumberFormat="1" applyFont="1" applyFill="1" applyAlignment="1">
      <alignment horizontal="center" vertical="center"/>
    </xf>
    <xf numFmtId="0" fontId="4" fillId="0" borderId="0" xfId="0" applyFont="1" applyAlignment="1">
      <alignment vertical="center"/>
    </xf>
    <xf numFmtId="0" fontId="45" fillId="0" borderId="0" xfId="0" applyFont="1" applyAlignment="1">
      <alignment vertical="center"/>
    </xf>
    <xf numFmtId="0" fontId="12" fillId="20" borderId="10" xfId="21" applyFont="1" applyFill="1" applyBorder="1" applyAlignment="1">
      <alignment horizontal="center" vertical="center" wrapText="1"/>
    </xf>
    <xf numFmtId="0" fontId="12" fillId="0" borderId="47" xfId="21" applyFont="1" applyBorder="1" applyAlignment="1">
      <alignment horizontal="left" vertical="center" wrapText="1"/>
    </xf>
    <xf numFmtId="9" fontId="11" fillId="0" borderId="47" xfId="28" applyFont="1" applyFill="1" applyBorder="1" applyAlignment="1" applyProtection="1">
      <alignment horizontal="center" vertical="center" wrapText="1"/>
      <protection locked="0"/>
    </xf>
    <xf numFmtId="180" fontId="12" fillId="0" borderId="10" xfId="21" applyNumberFormat="1" applyFont="1" applyBorder="1" applyAlignment="1">
      <alignment horizontal="center" vertical="center" wrapText="1"/>
    </xf>
    <xf numFmtId="0" fontId="48" fillId="32" borderId="1" xfId="33" applyFont="1" applyFill="1" applyBorder="1" applyAlignment="1">
      <alignment horizontal="center" vertical="center" wrapText="1"/>
    </xf>
    <xf numFmtId="0" fontId="48" fillId="33" borderId="1" xfId="33" applyFont="1" applyFill="1" applyBorder="1" applyAlignment="1">
      <alignment horizontal="center" vertical="center" wrapText="1"/>
    </xf>
    <xf numFmtId="0" fontId="48" fillId="15" borderId="1" xfId="33" applyFont="1" applyFill="1" applyBorder="1" applyAlignment="1">
      <alignment horizontal="center" vertical="center" wrapText="1"/>
    </xf>
    <xf numFmtId="41" fontId="48" fillId="15" borderId="1" xfId="12" applyFont="1" applyFill="1" applyBorder="1" applyAlignment="1">
      <alignment horizontal="center" vertical="center" wrapText="1"/>
    </xf>
    <xf numFmtId="165" fontId="48" fillId="15" borderId="1" xfId="14" applyFont="1" applyFill="1" applyBorder="1" applyAlignment="1">
      <alignment horizontal="center" vertical="center" wrapText="1"/>
    </xf>
    <xf numFmtId="181" fontId="48" fillId="15" borderId="1" xfId="33" applyNumberFormat="1" applyFont="1" applyFill="1" applyBorder="1" applyAlignment="1">
      <alignment horizontal="center" vertical="center" wrapText="1"/>
    </xf>
    <xf numFmtId="181" fontId="49" fillId="0" borderId="1" xfId="33" applyNumberFormat="1" applyFont="1" applyFill="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33" borderId="1" xfId="0" applyFont="1" applyFill="1" applyBorder="1" applyAlignment="1">
      <alignment horizontal="center" vertical="center"/>
    </xf>
    <xf numFmtId="0" fontId="5" fillId="0" borderId="1" xfId="0" applyFont="1" applyBorder="1" applyAlignment="1">
      <alignment horizontal="right" vertical="center"/>
    </xf>
    <xf numFmtId="9" fontId="5" fillId="0" borderId="1" xfId="27" applyFont="1" applyFill="1" applyBorder="1" applyAlignment="1">
      <alignment horizontal="center" vertical="center"/>
    </xf>
    <xf numFmtId="0" fontId="5" fillId="34" borderId="1" xfId="0" applyFont="1" applyFill="1" applyBorder="1" applyAlignment="1">
      <alignment vertical="center"/>
    </xf>
    <xf numFmtId="0" fontId="53" fillId="0" borderId="1" xfId="0" applyFont="1" applyBorder="1" applyAlignment="1">
      <alignment horizontal="left" vertical="center"/>
    </xf>
    <xf numFmtId="0" fontId="5" fillId="0" borderId="1" xfId="0" applyFont="1" applyBorder="1" applyAlignment="1">
      <alignment vertical="center"/>
    </xf>
    <xf numFmtId="4" fontId="5" fillId="0" borderId="1" xfId="0" applyNumberFormat="1" applyFont="1" applyBorder="1" applyAlignment="1">
      <alignment horizontal="right" vertical="center"/>
    </xf>
    <xf numFmtId="0" fontId="54" fillId="0" borderId="0" xfId="0" applyFont="1"/>
    <xf numFmtId="15" fontId="55" fillId="0" borderId="0" xfId="0" applyNumberFormat="1" applyFont="1" applyAlignment="1">
      <alignment horizontal="center" vertical="center" wrapText="1"/>
    </xf>
    <xf numFmtId="0" fontId="55" fillId="0" borderId="0" xfId="0" applyFont="1" applyAlignment="1">
      <alignment horizontal="center" vertical="center" wrapText="1"/>
    </xf>
    <xf numFmtId="0" fontId="55" fillId="0" borderId="0" xfId="0" applyFont="1" applyAlignment="1">
      <alignment wrapText="1"/>
    </xf>
    <xf numFmtId="0" fontId="56" fillId="0" borderId="0" xfId="0" applyFont="1" applyAlignment="1">
      <alignment wrapText="1"/>
    </xf>
    <xf numFmtId="0" fontId="5" fillId="34" borderId="4" xfId="0" applyFont="1" applyFill="1" applyBorder="1" applyAlignment="1">
      <alignment vertical="center"/>
    </xf>
    <xf numFmtId="0" fontId="5" fillId="0" borderId="0" xfId="0" applyFont="1"/>
    <xf numFmtId="0" fontId="54" fillId="0" borderId="0" xfId="0" applyFont="1" applyAlignment="1">
      <alignment wrapText="1"/>
    </xf>
    <xf numFmtId="0" fontId="57" fillId="0" borderId="0" xfId="0" applyFont="1" applyAlignment="1">
      <alignment vertical="center"/>
    </xf>
    <xf numFmtId="14" fontId="56" fillId="0" borderId="0" xfId="0" applyNumberFormat="1" applyFont="1" applyAlignment="1">
      <alignment wrapText="1"/>
    </xf>
    <xf numFmtId="0" fontId="57" fillId="24" borderId="0" xfId="0" applyFont="1" applyFill="1" applyAlignment="1">
      <alignment vertical="center"/>
    </xf>
    <xf numFmtId="0" fontId="5" fillId="0" borderId="0" xfId="0" applyFont="1" applyAlignment="1">
      <alignment vertical="center"/>
    </xf>
    <xf numFmtId="168" fontId="5" fillId="0" borderId="1" xfId="15" applyFont="1" applyBorder="1" applyAlignment="1">
      <alignment horizontal="left" vertical="center"/>
    </xf>
    <xf numFmtId="167" fontId="58" fillId="0" borderId="4" xfId="0" applyNumberFormat="1" applyFont="1" applyBorder="1" applyAlignment="1">
      <alignment horizontal="right" vertical="center" wrapText="1"/>
    </xf>
    <xf numFmtId="0" fontId="58" fillId="0" borderId="4" xfId="0" applyFont="1" applyBorder="1" applyAlignment="1">
      <alignment vertical="center"/>
    </xf>
    <xf numFmtId="0" fontId="5" fillId="35" borderId="1" xfId="0" applyFont="1" applyFill="1" applyBorder="1" applyAlignment="1">
      <alignment horizontal="left" vertical="center"/>
    </xf>
    <xf numFmtId="0" fontId="5" fillId="35" borderId="1" xfId="0" applyFont="1" applyFill="1" applyBorder="1" applyAlignment="1">
      <alignment horizontal="center" vertical="center"/>
    </xf>
    <xf numFmtId="0" fontId="5" fillId="35" borderId="1" xfId="0" applyFont="1" applyFill="1" applyBorder="1" applyAlignment="1">
      <alignment horizontal="right" vertical="center"/>
    </xf>
    <xf numFmtId="9" fontId="5" fillId="35" borderId="1" xfId="27" applyFont="1" applyFill="1" applyBorder="1" applyAlignment="1">
      <alignment horizontal="center" vertical="center"/>
    </xf>
    <xf numFmtId="0" fontId="58" fillId="35" borderId="4" xfId="0" applyFont="1" applyFill="1" applyBorder="1" applyAlignment="1">
      <alignment vertical="center" wrapText="1"/>
    </xf>
    <xf numFmtId="0" fontId="58" fillId="36" borderId="25" xfId="0" applyFont="1" applyFill="1" applyBorder="1" applyAlignment="1">
      <alignment vertical="center"/>
    </xf>
    <xf numFmtId="0" fontId="5" fillId="35" borderId="1" xfId="0" applyFont="1" applyFill="1" applyBorder="1" applyAlignment="1">
      <alignment vertical="center"/>
    </xf>
    <xf numFmtId="167" fontId="58" fillId="35" borderId="4" xfId="0" applyNumberFormat="1" applyFont="1" applyFill="1" applyBorder="1" applyAlignment="1">
      <alignment horizontal="right" vertical="center" wrapText="1"/>
    </xf>
    <xf numFmtId="167" fontId="5" fillId="35" borderId="1" xfId="0" applyNumberFormat="1" applyFont="1" applyFill="1" applyBorder="1" applyAlignment="1">
      <alignment vertical="center"/>
    </xf>
    <xf numFmtId="0" fontId="58" fillId="35" borderId="4" xfId="0" applyFont="1" applyFill="1" applyBorder="1" applyAlignment="1">
      <alignment vertical="center"/>
    </xf>
    <xf numFmtId="0" fontId="5" fillId="18" borderId="1" xfId="0" applyFont="1" applyFill="1" applyBorder="1" applyAlignment="1">
      <alignment horizontal="left" vertical="center"/>
    </xf>
    <xf numFmtId="0" fontId="5" fillId="18" borderId="1" xfId="0" applyFont="1" applyFill="1" applyBorder="1" applyAlignment="1">
      <alignment horizontal="center" vertical="center"/>
    </xf>
    <xf numFmtId="0" fontId="5" fillId="18" borderId="1" xfId="0" applyFont="1" applyFill="1" applyBorder="1" applyAlignment="1">
      <alignment horizontal="right" vertical="center"/>
    </xf>
    <xf numFmtId="9" fontId="5" fillId="18" borderId="1" xfId="27" applyFont="1" applyFill="1" applyBorder="1" applyAlignment="1">
      <alignment horizontal="center" vertical="center"/>
    </xf>
    <xf numFmtId="0" fontId="5" fillId="18" borderId="1" xfId="0" applyFont="1" applyFill="1" applyBorder="1" applyAlignment="1">
      <alignment vertical="center"/>
    </xf>
    <xf numFmtId="4" fontId="5" fillId="18" borderId="1" xfId="0" applyNumberFormat="1" applyFont="1" applyFill="1" applyBorder="1" applyAlignment="1">
      <alignment horizontal="right" vertical="center"/>
    </xf>
    <xf numFmtId="0" fontId="5" fillId="18" borderId="0" xfId="0" applyFont="1" applyFill="1"/>
    <xf numFmtId="15" fontId="55" fillId="18" borderId="0" xfId="0" applyNumberFormat="1" applyFont="1" applyFill="1" applyAlignment="1">
      <alignment horizontal="center" vertical="center" wrapText="1"/>
    </xf>
    <xf numFmtId="0" fontId="56" fillId="18" borderId="0" xfId="0" applyFont="1" applyFill="1" applyAlignment="1">
      <alignment wrapText="1"/>
    </xf>
    <xf numFmtId="4" fontId="56" fillId="18" borderId="0" xfId="0" applyNumberFormat="1" applyFont="1" applyFill="1" applyAlignment="1">
      <alignment wrapText="1"/>
    </xf>
    <xf numFmtId="0" fontId="0" fillId="18" borderId="0" xfId="0" applyFill="1"/>
    <xf numFmtId="0" fontId="53" fillId="18" borderId="1" xfId="0" applyFont="1" applyFill="1" applyBorder="1" applyAlignment="1">
      <alignment horizontal="left" vertical="center"/>
    </xf>
    <xf numFmtId="9" fontId="5" fillId="18" borderId="1" xfId="27" applyFont="1" applyFill="1" applyBorder="1" applyAlignment="1">
      <alignment horizontal="left" vertical="center"/>
    </xf>
    <xf numFmtId="168" fontId="5" fillId="18" borderId="1" xfId="15" applyFont="1" applyFill="1" applyBorder="1" applyAlignment="1">
      <alignment horizontal="left" vertical="center"/>
    </xf>
    <xf numFmtId="0" fontId="56" fillId="18" borderId="0" xfId="0" applyFont="1" applyFill="1"/>
    <xf numFmtId="0" fontId="5" fillId="18" borderId="1" xfId="10" applyNumberFormat="1" applyFont="1" applyFill="1" applyBorder="1" applyAlignment="1">
      <alignment horizontal="center" vertical="center"/>
    </xf>
    <xf numFmtId="167" fontId="58" fillId="18" borderId="1" xfId="0" applyNumberFormat="1" applyFont="1" applyFill="1" applyBorder="1" applyAlignment="1">
      <alignment horizontal="right" vertical="center" wrapText="1"/>
    </xf>
    <xf numFmtId="0" fontId="58" fillId="18" borderId="1" xfId="0" applyFont="1" applyFill="1" applyBorder="1" applyAlignment="1">
      <alignment vertical="center"/>
    </xf>
    <xf numFmtId="0" fontId="58" fillId="18" borderId="0" xfId="0" applyFont="1" applyFill="1"/>
    <xf numFmtId="0" fontId="31" fillId="0" borderId="0" xfId="0" applyFont="1"/>
    <xf numFmtId="3" fontId="32" fillId="0" borderId="0" xfId="0" applyNumberFormat="1" applyFont="1" applyAlignment="1">
      <alignment horizontal="center" vertical="center"/>
    </xf>
    <xf numFmtId="0" fontId="60" fillId="0" borderId="0" xfId="0" applyFont="1" applyAlignment="1">
      <alignment vertical="center" wrapText="1"/>
    </xf>
    <xf numFmtId="0" fontId="61" fillId="0" borderId="0" xfId="0" applyFont="1" applyAlignment="1">
      <alignment vertical="top"/>
    </xf>
    <xf numFmtId="0" fontId="60" fillId="0" borderId="0" xfId="0" applyFont="1" applyAlignment="1">
      <alignment vertical="top"/>
    </xf>
    <xf numFmtId="3" fontId="61" fillId="0" borderId="0" xfId="0" applyNumberFormat="1" applyFont="1" applyAlignment="1">
      <alignment vertical="top"/>
    </xf>
    <xf numFmtId="0" fontId="63" fillId="0" borderId="0" xfId="0" applyFont="1"/>
    <xf numFmtId="0" fontId="62" fillId="0" borderId="0" xfId="0" applyFont="1"/>
    <xf numFmtId="0" fontId="63" fillId="0" borderId="0" xfId="0" applyFont="1" applyAlignment="1">
      <alignment wrapText="1"/>
    </xf>
    <xf numFmtId="0" fontId="62" fillId="0" borderId="0" xfId="0" applyFont="1" applyAlignment="1">
      <alignment wrapText="1"/>
    </xf>
    <xf numFmtId="4" fontId="62" fillId="0" borderId="0" xfId="0" applyNumberFormat="1" applyFont="1"/>
    <xf numFmtId="0" fontId="62" fillId="18" borderId="0" xfId="0" applyFont="1" applyFill="1" applyAlignment="1">
      <alignment wrapText="1"/>
    </xf>
    <xf numFmtId="0" fontId="62" fillId="18" borderId="0" xfId="0" applyFont="1" applyFill="1"/>
    <xf numFmtId="0" fontId="63" fillId="18" borderId="0" xfId="0" applyFont="1" applyFill="1"/>
    <xf numFmtId="4" fontId="62" fillId="18" borderId="0" xfId="0" applyNumberFormat="1" applyFont="1" applyFill="1"/>
    <xf numFmtId="0" fontId="5" fillId="27" borderId="1" xfId="0" applyFont="1" applyFill="1" applyBorder="1" applyAlignment="1">
      <alignment horizontal="left" vertical="center"/>
    </xf>
    <xf numFmtId="0" fontId="5" fillId="27" borderId="1" xfId="0" applyFont="1" applyFill="1" applyBorder="1" applyAlignment="1">
      <alignment horizontal="center" vertical="center"/>
    </xf>
    <xf numFmtId="0" fontId="5" fillId="27" borderId="1" xfId="0" applyFont="1" applyFill="1" applyBorder="1" applyAlignment="1">
      <alignment horizontal="right" vertical="center"/>
    </xf>
    <xf numFmtId="9" fontId="5" fillId="27" borderId="1" xfId="27" applyFont="1" applyFill="1" applyBorder="1" applyAlignment="1">
      <alignment horizontal="left" vertical="center"/>
    </xf>
    <xf numFmtId="9" fontId="5" fillId="27" borderId="1" xfId="27" applyFont="1" applyFill="1" applyBorder="1" applyAlignment="1">
      <alignment horizontal="center" vertical="center"/>
    </xf>
    <xf numFmtId="0" fontId="5" fillId="27" borderId="1" xfId="10" applyNumberFormat="1" applyFont="1" applyFill="1" applyBorder="1" applyAlignment="1">
      <alignment horizontal="center" vertical="center"/>
    </xf>
    <xf numFmtId="168" fontId="5" fillId="27" borderId="1" xfId="15" applyFont="1" applyFill="1" applyBorder="1" applyAlignment="1">
      <alignment horizontal="left" vertical="center"/>
    </xf>
    <xf numFmtId="0" fontId="5" fillId="27" borderId="1" xfId="0" applyFont="1" applyFill="1" applyBorder="1" applyAlignment="1">
      <alignment vertical="center"/>
    </xf>
    <xf numFmtId="4" fontId="5" fillId="27" borderId="1" xfId="0" applyNumberFormat="1" applyFont="1" applyFill="1" applyBorder="1" applyAlignment="1">
      <alignment horizontal="right" vertical="center"/>
    </xf>
    <xf numFmtId="0" fontId="5" fillId="27" borderId="0" xfId="0" applyFont="1" applyFill="1"/>
    <xf numFmtId="15" fontId="55" fillId="27" borderId="0" xfId="0" applyNumberFormat="1" applyFont="1" applyFill="1" applyAlignment="1">
      <alignment horizontal="center" vertical="center" wrapText="1"/>
    </xf>
    <xf numFmtId="0" fontId="56" fillId="27" borderId="0" xfId="0" applyFont="1" applyFill="1"/>
    <xf numFmtId="0" fontId="62" fillId="27" borderId="0" xfId="0" applyFont="1" applyFill="1"/>
    <xf numFmtId="0" fontId="63" fillId="27" borderId="0" xfId="0" applyFont="1" applyFill="1"/>
    <xf numFmtId="4" fontId="62" fillId="27" borderId="0" xfId="0" applyNumberFormat="1" applyFont="1" applyFill="1"/>
    <xf numFmtId="0" fontId="0" fillId="27" borderId="0" xfId="0" applyFill="1"/>
    <xf numFmtId="4" fontId="56" fillId="27" borderId="0" xfId="0" applyNumberFormat="1" applyFont="1" applyFill="1" applyAlignment="1">
      <alignment wrapText="1"/>
    </xf>
    <xf numFmtId="171" fontId="62" fillId="0" borderId="0" xfId="0" applyNumberFormat="1" applyFont="1"/>
    <xf numFmtId="182" fontId="63" fillId="0" borderId="0" xfId="0" applyNumberFormat="1" applyFont="1"/>
    <xf numFmtId="182" fontId="63" fillId="18" borderId="0" xfId="0" applyNumberFormat="1" applyFont="1" applyFill="1"/>
    <xf numFmtId="182" fontId="63" fillId="27" borderId="0" xfId="0" applyNumberFormat="1" applyFont="1" applyFill="1"/>
    <xf numFmtId="182" fontId="62" fillId="0" borderId="0" xfId="0" applyNumberFormat="1" applyFont="1"/>
    <xf numFmtId="171" fontId="65" fillId="0" borderId="0" xfId="0" applyNumberFormat="1" applyFont="1"/>
    <xf numFmtId="4" fontId="41" fillId="0" borderId="1" xfId="0" applyNumberFormat="1" applyFont="1" applyBorder="1" applyAlignment="1">
      <alignment horizontal="right" vertical="center"/>
    </xf>
    <xf numFmtId="0" fontId="0" fillId="0" borderId="1" xfId="0" applyBorder="1" applyAlignment="1">
      <alignment vertical="center" wrapText="1"/>
    </xf>
    <xf numFmtId="0" fontId="63" fillId="0" borderId="0" xfId="0" applyFont="1" applyAlignment="1">
      <alignment vertical="center" wrapText="1"/>
    </xf>
    <xf numFmtId="182" fontId="63" fillId="38" borderId="0" xfId="0" applyNumberFormat="1" applyFont="1" applyFill="1"/>
    <xf numFmtId="4" fontId="5" fillId="38" borderId="1" xfId="0" applyNumberFormat="1" applyFont="1" applyFill="1" applyBorder="1" applyAlignment="1">
      <alignment horizontal="right" vertical="center"/>
    </xf>
    <xf numFmtId="0" fontId="66" fillId="18" borderId="1" xfId="0" applyFont="1" applyFill="1" applyBorder="1" applyAlignment="1">
      <alignment horizontal="left" vertical="center"/>
    </xf>
    <xf numFmtId="0" fontId="66" fillId="18" borderId="1" xfId="0" applyFont="1" applyFill="1" applyBorder="1" applyAlignment="1">
      <alignment horizontal="center" vertical="center"/>
    </xf>
    <xf numFmtId="0" fontId="66" fillId="18" borderId="1" xfId="0" applyFont="1" applyFill="1" applyBorder="1" applyAlignment="1">
      <alignment horizontal="right" vertical="center"/>
    </xf>
    <xf numFmtId="9" fontId="66" fillId="18" borderId="1" xfId="27" applyFont="1" applyFill="1" applyBorder="1" applyAlignment="1">
      <alignment horizontal="center" vertical="center"/>
    </xf>
    <xf numFmtId="0" fontId="66" fillId="18" borderId="1" xfId="0" applyFont="1" applyFill="1" applyBorder="1" applyAlignment="1">
      <alignment vertical="center"/>
    </xf>
    <xf numFmtId="4" fontId="66" fillId="18" borderId="1" xfId="0" applyNumberFormat="1" applyFont="1" applyFill="1" applyBorder="1" applyAlignment="1">
      <alignment horizontal="right" vertical="center"/>
    </xf>
    <xf numFmtId="0" fontId="66" fillId="18" borderId="0" xfId="0" applyFont="1" applyFill="1"/>
    <xf numFmtId="15" fontId="67" fillId="18" borderId="0" xfId="0" applyNumberFormat="1" applyFont="1" applyFill="1" applyAlignment="1">
      <alignment horizontal="center" vertical="center" wrapText="1"/>
    </xf>
    <xf numFmtId="0" fontId="66" fillId="18" borderId="0" xfId="0" applyFont="1" applyFill="1" applyAlignment="1">
      <alignment wrapText="1"/>
    </xf>
    <xf numFmtId="0" fontId="65" fillId="18" borderId="0" xfId="0" applyFont="1" applyFill="1" applyAlignment="1">
      <alignment wrapText="1"/>
    </xf>
    <xf numFmtId="182" fontId="68" fillId="18" borderId="0" xfId="0" applyNumberFormat="1" applyFont="1" applyFill="1"/>
    <xf numFmtId="4" fontId="65" fillId="18" borderId="0" xfId="0" applyNumberFormat="1" applyFont="1" applyFill="1"/>
    <xf numFmtId="0" fontId="65" fillId="18" borderId="0" xfId="0" applyFont="1" applyFill="1"/>
    <xf numFmtId="0" fontId="68" fillId="18" borderId="0" xfId="0" applyFont="1" applyFill="1"/>
    <xf numFmtId="0" fontId="41" fillId="18" borderId="0" xfId="0" applyFont="1" applyFill="1"/>
    <xf numFmtId="9" fontId="66" fillId="18" borderId="1" xfId="27" applyFont="1" applyFill="1" applyBorder="1" applyAlignment="1">
      <alignment horizontal="left" vertical="center"/>
    </xf>
    <xf numFmtId="0" fontId="66" fillId="18" borderId="5" xfId="0" applyFont="1" applyFill="1" applyBorder="1" applyAlignment="1">
      <alignment vertical="center"/>
    </xf>
    <xf numFmtId="0" fontId="66" fillId="18" borderId="1" xfId="10" applyNumberFormat="1" applyFont="1" applyFill="1" applyBorder="1" applyAlignment="1">
      <alignment horizontal="center" vertical="center"/>
    </xf>
    <xf numFmtId="0" fontId="66" fillId="18" borderId="4" xfId="0" applyFont="1" applyFill="1" applyBorder="1" applyAlignment="1">
      <alignment vertical="center"/>
    </xf>
    <xf numFmtId="9" fontId="0" fillId="0" borderId="0" xfId="0" applyNumberFormat="1"/>
    <xf numFmtId="0" fontId="31" fillId="39" borderId="0" xfId="0" applyFont="1" applyFill="1"/>
    <xf numFmtId="172" fontId="0" fillId="39" borderId="0" xfId="10" applyNumberFormat="1" applyFont="1" applyFill="1"/>
    <xf numFmtId="0" fontId="5" fillId="35" borderId="0" xfId="0" applyFont="1" applyFill="1" applyAlignment="1">
      <alignment horizontal="left" vertical="center"/>
    </xf>
    <xf numFmtId="182" fontId="62" fillId="0" borderId="0" xfId="0" applyNumberFormat="1" applyFont="1" applyAlignment="1">
      <alignment wrapText="1"/>
    </xf>
    <xf numFmtId="182" fontId="62" fillId="18" borderId="0" xfId="0" applyNumberFormat="1" applyFont="1" applyFill="1" applyAlignment="1">
      <alignment wrapText="1"/>
    </xf>
    <xf numFmtId="182" fontId="62" fillId="18" borderId="0" xfId="0" applyNumberFormat="1" applyFont="1" applyFill="1"/>
    <xf numFmtId="182" fontId="65" fillId="18" borderId="0" xfId="0" applyNumberFormat="1" applyFont="1" applyFill="1" applyAlignment="1">
      <alignment wrapText="1"/>
    </xf>
    <xf numFmtId="182" fontId="65" fillId="18" borderId="0" xfId="0" applyNumberFormat="1" applyFont="1" applyFill="1"/>
    <xf numFmtId="182" fontId="62" fillId="27" borderId="0" xfId="0" applyNumberFormat="1" applyFont="1" applyFill="1" applyAlignment="1">
      <alignment wrapText="1"/>
    </xf>
    <xf numFmtId="182" fontId="62" fillId="27" borderId="0" xfId="0" applyNumberFormat="1" applyFont="1" applyFill="1"/>
    <xf numFmtId="182" fontId="64" fillId="27" borderId="0" xfId="0" applyNumberFormat="1" applyFont="1" applyFill="1" applyAlignment="1">
      <alignment horizontal="right" vertical="center"/>
    </xf>
    <xf numFmtId="182" fontId="62" fillId="35" borderId="0" xfId="0" applyNumberFormat="1" applyFont="1" applyFill="1" applyAlignment="1">
      <alignment wrapText="1"/>
    </xf>
    <xf numFmtId="182" fontId="62" fillId="0" borderId="0" xfId="0" applyNumberFormat="1" applyFont="1" applyAlignment="1">
      <alignment vertical="center" wrapText="1"/>
    </xf>
    <xf numFmtId="182" fontId="69" fillId="27" borderId="0" xfId="0" applyNumberFormat="1" applyFont="1" applyFill="1" applyAlignment="1">
      <alignment horizontal="right" vertical="center"/>
    </xf>
    <xf numFmtId="4" fontId="0" fillId="0" borderId="0" xfId="0" applyNumberFormat="1"/>
    <xf numFmtId="182" fontId="63" fillId="38" borderId="0" xfId="0" applyNumberFormat="1" applyFont="1" applyFill="1" applyAlignment="1">
      <alignment horizontal="center" vertical="center"/>
    </xf>
    <xf numFmtId="0" fontId="63" fillId="38" borderId="0" xfId="0" applyFont="1" applyFill="1" applyAlignment="1">
      <alignment horizontal="center" vertical="center" wrapText="1"/>
    </xf>
    <xf numFmtId="178" fontId="47" fillId="38" borderId="0" xfId="0" applyNumberFormat="1" applyFont="1" applyFill="1" applyAlignment="1">
      <alignment horizontal="center" vertical="center"/>
    </xf>
    <xf numFmtId="9" fontId="12" fillId="0" borderId="48" xfId="21" applyNumberFormat="1" applyFont="1" applyBorder="1" applyAlignment="1">
      <alignment horizontal="center" vertical="center" wrapText="1"/>
    </xf>
    <xf numFmtId="9" fontId="12" fillId="0" borderId="9" xfId="21" applyNumberFormat="1" applyFont="1" applyBorder="1" applyAlignment="1">
      <alignment horizontal="center" vertical="center" wrapText="1"/>
    </xf>
    <xf numFmtId="9" fontId="12" fillId="0" borderId="33" xfId="21" applyNumberFormat="1" applyFont="1" applyBorder="1" applyAlignment="1">
      <alignment horizontal="center" vertical="center" wrapText="1"/>
    </xf>
    <xf numFmtId="9" fontId="46" fillId="0" borderId="0" xfId="0" applyNumberFormat="1" applyFont="1" applyAlignment="1">
      <alignment horizontal="center" vertical="center"/>
    </xf>
    <xf numFmtId="9" fontId="46" fillId="29" borderId="0" xfId="0" applyNumberFormat="1" applyFont="1" applyFill="1" applyAlignment="1">
      <alignment horizontal="center" vertical="center"/>
    </xf>
    <xf numFmtId="4" fontId="67" fillId="18" borderId="1" xfId="0" applyNumberFormat="1" applyFont="1" applyFill="1" applyBorder="1" applyAlignment="1">
      <alignment horizontal="right" vertical="center"/>
    </xf>
    <xf numFmtId="4" fontId="5" fillId="24" borderId="1" xfId="0" applyNumberFormat="1" applyFont="1" applyFill="1" applyBorder="1" applyAlignment="1">
      <alignment horizontal="right" vertical="center"/>
    </xf>
    <xf numFmtId="4" fontId="54" fillId="24" borderId="1" xfId="0" applyNumberFormat="1" applyFont="1" applyFill="1" applyBorder="1" applyAlignment="1">
      <alignment horizontal="right" vertical="center"/>
    </xf>
    <xf numFmtId="4" fontId="66" fillId="24" borderId="1" xfId="0" applyNumberFormat="1" applyFont="1" applyFill="1" applyBorder="1" applyAlignment="1">
      <alignment horizontal="right" vertical="center"/>
    </xf>
    <xf numFmtId="167" fontId="58" fillId="24" borderId="4" xfId="0" applyNumberFormat="1" applyFont="1" applyFill="1" applyBorder="1" applyAlignment="1">
      <alignment horizontal="right" vertical="center" wrapText="1"/>
    </xf>
    <xf numFmtId="172" fontId="0" fillId="24" borderId="0" xfId="10" applyNumberFormat="1" applyFont="1" applyFill="1"/>
    <xf numFmtId="171" fontId="0" fillId="0" borderId="0" xfId="0" applyNumberFormat="1" applyAlignment="1">
      <alignment vertical="center"/>
    </xf>
    <xf numFmtId="0" fontId="12" fillId="19" borderId="42" xfId="21" applyFont="1" applyFill="1" applyBorder="1" applyAlignment="1">
      <alignment vertical="center" wrapText="1"/>
    </xf>
    <xf numFmtId="0" fontId="70" fillId="7" borderId="22" xfId="9" applyFont="1" applyBorder="1" applyProtection="1">
      <alignment horizontal="center" vertical="center"/>
    </xf>
    <xf numFmtId="0" fontId="70" fillId="7" borderId="0" xfId="9" applyFont="1" applyProtection="1">
      <alignment horizontal="center" vertical="center"/>
    </xf>
    <xf numFmtId="0" fontId="71" fillId="0" borderId="0" xfId="0" applyFont="1"/>
    <xf numFmtId="49" fontId="72" fillId="15" borderId="0" xfId="2" applyFont="1" applyFill="1" applyProtection="1">
      <alignment horizontal="left" vertical="center"/>
      <protection locked="0"/>
    </xf>
    <xf numFmtId="183" fontId="71" fillId="15" borderId="0" xfId="34" applyNumberFormat="1" applyFont="1" applyFill="1" applyProtection="1">
      <protection locked="0"/>
    </xf>
    <xf numFmtId="9" fontId="0" fillId="0" borderId="0" xfId="27" applyFont="1" applyAlignment="1">
      <alignment vertical="center"/>
    </xf>
    <xf numFmtId="3" fontId="0" fillId="0" borderId="0" xfId="0" applyNumberFormat="1"/>
    <xf numFmtId="4" fontId="12" fillId="9" borderId="19" xfId="27" applyNumberFormat="1" applyFont="1" applyFill="1" applyBorder="1" applyAlignment="1" applyProtection="1">
      <alignment horizontal="center" vertical="center" wrapText="1"/>
    </xf>
    <xf numFmtId="4" fontId="12" fillId="9" borderId="19" xfId="21" applyNumberFormat="1" applyFont="1" applyFill="1" applyBorder="1" applyAlignment="1">
      <alignment horizontal="center" vertical="center" wrapText="1"/>
    </xf>
    <xf numFmtId="6" fontId="32" fillId="0" borderId="0" xfId="0" applyNumberFormat="1" applyFont="1" applyAlignment="1">
      <alignment vertical="center"/>
    </xf>
    <xf numFmtId="171" fontId="17" fillId="0" borderId="1" xfId="0" applyNumberFormat="1" applyFont="1" applyBorder="1" applyAlignment="1">
      <alignment horizontal="center" vertical="center"/>
    </xf>
    <xf numFmtId="171" fontId="17" fillId="0" borderId="1" xfId="0" applyNumberFormat="1" applyFont="1" applyBorder="1" applyAlignment="1">
      <alignment vertical="center"/>
    </xf>
    <xf numFmtId="0" fontId="43" fillId="31" borderId="0" xfId="0" applyFont="1" applyFill="1" applyAlignment="1">
      <alignment vertical="center"/>
    </xf>
    <xf numFmtId="180" fontId="45" fillId="31" borderId="0" xfId="0" applyNumberFormat="1" applyFont="1" applyFill="1" applyAlignment="1">
      <alignment horizontal="center" vertical="center"/>
    </xf>
    <xf numFmtId="178" fontId="45" fillId="31" borderId="0" xfId="0" applyNumberFormat="1" applyFont="1" applyFill="1" applyAlignment="1">
      <alignment horizontal="center" vertical="center"/>
    </xf>
    <xf numFmtId="0" fontId="11" fillId="0" borderId="0" xfId="0" applyFont="1" applyAlignment="1">
      <alignment vertical="center"/>
    </xf>
    <xf numFmtId="179" fontId="43" fillId="30" borderId="0" xfId="0" applyNumberFormat="1" applyFont="1" applyFill="1" applyAlignment="1">
      <alignment horizontal="center" vertical="center"/>
    </xf>
    <xf numFmtId="0" fontId="11" fillId="0" borderId="18" xfId="21" applyFont="1" applyBorder="1" applyAlignment="1">
      <alignment horizontal="justify" vertical="center" wrapText="1"/>
    </xf>
    <xf numFmtId="0" fontId="12" fillId="20" borderId="27" xfId="21" applyFont="1" applyFill="1" applyBorder="1" applyAlignment="1">
      <alignment horizontal="center" vertical="center" wrapText="1"/>
    </xf>
    <xf numFmtId="0" fontId="12" fillId="20" borderId="28" xfId="21" applyFont="1" applyFill="1" applyBorder="1" applyAlignment="1">
      <alignment horizontal="center" vertical="center" wrapText="1"/>
    </xf>
    <xf numFmtId="0" fontId="12" fillId="20" borderId="29" xfId="21" applyFont="1" applyFill="1" applyBorder="1" applyAlignment="1">
      <alignment horizontal="center" vertical="center" wrapText="1"/>
    </xf>
    <xf numFmtId="0" fontId="34" fillId="9" borderId="8" xfId="0" applyFont="1" applyFill="1" applyBorder="1" applyAlignment="1">
      <alignment horizontal="center" vertical="center" wrapText="1"/>
    </xf>
    <xf numFmtId="0" fontId="12" fillId="0" borderId="0" xfId="21" applyFont="1" applyAlignment="1">
      <alignment vertical="center" wrapText="1"/>
    </xf>
    <xf numFmtId="0" fontId="37" fillId="0" borderId="0" xfId="0" applyFont="1" applyAlignment="1">
      <alignment horizontal="center" vertical="center"/>
    </xf>
    <xf numFmtId="0" fontId="14" fillId="0" borderId="0" xfId="21" applyFont="1" applyAlignment="1">
      <alignment vertical="center" wrapText="1"/>
    </xf>
    <xf numFmtId="0" fontId="11" fillId="0" borderId="0" xfId="21" applyFont="1" applyAlignment="1">
      <alignment vertical="center" wrapText="1"/>
    </xf>
    <xf numFmtId="0" fontId="0" fillId="0" borderId="0" xfId="0" applyAlignment="1">
      <alignment horizontal="center"/>
    </xf>
    <xf numFmtId="185" fontId="17" fillId="23" borderId="1" xfId="0" applyNumberFormat="1" applyFont="1" applyFill="1" applyBorder="1" applyAlignment="1">
      <alignment horizontal="center" vertical="center"/>
    </xf>
    <xf numFmtId="4" fontId="17" fillId="0" borderId="1" xfId="0" applyNumberFormat="1" applyFont="1" applyBorder="1" applyAlignment="1">
      <alignment vertical="center"/>
    </xf>
    <xf numFmtId="0" fontId="35" fillId="0" borderId="0" xfId="0" applyFont="1" applyAlignment="1">
      <alignment horizontal="center" vertical="center" wrapText="1"/>
    </xf>
    <xf numFmtId="0" fontId="36" fillId="0" borderId="0" xfId="0" applyFont="1" applyAlignment="1">
      <alignment horizontal="center" vertical="center" wrapText="1"/>
    </xf>
    <xf numFmtId="0" fontId="73" fillId="0" borderId="0" xfId="0" applyFont="1" applyAlignment="1">
      <alignment horizontal="center" vertical="center" wrapText="1"/>
    </xf>
    <xf numFmtId="0" fontId="73" fillId="0" borderId="85" xfId="0" applyFont="1" applyBorder="1" applyAlignment="1">
      <alignment horizontal="center" vertical="center"/>
    </xf>
    <xf numFmtId="0" fontId="74" fillId="0" borderId="86" xfId="0" applyFont="1" applyBorder="1" applyAlignment="1">
      <alignment horizontal="center" vertical="center"/>
    </xf>
    <xf numFmtId="0" fontId="73" fillId="0" borderId="87" xfId="0" applyFont="1" applyBorder="1" applyAlignment="1">
      <alignment horizontal="center" vertical="center"/>
    </xf>
    <xf numFmtId="0" fontId="73" fillId="40" borderId="87" xfId="0" applyFont="1" applyFill="1" applyBorder="1" applyAlignment="1">
      <alignment horizontal="center" vertical="center"/>
    </xf>
    <xf numFmtId="0" fontId="74" fillId="0" borderId="87" xfId="0" applyFont="1" applyBorder="1" applyAlignment="1">
      <alignment horizontal="center" vertical="center"/>
    </xf>
    <xf numFmtId="0" fontId="74" fillId="0" borderId="88" xfId="0" applyFont="1" applyBorder="1" applyAlignment="1">
      <alignment horizontal="center" vertical="center"/>
    </xf>
    <xf numFmtId="3" fontId="74" fillId="0" borderId="0" xfId="0" applyNumberFormat="1" applyFont="1" applyAlignment="1">
      <alignment horizontal="center" vertical="center"/>
    </xf>
    <xf numFmtId="2" fontId="36" fillId="0" borderId="0" xfId="0" applyNumberFormat="1" applyFont="1" applyAlignment="1">
      <alignment horizontal="center" vertical="center"/>
    </xf>
    <xf numFmtId="2" fontId="0" fillId="0" borderId="0" xfId="0" applyNumberFormat="1"/>
    <xf numFmtId="0" fontId="73" fillId="0" borderId="89" xfId="0" applyFont="1" applyBorder="1" applyAlignment="1">
      <alignment horizontal="center" vertical="center"/>
    </xf>
    <xf numFmtId="0" fontId="74" fillId="0" borderId="90" xfId="0" applyFont="1" applyBorder="1" applyAlignment="1">
      <alignment horizontal="center" vertical="center"/>
    </xf>
    <xf numFmtId="0" fontId="73" fillId="0" borderId="91" xfId="0" applyFont="1" applyBorder="1" applyAlignment="1">
      <alignment horizontal="center" vertical="center"/>
    </xf>
    <xf numFmtId="0" fontId="73" fillId="40" borderId="91" xfId="0" applyFont="1" applyFill="1" applyBorder="1" applyAlignment="1">
      <alignment horizontal="center" vertical="center"/>
    </xf>
    <xf numFmtId="0" fontId="74" fillId="0" borderId="91" xfId="0" applyFont="1" applyBorder="1" applyAlignment="1">
      <alignment horizontal="center" vertical="center"/>
    </xf>
    <xf numFmtId="0" fontId="74" fillId="0" borderId="92" xfId="0" applyFont="1" applyBorder="1" applyAlignment="1">
      <alignment horizontal="center" vertical="center"/>
    </xf>
    <xf numFmtId="185" fontId="35" fillId="41" borderId="0" xfId="0" applyNumberFormat="1" applyFont="1" applyFill="1" applyAlignment="1">
      <alignment horizontal="center" vertical="center"/>
    </xf>
    <xf numFmtId="186" fontId="0" fillId="0" borderId="0" xfId="0" applyNumberFormat="1"/>
    <xf numFmtId="0" fontId="12" fillId="9" borderId="19" xfId="21" applyFont="1" applyFill="1" applyBorder="1" applyAlignment="1">
      <alignment horizontal="center" vertical="center" wrapText="1"/>
    </xf>
    <xf numFmtId="4" fontId="12" fillId="9" borderId="19" xfId="29" applyNumberFormat="1" applyFont="1" applyFill="1" applyBorder="1" applyAlignment="1" applyProtection="1">
      <alignment horizontal="center" vertical="center" wrapText="1"/>
    </xf>
    <xf numFmtId="3" fontId="73" fillId="0" borderId="0" xfId="0" applyNumberFormat="1" applyFont="1" applyAlignment="1">
      <alignment horizontal="center" vertical="center"/>
    </xf>
    <xf numFmtId="4" fontId="73" fillId="0" borderId="0" xfId="0" applyNumberFormat="1" applyFont="1" applyAlignment="1">
      <alignment horizontal="center" vertical="center"/>
    </xf>
    <xf numFmtId="187" fontId="11" fillId="9" borderId="19" xfId="29" applyNumberFormat="1" applyFont="1" applyFill="1" applyBorder="1" applyAlignment="1" applyProtection="1">
      <alignment horizontal="center" vertical="center" wrapText="1"/>
    </xf>
    <xf numFmtId="0" fontId="60" fillId="0" borderId="0" xfId="0" applyFont="1" applyAlignment="1">
      <alignment horizontal="center" vertical="center" wrapText="1"/>
    </xf>
    <xf numFmtId="2" fontId="32" fillId="9" borderId="10" xfId="29" applyNumberFormat="1" applyFont="1" applyFill="1" applyBorder="1" applyAlignment="1" applyProtection="1">
      <alignment horizontal="center" vertical="center" wrapText="1"/>
    </xf>
    <xf numFmtId="1" fontId="32" fillId="9" borderId="10" xfId="29" applyNumberFormat="1" applyFont="1" applyFill="1" applyBorder="1" applyAlignment="1" applyProtection="1">
      <alignment horizontal="center" vertical="center" wrapText="1"/>
    </xf>
    <xf numFmtId="173" fontId="12" fillId="9" borderId="10" xfId="27" applyNumberFormat="1" applyFont="1" applyFill="1" applyBorder="1" applyAlignment="1" applyProtection="1">
      <alignment vertical="center" wrapText="1"/>
    </xf>
    <xf numFmtId="1" fontId="32" fillId="9" borderId="19" xfId="29" applyNumberFormat="1" applyFont="1" applyFill="1" applyBorder="1" applyAlignment="1" applyProtection="1">
      <alignment horizontal="center" vertical="center" wrapText="1"/>
    </xf>
    <xf numFmtId="1" fontId="34" fillId="9" borderId="19" xfId="27" applyNumberFormat="1" applyFont="1" applyFill="1" applyBorder="1" applyAlignment="1" applyProtection="1">
      <alignment horizontal="center" vertical="center" wrapText="1"/>
    </xf>
    <xf numFmtId="0" fontId="16" fillId="2" borderId="0" xfId="21" applyFont="1" applyFill="1" applyAlignment="1">
      <alignment horizontal="center" vertical="center" wrapText="1"/>
    </xf>
    <xf numFmtId="0" fontId="11" fillId="19" borderId="42" xfId="21" applyFont="1" applyFill="1" applyBorder="1" applyAlignment="1">
      <alignment vertical="center" wrapText="1"/>
    </xf>
    <xf numFmtId="171" fontId="0" fillId="0" borderId="0" xfId="0" applyNumberFormat="1"/>
    <xf numFmtId="171" fontId="31" fillId="0" borderId="0" xfId="0" applyNumberFormat="1" applyFont="1"/>
    <xf numFmtId="178" fontId="35" fillId="41" borderId="0" xfId="0" applyNumberFormat="1" applyFont="1" applyFill="1" applyAlignment="1">
      <alignment horizontal="center" vertical="center"/>
    </xf>
    <xf numFmtId="3" fontId="32" fillId="0" borderId="0" xfId="0" applyNumberFormat="1" applyFont="1" applyAlignment="1">
      <alignment vertical="center"/>
    </xf>
    <xf numFmtId="0" fontId="13" fillId="22" borderId="0" xfId="0" applyFont="1" applyFill="1" applyAlignment="1">
      <alignment horizontal="left" vertical="center"/>
    </xf>
    <xf numFmtId="0" fontId="13" fillId="22" borderId="0" xfId="0" applyFont="1" applyFill="1" applyAlignment="1">
      <alignment horizontal="center" vertical="center"/>
    </xf>
    <xf numFmtId="171" fontId="13" fillId="22" borderId="0" xfId="0" applyNumberFormat="1" applyFont="1" applyFill="1" applyAlignment="1">
      <alignment horizontal="center" vertical="center"/>
    </xf>
    <xf numFmtId="176" fontId="13" fillId="22" borderId="0" xfId="14" applyNumberFormat="1" applyFont="1" applyFill="1" applyBorder="1" applyAlignment="1">
      <alignment horizontal="center" vertical="center"/>
    </xf>
    <xf numFmtId="0" fontId="13" fillId="23" borderId="0" xfId="0" applyFont="1" applyFill="1" applyAlignment="1">
      <alignment horizontal="center" vertical="center"/>
    </xf>
    <xf numFmtId="176" fontId="13" fillId="22" borderId="0" xfId="0" applyNumberFormat="1" applyFont="1" applyFill="1" applyAlignment="1">
      <alignment horizontal="center" vertical="center"/>
    </xf>
    <xf numFmtId="0" fontId="32" fillId="0" borderId="0" xfId="0" applyFont="1" applyAlignment="1">
      <alignment horizontal="center" vertical="center" wrapText="1"/>
    </xf>
    <xf numFmtId="0" fontId="31" fillId="0" borderId="0" xfId="0" applyFont="1" applyAlignment="1">
      <alignment horizontal="center" vertical="center"/>
    </xf>
    <xf numFmtId="0" fontId="45" fillId="0" borderId="0" xfId="0" applyFont="1" applyAlignment="1">
      <alignment horizontal="center" vertical="center"/>
    </xf>
    <xf numFmtId="171" fontId="0" fillId="0" borderId="0" xfId="0" applyNumberFormat="1" applyAlignment="1">
      <alignment horizontal="center" vertical="center" wrapText="1"/>
    </xf>
    <xf numFmtId="165" fontId="31" fillId="0" borderId="0" xfId="14" applyFont="1" applyAlignment="1">
      <alignment horizontal="center" vertical="center" wrapText="1"/>
    </xf>
    <xf numFmtId="0" fontId="45" fillId="0" borderId="0" xfId="0" applyFont="1" applyAlignment="1">
      <alignment horizontal="center" vertical="center" wrapText="1"/>
    </xf>
    <xf numFmtId="0" fontId="46" fillId="0" borderId="0" xfId="0" applyFont="1" applyAlignment="1">
      <alignment horizontal="center" vertical="center" wrapText="1"/>
    </xf>
    <xf numFmtId="0" fontId="31" fillId="13" borderId="0" xfId="0" applyFont="1" applyFill="1"/>
    <xf numFmtId="0" fontId="31" fillId="13" borderId="0" xfId="0" applyFont="1" applyFill="1" applyAlignment="1">
      <alignment vertical="top"/>
    </xf>
    <xf numFmtId="14" fontId="31" fillId="13" borderId="0" xfId="0" applyNumberFormat="1" applyFont="1" applyFill="1" applyAlignment="1">
      <alignment horizontal="right" vertical="top"/>
    </xf>
    <xf numFmtId="3" fontId="31" fillId="13" borderId="0" xfId="0" applyNumberFormat="1" applyFont="1" applyFill="1" applyAlignment="1">
      <alignment horizontal="right" vertical="top"/>
    </xf>
    <xf numFmtId="0" fontId="81" fillId="13" borderId="0" xfId="0" applyFont="1" applyFill="1" applyAlignment="1">
      <alignment vertical="top"/>
    </xf>
    <xf numFmtId="0" fontId="0" fillId="37" borderId="1" xfId="0" applyFill="1" applyBorder="1" applyAlignment="1">
      <alignment horizontal="center" vertical="center" wrapText="1"/>
    </xf>
    <xf numFmtId="0" fontId="0" fillId="42" borderId="1" xfId="0" applyFill="1" applyBorder="1" applyAlignment="1">
      <alignment horizontal="center" vertical="center" wrapText="1"/>
    </xf>
    <xf numFmtId="3" fontId="31" fillId="0" borderId="0" xfId="0" applyNumberFormat="1" applyFont="1"/>
    <xf numFmtId="3" fontId="75" fillId="0" borderId="0" xfId="0" applyNumberFormat="1" applyFont="1" applyAlignment="1">
      <alignment vertical="top"/>
    </xf>
    <xf numFmtId="3" fontId="34" fillId="9" borderId="22" xfId="0" applyNumberFormat="1" applyFont="1" applyFill="1" applyBorder="1" applyAlignment="1">
      <alignment horizontal="center" vertical="center"/>
    </xf>
    <xf numFmtId="3" fontId="34" fillId="9" borderId="23" xfId="0" applyNumberFormat="1" applyFont="1" applyFill="1" applyBorder="1" applyAlignment="1">
      <alignment horizontal="center" vertical="center"/>
    </xf>
    <xf numFmtId="3" fontId="34" fillId="9" borderId="24" xfId="0" applyNumberFormat="1" applyFont="1" applyFill="1" applyBorder="1" applyAlignment="1">
      <alignment horizontal="center" vertical="center"/>
    </xf>
    <xf numFmtId="3" fontId="34" fillId="9" borderId="3" xfId="0" applyNumberFormat="1" applyFont="1" applyFill="1" applyBorder="1" applyAlignment="1">
      <alignment horizontal="center" vertical="center"/>
    </xf>
    <xf numFmtId="3" fontId="34" fillId="9" borderId="25" xfId="0" applyNumberFormat="1" applyFont="1" applyFill="1" applyBorder="1" applyAlignment="1">
      <alignment horizontal="center" vertical="center"/>
    </xf>
    <xf numFmtId="3" fontId="12" fillId="9" borderId="8" xfId="0" applyNumberFormat="1" applyFont="1" applyFill="1" applyBorder="1" applyAlignment="1">
      <alignment horizontal="center" vertical="center" wrapText="1"/>
    </xf>
    <xf numFmtId="3" fontId="12" fillId="9" borderId="1" xfId="0" applyNumberFormat="1" applyFont="1" applyFill="1" applyBorder="1" applyAlignment="1">
      <alignment horizontal="center" vertical="center" wrapText="1"/>
    </xf>
    <xf numFmtId="3" fontId="12" fillId="9" borderId="9" xfId="0" applyNumberFormat="1" applyFont="1" applyFill="1" applyBorder="1" applyAlignment="1">
      <alignment horizontal="center" vertical="center" wrapText="1"/>
    </xf>
    <xf numFmtId="3" fontId="12" fillId="9" borderId="18" xfId="0" applyNumberFormat="1" applyFont="1" applyFill="1" applyBorder="1" applyAlignment="1">
      <alignment horizontal="center" vertical="center" wrapText="1"/>
    </xf>
    <xf numFmtId="3" fontId="12" fillId="9" borderId="10" xfId="0" applyNumberFormat="1" applyFont="1" applyFill="1" applyBorder="1" applyAlignment="1">
      <alignment horizontal="center" vertical="center" wrapText="1"/>
    </xf>
    <xf numFmtId="3" fontId="12" fillId="9" borderId="83" xfId="0" applyNumberFormat="1" applyFont="1" applyFill="1" applyBorder="1" applyAlignment="1">
      <alignment horizontal="center" vertical="center" wrapText="1"/>
    </xf>
    <xf numFmtId="0" fontId="12" fillId="20" borderId="93" xfId="21" applyFont="1" applyFill="1" applyBorder="1" applyAlignment="1">
      <alignment horizontal="center" vertical="center" wrapText="1"/>
    </xf>
    <xf numFmtId="0" fontId="12" fillId="19" borderId="12" xfId="21" applyFont="1" applyFill="1" applyBorder="1" applyAlignment="1">
      <alignment vertical="center" wrapText="1"/>
    </xf>
    <xf numFmtId="5" fontId="17" fillId="0" borderId="1" xfId="0" applyNumberFormat="1" applyFont="1" applyBorder="1" applyAlignment="1">
      <alignment horizontal="right" vertical="center"/>
    </xf>
    <xf numFmtId="4" fontId="0" fillId="0" borderId="1" xfId="0" applyNumberFormat="1" applyBorder="1" applyAlignment="1">
      <alignment vertical="center" wrapText="1"/>
    </xf>
    <xf numFmtId="4" fontId="0" fillId="0" borderId="0" xfId="0" applyNumberFormat="1" applyAlignment="1">
      <alignment vertical="center" wrapText="1"/>
    </xf>
    <xf numFmtId="4" fontId="32" fillId="0" borderId="0" xfId="0" applyNumberFormat="1" applyFont="1" applyAlignment="1">
      <alignment vertical="center"/>
    </xf>
    <xf numFmtId="0" fontId="34" fillId="0" borderId="0" xfId="0" applyFont="1" applyAlignment="1">
      <alignment vertical="center"/>
    </xf>
    <xf numFmtId="0" fontId="60" fillId="0" borderId="0" xfId="0" applyFont="1" applyAlignment="1">
      <alignment horizontal="center" vertical="top"/>
    </xf>
    <xf numFmtId="0" fontId="31" fillId="13" borderId="0" xfId="0" applyFont="1" applyFill="1" applyAlignment="1">
      <alignment horizontal="center" vertical="top"/>
    </xf>
    <xf numFmtId="0" fontId="60" fillId="37" borderId="1" xfId="0" applyFont="1" applyFill="1" applyBorder="1" applyAlignment="1">
      <alignment horizontal="center" vertical="center" wrapText="1"/>
    </xf>
    <xf numFmtId="14" fontId="31" fillId="13" borderId="0" xfId="0" applyNumberFormat="1" applyFont="1" applyFill="1" applyAlignment="1">
      <alignment horizontal="center" vertical="top"/>
    </xf>
    <xf numFmtId="9" fontId="20" fillId="0" borderId="33" xfId="27" applyFont="1" applyFill="1" applyBorder="1" applyAlignment="1">
      <alignment vertical="center"/>
    </xf>
    <xf numFmtId="44" fontId="82" fillId="0" borderId="0" xfId="34" applyFont="1" applyAlignment="1">
      <alignment horizontal="center" vertical="center" wrapText="1"/>
    </xf>
    <xf numFmtId="44" fontId="81" fillId="13" borderId="0" xfId="34" applyFont="1" applyFill="1" applyAlignment="1">
      <alignment vertical="top"/>
    </xf>
    <xf numFmtId="44" fontId="60" fillId="0" borderId="0" xfId="34" applyFont="1" applyAlignment="1">
      <alignment vertical="top"/>
    </xf>
    <xf numFmtId="44" fontId="82" fillId="0" borderId="0" xfId="34" applyFont="1" applyAlignment="1">
      <alignment horizontal="center" vertical="center"/>
    </xf>
    <xf numFmtId="44" fontId="0" fillId="0" borderId="0" xfId="34" applyFont="1"/>
    <xf numFmtId="44" fontId="81" fillId="0" borderId="0" xfId="34" applyFont="1" applyFill="1" applyAlignment="1">
      <alignment vertical="top"/>
    </xf>
    <xf numFmtId="44" fontId="31" fillId="0" borderId="0" xfId="34" applyFont="1"/>
    <xf numFmtId="44" fontId="0" fillId="0" borderId="0" xfId="34" applyFont="1" applyFill="1"/>
    <xf numFmtId="44" fontId="31" fillId="0" borderId="0" xfId="34" applyFont="1" applyAlignment="1">
      <alignment horizontal="center" vertical="center" wrapText="1"/>
    </xf>
    <xf numFmtId="44" fontId="0" fillId="0" borderId="0" xfId="34" applyFont="1" applyAlignment="1">
      <alignment horizontal="center" vertical="center" wrapText="1"/>
    </xf>
    <xf numFmtId="44" fontId="31" fillId="13" borderId="0" xfId="34" applyFont="1" applyFill="1"/>
    <xf numFmtId="44" fontId="60" fillId="0" borderId="0" xfId="34" applyFont="1" applyFill="1" applyAlignment="1">
      <alignment vertical="top"/>
    </xf>
    <xf numFmtId="44" fontId="0" fillId="0" borderId="0" xfId="34" applyFont="1" applyFill="1" applyAlignment="1">
      <alignment horizontal="center" vertical="center" wrapText="1"/>
    </xf>
    <xf numFmtId="44" fontId="31" fillId="0" borderId="0" xfId="34" applyFont="1" applyFill="1"/>
    <xf numFmtId="3" fontId="34" fillId="9" borderId="8" xfId="0" applyNumberFormat="1" applyFont="1" applyFill="1" applyBorder="1" applyAlignment="1">
      <alignment horizontal="center" vertical="center" wrapText="1"/>
    </xf>
    <xf numFmtId="0" fontId="34" fillId="9" borderId="9" xfId="0" applyFont="1" applyFill="1" applyBorder="1" applyAlignment="1">
      <alignment horizontal="center" vertical="center" wrapText="1"/>
    </xf>
    <xf numFmtId="3" fontId="34" fillId="9" borderId="0" xfId="0" applyNumberFormat="1" applyFont="1" applyFill="1" applyAlignment="1">
      <alignment horizontal="center" vertical="center"/>
    </xf>
    <xf numFmtId="178" fontId="0" fillId="0" borderId="0" xfId="0" applyNumberFormat="1"/>
    <xf numFmtId="0" fontId="81" fillId="0" borderId="0" xfId="0" applyFont="1" applyAlignment="1">
      <alignment vertical="top"/>
    </xf>
    <xf numFmtId="0" fontId="82" fillId="0" borderId="0" xfId="0" applyFont="1" applyAlignment="1">
      <alignment horizontal="center" vertical="top"/>
    </xf>
    <xf numFmtId="0" fontId="31" fillId="0" borderId="0" xfId="0" applyFont="1" applyAlignment="1">
      <alignment horizontal="center" vertical="top"/>
    </xf>
    <xf numFmtId="14" fontId="31" fillId="0" borderId="0" xfId="0" applyNumberFormat="1" applyFont="1" applyAlignment="1">
      <alignment horizontal="center" vertical="top"/>
    </xf>
    <xf numFmtId="0" fontId="31" fillId="0" borderId="0" xfId="0" applyFont="1" applyAlignment="1">
      <alignment vertical="top"/>
    </xf>
    <xf numFmtId="3" fontId="31" fillId="0" borderId="0" xfId="0" applyNumberFormat="1" applyFont="1" applyAlignment="1">
      <alignment horizontal="right" vertical="top"/>
    </xf>
    <xf numFmtId="14" fontId="31" fillId="0" borderId="0" xfId="0" applyNumberFormat="1" applyFont="1" applyAlignment="1">
      <alignment horizontal="right" vertical="top"/>
    </xf>
    <xf numFmtId="44" fontId="81" fillId="0" borderId="0" xfId="34" applyFont="1" applyAlignment="1">
      <alignment vertical="top"/>
    </xf>
    <xf numFmtId="3" fontId="84" fillId="0" borderId="0" xfId="0" applyNumberFormat="1" applyFont="1" applyAlignment="1">
      <alignment vertical="top"/>
    </xf>
    <xf numFmtId="0" fontId="82" fillId="0" borderId="0" xfId="0" applyFont="1" applyAlignment="1">
      <alignment vertical="top"/>
    </xf>
    <xf numFmtId="3" fontId="82" fillId="0" borderId="0" xfId="0" applyNumberFormat="1" applyFont="1" applyAlignment="1">
      <alignment vertical="top"/>
    </xf>
    <xf numFmtId="44" fontId="82" fillId="0" borderId="0" xfId="34" applyFont="1" applyAlignment="1">
      <alignment vertical="top"/>
    </xf>
    <xf numFmtId="44" fontId="82" fillId="0" borderId="0" xfId="34" applyFont="1" applyFill="1" applyAlignment="1">
      <alignment vertical="top"/>
    </xf>
    <xf numFmtId="0" fontId="85" fillId="9" borderId="10" xfId="0" applyFont="1" applyFill="1" applyBorder="1" applyAlignment="1">
      <alignment horizontal="center" vertical="center" wrapText="1"/>
    </xf>
    <xf numFmtId="171" fontId="17" fillId="23" borderId="1" xfId="0" applyNumberFormat="1" applyFont="1" applyFill="1" applyBorder="1" applyAlignment="1">
      <alignment vertical="center"/>
    </xf>
    <xf numFmtId="0" fontId="86" fillId="0" borderId="1" xfId="0" applyFont="1" applyBorder="1" applyAlignment="1">
      <alignment vertical="center"/>
    </xf>
    <xf numFmtId="171" fontId="13" fillId="0" borderId="1" xfId="0" applyNumberFormat="1" applyFont="1" applyBorder="1" applyAlignment="1">
      <alignment vertical="center"/>
    </xf>
    <xf numFmtId="171" fontId="13" fillId="0" borderId="1" xfId="0" applyNumberFormat="1" applyFont="1" applyBorder="1" applyAlignment="1">
      <alignment horizontal="center" vertical="center"/>
    </xf>
    <xf numFmtId="0" fontId="17" fillId="23" borderId="1" xfId="0" applyFont="1" applyFill="1" applyBorder="1" applyAlignment="1">
      <alignment vertical="center"/>
    </xf>
    <xf numFmtId="171" fontId="13" fillId="22" borderId="0" xfId="0" applyNumberFormat="1" applyFont="1" applyFill="1" applyAlignment="1">
      <alignment horizontal="justify" vertical="center"/>
    </xf>
    <xf numFmtId="1" fontId="32" fillId="9" borderId="19" xfId="27" applyNumberFormat="1" applyFont="1" applyFill="1" applyBorder="1" applyAlignment="1" applyProtection="1">
      <alignment horizontal="center" vertical="center" wrapText="1"/>
    </xf>
    <xf numFmtId="0" fontId="0" fillId="0" borderId="0" xfId="0" quotePrefix="1" applyAlignment="1">
      <alignment vertical="center"/>
    </xf>
    <xf numFmtId="165" fontId="0" fillId="0" borderId="0" xfId="0" applyNumberFormat="1" applyAlignment="1">
      <alignment horizontal="center" vertical="center"/>
    </xf>
    <xf numFmtId="0" fontId="0" fillId="0" borderId="0" xfId="0" applyAlignment="1">
      <alignment horizontal="justify" vertical="center" wrapText="1"/>
    </xf>
    <xf numFmtId="0" fontId="16" fillId="2" borderId="0" xfId="21" applyFont="1" applyFill="1" applyAlignment="1">
      <alignment horizontal="justify" vertical="center" wrapText="1"/>
    </xf>
    <xf numFmtId="175" fontId="0" fillId="0" borderId="0" xfId="0" applyNumberFormat="1" applyAlignment="1">
      <alignment horizontal="justify" vertical="center" wrapText="1"/>
    </xf>
    <xf numFmtId="175" fontId="20" fillId="0" borderId="0" xfId="34" applyNumberFormat="1" applyFont="1" applyBorder="1" applyAlignment="1">
      <alignment horizontal="justify" vertical="center" wrapText="1"/>
    </xf>
    <xf numFmtId="171" fontId="0" fillId="0" borderId="0" xfId="0" applyNumberFormat="1" applyAlignment="1">
      <alignment horizontal="justify" vertical="center" wrapText="1"/>
    </xf>
    <xf numFmtId="175" fontId="83" fillId="0" borderId="0" xfId="34" applyNumberFormat="1" applyFont="1" applyBorder="1" applyAlignment="1">
      <alignment horizontal="justify" vertical="center" wrapText="1"/>
    </xf>
    <xf numFmtId="165" fontId="20" fillId="0" borderId="0" xfId="14" applyFont="1" applyAlignment="1">
      <alignment horizontal="justify" vertical="center" wrapText="1"/>
    </xf>
    <xf numFmtId="165" fontId="31" fillId="0" borderId="0" xfId="14" applyFont="1" applyAlignment="1">
      <alignment horizontal="justify" vertical="center" wrapText="1"/>
    </xf>
    <xf numFmtId="165" fontId="0" fillId="0" borderId="0" xfId="0" applyNumberFormat="1" applyAlignment="1">
      <alignment horizontal="justify" vertical="center" wrapText="1"/>
    </xf>
    <xf numFmtId="165" fontId="31" fillId="0" borderId="0" xfId="14" applyFont="1" applyBorder="1" applyAlignment="1">
      <alignment horizontal="center" vertical="center" wrapText="1"/>
    </xf>
    <xf numFmtId="9" fontId="80" fillId="0" borderId="0" xfId="21" applyNumberFormat="1" applyFont="1" applyAlignment="1">
      <alignment vertical="center" wrapText="1"/>
    </xf>
    <xf numFmtId="1" fontId="12" fillId="0" borderId="0" xfId="27" applyNumberFormat="1" applyFont="1" applyAlignment="1">
      <alignment vertical="center" wrapText="1"/>
    </xf>
    <xf numFmtId="0" fontId="44" fillId="0" borderId="0" xfId="0" applyFont="1" applyAlignment="1">
      <alignment horizontal="justify" vertical="center" wrapText="1"/>
    </xf>
    <xf numFmtId="0" fontId="46" fillId="0" borderId="0" xfId="0" applyFont="1" applyAlignment="1">
      <alignment horizontal="justify" vertical="center" wrapText="1"/>
    </xf>
    <xf numFmtId="0" fontId="45" fillId="0" borderId="0" xfId="0" applyFont="1" applyAlignment="1">
      <alignment horizontal="justify" vertical="center" wrapText="1"/>
    </xf>
    <xf numFmtId="0" fontId="32" fillId="0" borderId="0" xfId="0" applyFont="1" applyAlignment="1">
      <alignment horizontal="justify" vertical="center" wrapText="1"/>
    </xf>
    <xf numFmtId="3" fontId="0" fillId="0" borderId="0" xfId="0" applyNumberFormat="1" applyAlignment="1">
      <alignment vertical="center"/>
    </xf>
    <xf numFmtId="9" fontId="11" fillId="0" borderId="0" xfId="21" applyNumberFormat="1" applyFont="1" applyAlignment="1">
      <alignment vertical="center" wrapText="1"/>
    </xf>
    <xf numFmtId="171" fontId="20" fillId="0" borderId="1" xfId="10" applyNumberFormat="1" applyFont="1" applyFill="1" applyBorder="1" applyAlignment="1">
      <alignment vertical="center"/>
    </xf>
    <xf numFmtId="0" fontId="71" fillId="0" borderId="0" xfId="0" applyFont="1" applyAlignment="1">
      <alignment horizontal="justify" vertical="center" wrapText="1"/>
    </xf>
    <xf numFmtId="0" fontId="87" fillId="2" borderId="0" xfId="21" applyFont="1" applyFill="1" applyAlignment="1">
      <alignment horizontal="justify" vertical="center" wrapText="1"/>
    </xf>
    <xf numFmtId="175" fontId="71" fillId="0" borderId="0" xfId="0" applyNumberFormat="1" applyFont="1" applyAlignment="1">
      <alignment horizontal="justify" vertical="center" wrapText="1"/>
    </xf>
    <xf numFmtId="175" fontId="71" fillId="0" borderId="0" xfId="34" applyNumberFormat="1" applyFont="1" applyBorder="1" applyAlignment="1">
      <alignment horizontal="justify" vertical="center" wrapText="1"/>
    </xf>
    <xf numFmtId="171" fontId="71" fillId="0" borderId="0" xfId="0" applyNumberFormat="1" applyFont="1" applyAlignment="1">
      <alignment horizontal="justify" vertical="center" wrapText="1"/>
    </xf>
    <xf numFmtId="175" fontId="88" fillId="0" borderId="0" xfId="34" applyNumberFormat="1" applyFont="1" applyBorder="1" applyAlignment="1">
      <alignment horizontal="justify" vertical="center" wrapText="1"/>
    </xf>
    <xf numFmtId="9" fontId="71" fillId="0" borderId="0" xfId="27" applyFont="1" applyBorder="1" applyAlignment="1">
      <alignment horizontal="justify" vertical="center" wrapText="1"/>
    </xf>
    <xf numFmtId="165" fontId="71" fillId="0" borderId="0" xfId="14" applyFont="1" applyAlignment="1">
      <alignment horizontal="justify" vertical="center" wrapText="1"/>
    </xf>
    <xf numFmtId="165" fontId="88" fillId="0" borderId="0" xfId="14" applyFont="1" applyAlignment="1">
      <alignment horizontal="justify" vertical="center" wrapText="1"/>
    </xf>
    <xf numFmtId="0" fontId="88" fillId="0" borderId="0" xfId="0" applyFont="1" applyAlignment="1">
      <alignment horizontal="center" vertical="center" wrapText="1"/>
    </xf>
    <xf numFmtId="165" fontId="88" fillId="0" borderId="0" xfId="14" applyFont="1" applyAlignment="1">
      <alignment horizontal="center" vertical="center" wrapText="1"/>
    </xf>
    <xf numFmtId="37" fontId="71" fillId="0" borderId="0" xfId="10" applyNumberFormat="1" applyFont="1" applyAlignment="1">
      <alignment horizontal="center" vertical="center" wrapText="1"/>
    </xf>
    <xf numFmtId="171" fontId="12" fillId="19" borderId="0" xfId="21" applyNumberFormat="1" applyFont="1" applyFill="1" applyAlignment="1">
      <alignment horizontal="left" vertical="center" wrapText="1"/>
    </xf>
    <xf numFmtId="0" fontId="89" fillId="0" borderId="8" xfId="0" applyFont="1" applyBorder="1" applyAlignment="1">
      <alignment horizontal="center" vertical="center"/>
    </xf>
    <xf numFmtId="0" fontId="89" fillId="0" borderId="1" xfId="0" applyFont="1" applyBorder="1" applyAlignment="1">
      <alignment horizontal="center" vertical="center"/>
    </xf>
    <xf numFmtId="0" fontId="89" fillId="0" borderId="1" xfId="0" applyFont="1" applyBorder="1" applyAlignment="1">
      <alignment horizontal="justify" vertical="center" wrapText="1"/>
    </xf>
    <xf numFmtId="0" fontId="89" fillId="0" borderId="1" xfId="0" applyFont="1" applyBorder="1" applyAlignment="1">
      <alignment horizontal="center" vertical="center" wrapText="1"/>
    </xf>
    <xf numFmtId="3" fontId="89" fillId="0" borderId="1" xfId="27" applyNumberFormat="1" applyFont="1" applyFill="1" applyBorder="1" applyAlignment="1">
      <alignment horizontal="center" vertical="center" wrapText="1"/>
    </xf>
    <xf numFmtId="166" fontId="89" fillId="0" borderId="1" xfId="11" applyFont="1" applyFill="1" applyBorder="1" applyAlignment="1">
      <alignment horizontal="center" vertical="center" wrapText="1"/>
    </xf>
    <xf numFmtId="166" fontId="89" fillId="0" borderId="2" xfId="11" applyFont="1" applyFill="1" applyBorder="1" applyAlignment="1">
      <alignment horizontal="left" vertical="center" wrapText="1"/>
    </xf>
    <xf numFmtId="3" fontId="89" fillId="0" borderId="8" xfId="0" applyNumberFormat="1" applyFont="1" applyBorder="1" applyAlignment="1">
      <alignment horizontal="center" vertical="center"/>
    </xf>
    <xf numFmtId="3" fontId="89" fillId="0" borderId="1" xfId="0" applyNumberFormat="1" applyFont="1" applyBorder="1" applyAlignment="1">
      <alignment horizontal="center" vertical="center"/>
    </xf>
    <xf numFmtId="3" fontId="89" fillId="0" borderId="9" xfId="0" applyNumberFormat="1" applyFont="1" applyBorder="1" applyAlignment="1">
      <alignment horizontal="center" vertical="center"/>
    </xf>
    <xf numFmtId="3" fontId="89" fillId="0" borderId="5" xfId="0" applyNumberFormat="1" applyFont="1" applyBorder="1" applyAlignment="1">
      <alignment horizontal="center" vertical="center"/>
    </xf>
    <xf numFmtId="10" fontId="89" fillId="0" borderId="9" xfId="27" applyNumberFormat="1" applyFont="1" applyFill="1" applyBorder="1" applyAlignment="1">
      <alignment horizontal="center" vertical="center"/>
    </xf>
    <xf numFmtId="0" fontId="89" fillId="0" borderId="1" xfId="27" applyNumberFormat="1" applyFont="1" applyFill="1" applyBorder="1" applyAlignment="1">
      <alignment horizontal="justify" vertical="center" wrapText="1"/>
    </xf>
    <xf numFmtId="0" fontId="89" fillId="0" borderId="0" xfId="0" applyFont="1" applyAlignment="1">
      <alignment vertical="center"/>
    </xf>
    <xf numFmtId="0" fontId="89" fillId="0" borderId="2" xfId="0" applyFont="1" applyBorder="1" applyAlignment="1">
      <alignment horizontal="justify" vertical="center" wrapText="1"/>
    </xf>
    <xf numFmtId="0" fontId="89" fillId="0" borderId="5" xfId="0" applyFont="1" applyBorder="1" applyAlignment="1">
      <alignment horizontal="justify" vertical="center"/>
    </xf>
    <xf numFmtId="4" fontId="58" fillId="0" borderId="1" xfId="21" applyNumberFormat="1" applyFont="1" applyBorder="1" applyAlignment="1">
      <alignment horizontal="center" vertical="center" wrapText="1"/>
    </xf>
    <xf numFmtId="4" fontId="89" fillId="0" borderId="8" xfId="0" applyNumberFormat="1" applyFont="1" applyBorder="1" applyAlignment="1">
      <alignment horizontal="center" vertical="center"/>
    </xf>
    <xf numFmtId="0" fontId="90" fillId="0" borderId="9" xfId="0" applyFont="1" applyBorder="1" applyAlignment="1">
      <alignment horizontal="justify" vertical="center" wrapText="1"/>
    </xf>
    <xf numFmtId="9" fontId="89" fillId="0" borderId="9" xfId="27" applyFont="1" applyFill="1" applyBorder="1" applyAlignment="1">
      <alignment horizontal="center" vertical="center"/>
    </xf>
    <xf numFmtId="0" fontId="58" fillId="0" borderId="1" xfId="27" applyNumberFormat="1" applyFont="1" applyFill="1" applyBorder="1" applyAlignment="1">
      <alignment horizontal="justify" vertical="center" wrapText="1"/>
    </xf>
    <xf numFmtId="0" fontId="58" fillId="0" borderId="9" xfId="0" applyFont="1" applyBorder="1" applyAlignment="1">
      <alignment horizontal="justify" vertical="center" wrapText="1"/>
    </xf>
    <xf numFmtId="49" fontId="89" fillId="0" borderId="2" xfId="11" applyNumberFormat="1" applyFont="1" applyFill="1" applyBorder="1" applyAlignment="1">
      <alignment horizontal="left" vertical="center" wrapText="1"/>
    </xf>
    <xf numFmtId="0" fontId="89" fillId="0" borderId="5" xfId="0" applyFont="1" applyBorder="1" applyAlignment="1">
      <alignment horizontal="justify" vertical="center" wrapText="1"/>
    </xf>
    <xf numFmtId="184" fontId="89" fillId="0" borderId="1" xfId="0" applyNumberFormat="1" applyFont="1" applyBorder="1" applyAlignment="1">
      <alignment horizontal="center" vertical="center"/>
    </xf>
    <xf numFmtId="0" fontId="58" fillId="0" borderId="10" xfId="0" applyFont="1" applyBorder="1" applyAlignment="1">
      <alignment horizontal="justify" vertical="center" wrapText="1"/>
    </xf>
    <xf numFmtId="0" fontId="58" fillId="0" borderId="4" xfId="0" applyFont="1" applyBorder="1" applyAlignment="1">
      <alignment horizontal="center" vertical="center" wrapText="1"/>
    </xf>
    <xf numFmtId="0" fontId="58" fillId="0" borderId="23" xfId="0" applyFont="1" applyBorder="1" applyAlignment="1">
      <alignment horizontal="center" vertical="center" wrapText="1"/>
    </xf>
    <xf numFmtId="0" fontId="89" fillId="0" borderId="31" xfId="0" applyFont="1" applyBorder="1" applyAlignment="1">
      <alignment horizontal="center" vertical="center"/>
    </xf>
    <xf numFmtId="0" fontId="89" fillId="0" borderId="19" xfId="0" applyFont="1" applyBorder="1" applyAlignment="1">
      <alignment horizontal="center" vertical="center"/>
    </xf>
    <xf numFmtId="0" fontId="89" fillId="0" borderId="19" xfId="0" applyFont="1" applyBorder="1" applyAlignment="1">
      <alignment horizontal="justify" vertical="center" wrapText="1"/>
    </xf>
    <xf numFmtId="0" fontId="89" fillId="0" borderId="21" xfId="0" applyFont="1" applyBorder="1" applyAlignment="1">
      <alignment horizontal="justify" vertical="center" wrapText="1"/>
    </xf>
    <xf numFmtId="0" fontId="58" fillId="0" borderId="19" xfId="0" applyFont="1" applyBorder="1" applyAlignment="1">
      <alignment horizontal="justify" vertical="center" wrapText="1"/>
    </xf>
    <xf numFmtId="0" fontId="58" fillId="0" borderId="58" xfId="0" applyFont="1" applyBorder="1" applyAlignment="1">
      <alignment horizontal="center" vertical="center" wrapText="1"/>
    </xf>
    <xf numFmtId="0" fontId="89" fillId="0" borderId="19" xfId="0" applyFont="1" applyBorder="1" applyAlignment="1">
      <alignment horizontal="center" vertical="center" wrapText="1"/>
    </xf>
    <xf numFmtId="0" fontId="58" fillId="0" borderId="49" xfId="0" applyFont="1" applyBorder="1" applyAlignment="1">
      <alignment horizontal="center" vertical="center" wrapText="1"/>
    </xf>
    <xf numFmtId="3" fontId="89" fillId="0" borderId="19" xfId="27" applyNumberFormat="1" applyFont="1" applyFill="1" applyBorder="1" applyAlignment="1">
      <alignment horizontal="center" vertical="center" wrapText="1"/>
    </xf>
    <xf numFmtId="9" fontId="89" fillId="0" borderId="19" xfId="27" applyFont="1" applyFill="1" applyBorder="1" applyAlignment="1">
      <alignment horizontal="center" vertical="center" wrapText="1"/>
    </xf>
    <xf numFmtId="166" fontId="89" fillId="0" borderId="19" xfId="11" applyFont="1" applyFill="1" applyBorder="1" applyAlignment="1">
      <alignment horizontal="center" vertical="center" wrapText="1"/>
    </xf>
    <xf numFmtId="166" fontId="89" fillId="0" borderId="21" xfId="11" applyFont="1" applyFill="1" applyBorder="1" applyAlignment="1">
      <alignment horizontal="left" vertical="center" wrapText="1"/>
    </xf>
    <xf numFmtId="3" fontId="89" fillId="0" borderId="31" xfId="0" applyNumberFormat="1" applyFont="1" applyBorder="1" applyAlignment="1">
      <alignment horizontal="center" vertical="center"/>
    </xf>
    <xf numFmtId="3" fontId="89" fillId="0" borderId="19" xfId="0" applyNumberFormat="1" applyFont="1" applyBorder="1" applyAlignment="1">
      <alignment horizontal="center" vertical="center"/>
    </xf>
    <xf numFmtId="3" fontId="89" fillId="0" borderId="19" xfId="27" applyNumberFormat="1" applyFont="1" applyFill="1" applyBorder="1" applyAlignment="1">
      <alignment horizontal="center" vertical="center"/>
    </xf>
    <xf numFmtId="3" fontId="89" fillId="0" borderId="33" xfId="0" applyNumberFormat="1" applyFont="1" applyBorder="1" applyAlignment="1">
      <alignment horizontal="center" vertical="center"/>
    </xf>
    <xf numFmtId="0" fontId="89" fillId="0" borderId="19" xfId="27" applyNumberFormat="1" applyFont="1" applyFill="1" applyBorder="1" applyAlignment="1">
      <alignment horizontal="justify" vertical="center" wrapText="1"/>
    </xf>
    <xf numFmtId="0" fontId="90" fillId="0" borderId="33" xfId="0" applyFont="1" applyBorder="1" applyAlignment="1">
      <alignment horizontal="justify" vertical="center" wrapText="1"/>
    </xf>
    <xf numFmtId="0" fontId="91" fillId="22" borderId="0" xfId="0" applyFont="1" applyFill="1" applyAlignment="1">
      <alignment horizontal="center" vertical="center"/>
    </xf>
    <xf numFmtId="42" fontId="91" fillId="22" borderId="0" xfId="0" applyNumberFormat="1" applyFont="1" applyFill="1" applyAlignment="1">
      <alignment horizontal="justify" vertical="top" wrapText="1"/>
    </xf>
    <xf numFmtId="0" fontId="3" fillId="9" borderId="24" xfId="0" applyFont="1" applyFill="1" applyBorder="1" applyAlignment="1">
      <alignment horizontal="center" vertical="center" wrapText="1"/>
    </xf>
    <xf numFmtId="176" fontId="13" fillId="0" borderId="5" xfId="14" applyNumberFormat="1" applyFont="1" applyFill="1" applyBorder="1" applyAlignment="1">
      <alignment horizontal="center" vertical="center"/>
    </xf>
    <xf numFmtId="0" fontId="13" fillId="22" borderId="5" xfId="0" applyFont="1" applyFill="1" applyBorder="1" applyAlignment="1">
      <alignment horizontal="center" vertical="center"/>
    </xf>
    <xf numFmtId="0" fontId="12" fillId="9" borderId="83" xfId="0" applyFont="1" applyFill="1" applyBorder="1" applyAlignment="1">
      <alignment horizontal="center" vertical="center" wrapText="1"/>
    </xf>
    <xf numFmtId="0" fontId="17" fillId="0" borderId="8" xfId="0" applyFont="1" applyBorder="1" applyAlignment="1">
      <alignment vertical="center"/>
    </xf>
    <xf numFmtId="176" fontId="13" fillId="22" borderId="9" xfId="14" applyNumberFormat="1" applyFont="1" applyFill="1" applyBorder="1" applyAlignment="1">
      <alignment horizontal="center" vertical="center"/>
    </xf>
    <xf numFmtId="0" fontId="13" fillId="0" borderId="5" xfId="0" applyFont="1" applyBorder="1" applyAlignment="1">
      <alignment vertical="center"/>
    </xf>
    <xf numFmtId="0" fontId="17" fillId="0" borderId="0" xfId="0" applyFont="1" applyAlignment="1">
      <alignment vertical="center"/>
    </xf>
    <xf numFmtId="0" fontId="17" fillId="0" borderId="18" xfId="0" applyFont="1" applyBorder="1" applyAlignment="1">
      <alignment vertical="center"/>
    </xf>
    <xf numFmtId="0" fontId="17" fillId="0" borderId="10" xfId="0" applyFont="1" applyBorder="1" applyAlignment="1">
      <alignment vertical="center"/>
    </xf>
    <xf numFmtId="0" fontId="17" fillId="0" borderId="10" xfId="0" applyFont="1" applyBorder="1" applyAlignment="1">
      <alignment horizontal="center" vertical="center"/>
    </xf>
    <xf numFmtId="0" fontId="17" fillId="23" borderId="10" xfId="0" applyFont="1" applyFill="1" applyBorder="1" applyAlignment="1">
      <alignment horizontal="center" vertical="center"/>
    </xf>
    <xf numFmtId="0" fontId="13" fillId="22" borderId="27" xfId="0" applyFont="1" applyFill="1" applyBorder="1" applyAlignment="1">
      <alignment horizontal="left" vertical="center"/>
    </xf>
    <xf numFmtId="0" fontId="13" fillId="22" borderId="28" xfId="0" applyFont="1" applyFill="1" applyBorder="1" applyAlignment="1">
      <alignment horizontal="center" vertical="center"/>
    </xf>
    <xf numFmtId="171" fontId="13" fillId="22" borderId="28" xfId="0" applyNumberFormat="1" applyFont="1" applyFill="1" applyBorder="1" applyAlignment="1">
      <alignment horizontal="center" vertical="center"/>
    </xf>
    <xf numFmtId="176" fontId="13" fillId="22" borderId="83" xfId="14" applyNumberFormat="1" applyFont="1" applyFill="1" applyBorder="1" applyAlignment="1">
      <alignment horizontal="center" vertical="center"/>
    </xf>
    <xf numFmtId="0" fontId="13" fillId="23" borderId="28" xfId="0" applyFont="1" applyFill="1" applyBorder="1" applyAlignment="1">
      <alignment horizontal="center" vertical="center"/>
    </xf>
    <xf numFmtId="176" fontId="13" fillId="22" borderId="29" xfId="0" applyNumberFormat="1" applyFont="1" applyFill="1" applyBorder="1" applyAlignment="1">
      <alignment horizontal="center" vertical="center"/>
    </xf>
    <xf numFmtId="185" fontId="13" fillId="22" borderId="28" xfId="0" applyNumberFormat="1" applyFont="1" applyFill="1" applyBorder="1" applyAlignment="1">
      <alignment horizontal="center" vertical="center"/>
    </xf>
    <xf numFmtId="176" fontId="13" fillId="22" borderId="29" xfId="14" applyNumberFormat="1" applyFont="1" applyFill="1" applyBorder="1" applyAlignment="1">
      <alignment horizontal="center" vertical="center"/>
    </xf>
    <xf numFmtId="0" fontId="0" fillId="0" borderId="0" xfId="0" applyAlignment="1">
      <alignment wrapText="1"/>
    </xf>
    <xf numFmtId="188" fontId="13" fillId="22" borderId="1" xfId="14" applyNumberFormat="1" applyFont="1" applyFill="1" applyBorder="1" applyAlignment="1">
      <alignment horizontal="center" vertical="center"/>
    </xf>
    <xf numFmtId="176" fontId="13" fillId="22" borderId="1" xfId="14" applyNumberFormat="1" applyFont="1" applyFill="1" applyBorder="1" applyAlignment="1">
      <alignment horizontal="center" vertical="center"/>
    </xf>
    <xf numFmtId="0" fontId="13" fillId="22" borderId="1" xfId="0" applyFont="1" applyFill="1" applyBorder="1" applyAlignment="1">
      <alignment horizontal="left" vertical="center"/>
    </xf>
    <xf numFmtId="171" fontId="13" fillId="22" borderId="1" xfId="0" applyNumberFormat="1" applyFont="1" applyFill="1" applyBorder="1" applyAlignment="1">
      <alignment horizontal="center" vertical="center"/>
    </xf>
    <xf numFmtId="0" fontId="85" fillId="22" borderId="1" xfId="0" applyFont="1" applyFill="1" applyBorder="1" applyAlignment="1">
      <alignment horizontal="center" vertical="center"/>
    </xf>
    <xf numFmtId="42" fontId="13" fillId="22" borderId="1" xfId="0" applyNumberFormat="1" applyFont="1" applyFill="1" applyBorder="1" applyAlignment="1">
      <alignment horizontal="center" vertical="center"/>
    </xf>
    <xf numFmtId="0" fontId="13" fillId="23" borderId="1" xfId="0" applyFont="1" applyFill="1" applyBorder="1" applyAlignment="1">
      <alignment horizontal="center" vertical="center"/>
    </xf>
    <xf numFmtId="0" fontId="36" fillId="0" borderId="0" xfId="0" applyFont="1" applyAlignment="1">
      <alignment wrapText="1"/>
    </xf>
    <xf numFmtId="0" fontId="36" fillId="43" borderId="0" xfId="0" applyFont="1" applyFill="1" applyAlignment="1">
      <alignment wrapText="1"/>
    </xf>
    <xf numFmtId="0" fontId="11" fillId="0" borderId="18" xfId="21" applyFont="1" applyBorder="1" applyAlignment="1">
      <alignment horizontal="center" vertical="center" wrapText="1"/>
    </xf>
    <xf numFmtId="9" fontId="11" fillId="0" borderId="0" xfId="21" applyNumberFormat="1" applyFont="1" applyAlignment="1">
      <alignment horizontal="justify" vertical="center" wrapText="1"/>
    </xf>
    <xf numFmtId="0" fontId="12" fillId="9" borderId="10" xfId="0" applyFont="1" applyFill="1" applyBorder="1" applyAlignment="1">
      <alignment horizontal="center" vertical="center" wrapText="1"/>
    </xf>
    <xf numFmtId="0" fontId="0" fillId="0" borderId="0" xfId="0" applyAlignment="1">
      <alignment vertical="center" wrapText="1"/>
    </xf>
    <xf numFmtId="44" fontId="81" fillId="44" borderId="0" xfId="34" applyFont="1" applyFill="1" applyAlignment="1">
      <alignment vertical="top"/>
    </xf>
    <xf numFmtId="189" fontId="20" fillId="0" borderId="0" xfId="34" applyNumberFormat="1" applyFont="1" applyBorder="1" applyAlignment="1">
      <alignment vertical="center"/>
    </xf>
    <xf numFmtId="0" fontId="32" fillId="0" borderId="0" xfId="21" applyFont="1" applyAlignment="1">
      <alignment vertical="center" wrapText="1"/>
    </xf>
    <xf numFmtId="0" fontId="32" fillId="0" borderId="0" xfId="21" applyFont="1" applyAlignment="1">
      <alignment vertical="top" wrapText="1"/>
    </xf>
    <xf numFmtId="182" fontId="0" fillId="0" borderId="0" xfId="0" applyNumberFormat="1"/>
    <xf numFmtId="10" fontId="0" fillId="0" borderId="0" xfId="27" applyNumberFormat="1" applyFont="1"/>
    <xf numFmtId="0" fontId="93" fillId="20" borderId="0" xfId="21" applyFont="1" applyFill="1" applyAlignment="1">
      <alignment vertical="center" wrapText="1"/>
    </xf>
    <xf numFmtId="182" fontId="31" fillId="0" borderId="0" xfId="0" applyNumberFormat="1" applyFont="1"/>
    <xf numFmtId="4" fontId="13" fillId="22" borderId="28" xfId="0" applyNumberFormat="1" applyFont="1" applyFill="1" applyBorder="1" applyAlignment="1">
      <alignment horizontal="center" vertical="center"/>
    </xf>
    <xf numFmtId="190" fontId="17" fillId="0" borderId="1" xfId="0" applyNumberFormat="1" applyFont="1" applyBorder="1" applyAlignment="1">
      <alignment vertical="center"/>
    </xf>
    <xf numFmtId="187" fontId="34" fillId="0" borderId="0" xfId="0" applyNumberFormat="1" applyFont="1" applyAlignment="1">
      <alignment vertical="center"/>
    </xf>
    <xf numFmtId="187" fontId="13" fillId="0" borderId="1" xfId="0" applyNumberFormat="1" applyFont="1" applyBorder="1" applyAlignment="1">
      <alignment vertical="center"/>
    </xf>
    <xf numFmtId="187" fontId="17" fillId="23" borderId="1" xfId="0" applyNumberFormat="1" applyFont="1" applyFill="1" applyBorder="1" applyAlignment="1">
      <alignment horizontal="center" vertical="center"/>
    </xf>
    <xf numFmtId="191" fontId="13" fillId="22" borderId="9" xfId="14" applyNumberFormat="1" applyFont="1" applyFill="1" applyBorder="1" applyAlignment="1">
      <alignment horizontal="center" vertical="center"/>
    </xf>
    <xf numFmtId="3" fontId="95" fillId="0" borderId="0" xfId="0" applyNumberFormat="1" applyFont="1" applyAlignment="1">
      <alignment horizontal="center" vertical="center"/>
    </xf>
    <xf numFmtId="172" fontId="20" fillId="0" borderId="32" xfId="10" applyNumberFormat="1" applyFont="1" applyFill="1" applyBorder="1" applyAlignment="1">
      <alignment vertical="center"/>
    </xf>
    <xf numFmtId="172" fontId="20" fillId="0" borderId="4" xfId="10" applyNumberFormat="1" applyFont="1" applyFill="1" applyBorder="1" applyAlignment="1">
      <alignment vertical="center"/>
    </xf>
    <xf numFmtId="172" fontId="20" fillId="0" borderId="34" xfId="10" applyNumberFormat="1" applyFont="1" applyFill="1" applyBorder="1" applyAlignment="1">
      <alignment vertical="center"/>
    </xf>
    <xf numFmtId="172" fontId="20" fillId="0" borderId="8" xfId="10" applyNumberFormat="1" applyFont="1" applyFill="1" applyBorder="1" applyAlignment="1">
      <alignment vertical="center"/>
    </xf>
    <xf numFmtId="172" fontId="20" fillId="0" borderId="1" xfId="10" applyNumberFormat="1" applyFont="1" applyFill="1" applyBorder="1" applyAlignment="1">
      <alignment vertical="center"/>
    </xf>
    <xf numFmtId="9" fontId="20" fillId="0" borderId="9" xfId="27" applyFont="1" applyFill="1" applyBorder="1" applyAlignment="1">
      <alignment vertical="center"/>
    </xf>
    <xf numFmtId="5" fontId="20" fillId="0" borderId="1" xfId="10" applyNumberFormat="1" applyFont="1" applyFill="1" applyBorder="1" applyAlignment="1">
      <alignment vertical="center"/>
    </xf>
    <xf numFmtId="5" fontId="0" fillId="0" borderId="1" xfId="10" applyNumberFormat="1" applyFont="1" applyFill="1" applyBorder="1" applyAlignment="1">
      <alignment vertical="center"/>
    </xf>
    <xf numFmtId="171" fontId="20" fillId="0" borderId="4" xfId="10" applyNumberFormat="1" applyFont="1" applyFill="1" applyBorder="1" applyAlignment="1">
      <alignment vertical="center"/>
    </xf>
    <xf numFmtId="172" fontId="20" fillId="0" borderId="9" xfId="10" applyNumberFormat="1" applyFont="1" applyFill="1" applyBorder="1" applyAlignment="1">
      <alignment vertical="center"/>
    </xf>
    <xf numFmtId="171" fontId="20" fillId="0" borderId="31" xfId="10" applyNumberFormat="1" applyFont="1" applyFill="1" applyBorder="1" applyAlignment="1">
      <alignment vertical="center"/>
    </xf>
    <xf numFmtId="5" fontId="20" fillId="0" borderId="19" xfId="10" applyNumberFormat="1" applyFont="1" applyFill="1" applyBorder="1" applyAlignment="1">
      <alignment vertical="center"/>
    </xf>
    <xf numFmtId="172" fontId="20" fillId="0" borderId="19" xfId="10" applyNumberFormat="1" applyFont="1" applyFill="1" applyBorder="1" applyAlignment="1">
      <alignment vertical="center"/>
    </xf>
    <xf numFmtId="171" fontId="20" fillId="0" borderId="32" xfId="10" applyNumberFormat="1" applyFont="1" applyFill="1" applyBorder="1" applyAlignment="1">
      <alignment vertical="center"/>
    </xf>
    <xf numFmtId="9" fontId="20" fillId="0" borderId="34" xfId="27" applyFont="1" applyFill="1" applyBorder="1" applyAlignment="1">
      <alignment vertical="center"/>
    </xf>
    <xf numFmtId="5" fontId="20" fillId="0" borderId="57" xfId="10" applyNumberFormat="1" applyFont="1" applyFill="1" applyBorder="1" applyAlignment="1">
      <alignment vertical="center"/>
    </xf>
    <xf numFmtId="5" fontId="20" fillId="0" borderId="58" xfId="10" applyNumberFormat="1" applyFont="1" applyFill="1" applyBorder="1" applyAlignment="1">
      <alignment vertical="center"/>
    </xf>
    <xf numFmtId="172" fontId="20" fillId="0" borderId="58" xfId="10" applyNumberFormat="1" applyFont="1" applyFill="1" applyBorder="1" applyAlignment="1">
      <alignment vertical="center"/>
    </xf>
    <xf numFmtId="4" fontId="34" fillId="9" borderId="19" xfId="27" applyNumberFormat="1" applyFont="1" applyFill="1" applyBorder="1" applyAlignment="1" applyProtection="1">
      <alignment horizontal="center" vertical="center" wrapText="1"/>
    </xf>
    <xf numFmtId="3" fontId="58" fillId="0" borderId="1" xfId="0" applyNumberFormat="1" applyFont="1" applyBorder="1" applyAlignment="1">
      <alignment horizontal="center" vertical="center"/>
    </xf>
    <xf numFmtId="184" fontId="58" fillId="0" borderId="8" xfId="21" applyNumberFormat="1" applyFont="1" applyBorder="1" applyAlignment="1">
      <alignment horizontal="center" vertical="center" wrapText="1"/>
    </xf>
    <xf numFmtId="184" fontId="58" fillId="0" borderId="1" xfId="21" applyNumberFormat="1" applyFont="1" applyBorder="1" applyAlignment="1">
      <alignment horizontal="center" vertical="center" wrapText="1"/>
    </xf>
    <xf numFmtId="184" fontId="58" fillId="0" borderId="9" xfId="21" applyNumberFormat="1" applyFont="1" applyBorder="1" applyAlignment="1">
      <alignment horizontal="center" vertical="center" wrapText="1"/>
    </xf>
    <xf numFmtId="44" fontId="13" fillId="22" borderId="1" xfId="34" applyFont="1" applyFill="1" applyBorder="1" applyAlignment="1">
      <alignment horizontal="center" vertical="center"/>
    </xf>
    <xf numFmtId="3" fontId="12" fillId="9" borderId="10" xfId="27" applyNumberFormat="1" applyFont="1" applyFill="1" applyBorder="1" applyAlignment="1" applyProtection="1">
      <alignment horizontal="center" vertical="center" wrapText="1"/>
    </xf>
    <xf numFmtId="192" fontId="17" fillId="0" borderId="1" xfId="34" applyNumberFormat="1" applyFont="1" applyBorder="1" applyAlignment="1">
      <alignment vertical="center"/>
    </xf>
    <xf numFmtId="176" fontId="13" fillId="22" borderId="1" xfId="0" applyNumberFormat="1" applyFont="1" applyFill="1" applyBorder="1" applyAlignment="1">
      <alignment horizontal="center" vertical="center"/>
    </xf>
    <xf numFmtId="4" fontId="32" fillId="38" borderId="0" xfId="0" applyNumberFormat="1" applyFont="1" applyFill="1" applyAlignment="1">
      <alignment vertical="center"/>
    </xf>
    <xf numFmtId="0" fontId="89" fillId="0" borderId="1" xfId="27" applyNumberFormat="1" applyFont="1" applyFill="1" applyBorder="1" applyAlignment="1">
      <alignment horizontal="justify" vertical="top" wrapText="1"/>
    </xf>
    <xf numFmtId="0" fontId="92" fillId="0" borderId="9" xfId="0" applyFont="1" applyBorder="1" applyAlignment="1">
      <alignment horizontal="justify" vertical="top" wrapText="1"/>
    </xf>
    <xf numFmtId="0" fontId="31" fillId="0" borderId="0" xfId="0" applyFont="1" applyAlignment="1">
      <alignment horizontal="center"/>
    </xf>
    <xf numFmtId="0" fontId="0" fillId="0" borderId="0" xfId="0" applyAlignment="1">
      <alignment horizontal="center" vertical="top"/>
    </xf>
    <xf numFmtId="14" fontId="0" fillId="0" borderId="0" xfId="0" applyNumberFormat="1" applyAlignment="1">
      <alignment horizontal="center" vertical="top"/>
    </xf>
    <xf numFmtId="0" fontId="0" fillId="0" borderId="0" xfId="0" applyAlignment="1">
      <alignment vertical="top"/>
    </xf>
    <xf numFmtId="3" fontId="0" fillId="0" borderId="0" xfId="0" applyNumberFormat="1" applyAlignment="1">
      <alignment horizontal="right" vertical="top"/>
    </xf>
    <xf numFmtId="14" fontId="0" fillId="0" borderId="0" xfId="0" applyNumberFormat="1" applyAlignment="1">
      <alignment horizontal="right" vertical="top"/>
    </xf>
    <xf numFmtId="182" fontId="12" fillId="19" borderId="0" xfId="21" applyNumberFormat="1" applyFont="1" applyFill="1" applyAlignment="1">
      <alignment horizontal="left" vertical="center" wrapText="1"/>
    </xf>
    <xf numFmtId="190" fontId="73" fillId="24" borderId="0" xfId="0" applyNumberFormat="1" applyFont="1" applyFill="1" applyAlignment="1">
      <alignment horizontal="center" vertical="center"/>
    </xf>
    <xf numFmtId="0" fontId="58" fillId="0" borderId="8" xfId="0" applyFont="1" applyBorder="1" applyAlignment="1">
      <alignment horizontal="center" vertical="center"/>
    </xf>
    <xf numFmtId="0" fontId="58" fillId="0" borderId="1" xfId="0" applyFont="1" applyBorder="1" applyAlignment="1">
      <alignment horizontal="center" vertical="center"/>
    </xf>
    <xf numFmtId="0" fontId="58" fillId="0" borderId="1" xfId="0" applyFont="1" applyBorder="1" applyAlignment="1">
      <alignment horizontal="justify" vertical="center" wrapText="1"/>
    </xf>
    <xf numFmtId="0" fontId="58" fillId="0" borderId="1" xfId="0" applyFont="1" applyBorder="1" applyAlignment="1">
      <alignment horizontal="justify" vertical="center"/>
    </xf>
    <xf numFmtId="0" fontId="58" fillId="0" borderId="1" xfId="0" applyFont="1" applyBorder="1" applyAlignment="1">
      <alignment horizontal="center" vertical="center" wrapText="1"/>
    </xf>
    <xf numFmtId="3" fontId="58" fillId="0" borderId="1" xfId="27" applyNumberFormat="1" applyFont="1" applyFill="1" applyBorder="1" applyAlignment="1">
      <alignment horizontal="center" vertical="center" wrapText="1"/>
    </xf>
    <xf numFmtId="166" fontId="58" fillId="0" borderId="1" xfId="11" applyFont="1" applyFill="1" applyBorder="1" applyAlignment="1">
      <alignment horizontal="center" vertical="center" wrapText="1"/>
    </xf>
    <xf numFmtId="166" fontId="58" fillId="0" borderId="2" xfId="11" applyFont="1" applyFill="1" applyBorder="1" applyAlignment="1">
      <alignment horizontal="left" vertical="center" wrapText="1"/>
    </xf>
    <xf numFmtId="3" fontId="58" fillId="0" borderId="8" xfId="0" applyNumberFormat="1" applyFont="1" applyBorder="1" applyAlignment="1">
      <alignment horizontal="center" vertical="center"/>
    </xf>
    <xf numFmtId="3" fontId="58" fillId="0" borderId="9" xfId="0" applyNumberFormat="1" applyFont="1" applyBorder="1" applyAlignment="1">
      <alignment horizontal="center" vertical="center"/>
    </xf>
    <xf numFmtId="3" fontId="58" fillId="0" borderId="5" xfId="0" applyNumberFormat="1" applyFont="1" applyBorder="1" applyAlignment="1">
      <alignment horizontal="center" vertical="center"/>
    </xf>
    <xf numFmtId="10" fontId="58" fillId="0" borderId="9" xfId="27" applyNumberFormat="1" applyFont="1" applyFill="1" applyBorder="1" applyAlignment="1">
      <alignment horizontal="center" vertical="center"/>
    </xf>
    <xf numFmtId="0" fontId="58" fillId="0" borderId="9" xfId="27" applyNumberFormat="1" applyFont="1" applyFill="1" applyBorder="1" applyAlignment="1">
      <alignment horizontal="justify" vertical="center" wrapText="1"/>
    </xf>
    <xf numFmtId="0" fontId="58" fillId="0" borderId="0" xfId="0" applyFont="1" applyAlignment="1">
      <alignment vertical="center"/>
    </xf>
    <xf numFmtId="184" fontId="94" fillId="0" borderId="1" xfId="0" applyNumberFormat="1" applyFont="1" applyBorder="1" applyAlignment="1">
      <alignment horizontal="center" vertical="center"/>
    </xf>
    <xf numFmtId="0" fontId="58" fillId="0" borderId="2" xfId="0" applyFont="1" applyBorder="1" applyAlignment="1">
      <alignment horizontal="justify" vertical="center" wrapText="1"/>
    </xf>
    <xf numFmtId="9" fontId="58" fillId="0" borderId="1" xfId="27" applyFont="1" applyFill="1" applyBorder="1" applyAlignment="1">
      <alignment horizontal="center" vertical="center" wrapText="1"/>
    </xf>
    <xf numFmtId="9" fontId="58" fillId="0" borderId="1" xfId="27" applyFont="1" applyFill="1" applyBorder="1" applyAlignment="1">
      <alignment horizontal="center" vertical="center"/>
    </xf>
    <xf numFmtId="9" fontId="58" fillId="0" borderId="8" xfId="27" applyFont="1" applyBorder="1" applyAlignment="1">
      <alignment horizontal="center" vertical="center"/>
    </xf>
    <xf numFmtId="9" fontId="58" fillId="0" borderId="9" xfId="27" applyFont="1" applyFill="1" applyBorder="1" applyAlignment="1">
      <alignment horizontal="center" vertical="center"/>
    </xf>
    <xf numFmtId="3" fontId="58" fillId="0" borderId="1" xfId="27" applyNumberFormat="1" applyFont="1" applyFill="1" applyBorder="1" applyAlignment="1">
      <alignment horizontal="center" vertical="center"/>
    </xf>
    <xf numFmtId="3" fontId="58" fillId="0" borderId="19" xfId="0" applyNumberFormat="1" applyFont="1" applyBorder="1" applyAlignment="1">
      <alignment horizontal="center" vertical="center"/>
    </xf>
    <xf numFmtId="171" fontId="31" fillId="0" borderId="4" xfId="10" applyNumberFormat="1" applyFont="1" applyFill="1" applyBorder="1" applyAlignment="1">
      <alignment vertical="center"/>
    </xf>
    <xf numFmtId="171" fontId="31" fillId="0" borderId="1" xfId="10" applyNumberFormat="1" applyFont="1" applyFill="1" applyBorder="1" applyAlignment="1">
      <alignment vertical="center"/>
    </xf>
    <xf numFmtId="5" fontId="31" fillId="0" borderId="4" xfId="10" applyNumberFormat="1" applyFont="1" applyFill="1" applyBorder="1" applyAlignment="1">
      <alignment vertical="center"/>
    </xf>
    <xf numFmtId="171" fontId="31" fillId="0" borderId="58" xfId="10" applyNumberFormat="1" applyFont="1" applyFill="1" applyBorder="1" applyAlignment="1">
      <alignment vertical="center"/>
    </xf>
    <xf numFmtId="172" fontId="20" fillId="0" borderId="25" xfId="10" applyNumberFormat="1" applyFont="1" applyFill="1" applyBorder="1" applyAlignment="1">
      <alignment vertical="center"/>
    </xf>
    <xf numFmtId="172" fontId="20" fillId="0" borderId="5" xfId="10" applyNumberFormat="1" applyFont="1" applyFill="1" applyBorder="1" applyAlignment="1">
      <alignment vertical="center"/>
    </xf>
    <xf numFmtId="5" fontId="20" fillId="0" borderId="5" xfId="10" applyNumberFormat="1" applyFont="1" applyFill="1" applyBorder="1" applyAlignment="1">
      <alignment vertical="center"/>
    </xf>
    <xf numFmtId="5" fontId="31" fillId="0" borderId="1" xfId="10" applyNumberFormat="1" applyFont="1" applyFill="1" applyBorder="1" applyAlignment="1">
      <alignment vertical="center"/>
    </xf>
    <xf numFmtId="171" fontId="20" fillId="0" borderId="19" xfId="10" applyNumberFormat="1" applyFont="1" applyFill="1" applyBorder="1" applyAlignment="1">
      <alignment vertical="center"/>
    </xf>
    <xf numFmtId="9" fontId="11" fillId="0" borderId="1" xfId="0" applyNumberFormat="1" applyFont="1" applyBorder="1" applyAlignment="1">
      <alignment horizontal="center" vertical="center" wrapText="1"/>
    </xf>
    <xf numFmtId="9" fontId="11" fillId="46" borderId="4" xfId="0" applyNumberFormat="1" applyFont="1" applyFill="1" applyBorder="1" applyAlignment="1">
      <alignment horizontal="center" vertical="center" wrapText="1"/>
    </xf>
    <xf numFmtId="9" fontId="11" fillId="0" borderId="4" xfId="0" applyNumberFormat="1" applyFont="1" applyBorder="1" applyAlignment="1">
      <alignment horizontal="center" vertical="center" wrapText="1"/>
    </xf>
    <xf numFmtId="0" fontId="36" fillId="0" borderId="1" xfId="0" applyFont="1" applyBorder="1"/>
    <xf numFmtId="0" fontId="36" fillId="0" borderId="4" xfId="0" applyFont="1" applyBorder="1"/>
    <xf numFmtId="0" fontId="12" fillId="9" borderId="10" xfId="0" applyFont="1" applyFill="1" applyBorder="1" applyAlignment="1">
      <alignment vertical="center" wrapText="1"/>
    </xf>
    <xf numFmtId="0" fontId="13" fillId="22" borderId="1" xfId="0" applyFont="1" applyFill="1" applyBorder="1" applyAlignment="1">
      <alignment vertical="center"/>
    </xf>
    <xf numFmtId="0" fontId="13" fillId="22" borderId="0" xfId="0" applyFont="1" applyFill="1" applyAlignment="1">
      <alignment vertical="center"/>
    </xf>
    <xf numFmtId="0" fontId="13" fillId="22" borderId="28" xfId="0" applyFont="1" applyFill="1" applyBorder="1" applyAlignment="1">
      <alignment vertical="center"/>
    </xf>
    <xf numFmtId="0" fontId="89" fillId="0" borderId="5" xfId="27" applyNumberFormat="1" applyFont="1" applyFill="1" applyBorder="1" applyAlignment="1">
      <alignment horizontal="left" vertical="center" wrapText="1"/>
    </xf>
    <xf numFmtId="3" fontId="58" fillId="44" borderId="1" xfId="0" applyNumberFormat="1" applyFont="1" applyFill="1" applyBorder="1" applyAlignment="1">
      <alignment horizontal="center" vertical="center"/>
    </xf>
    <xf numFmtId="3" fontId="89" fillId="44" borderId="1" xfId="0" applyNumberFormat="1" applyFont="1" applyFill="1" applyBorder="1" applyAlignment="1">
      <alignment horizontal="center" vertical="center"/>
    </xf>
    <xf numFmtId="3" fontId="89" fillId="44" borderId="19" xfId="0" applyNumberFormat="1" applyFont="1" applyFill="1" applyBorder="1" applyAlignment="1">
      <alignment horizontal="center" vertical="center"/>
    </xf>
    <xf numFmtId="0" fontId="105" fillId="0" borderId="5" xfId="27" applyNumberFormat="1" applyFont="1" applyFill="1" applyBorder="1" applyAlignment="1">
      <alignment horizontal="left" vertical="center" wrapText="1"/>
    </xf>
    <xf numFmtId="0" fontId="103" fillId="0" borderId="5" xfId="27" applyNumberFormat="1" applyFont="1" applyFill="1" applyBorder="1" applyAlignment="1">
      <alignment horizontal="left" vertical="center" wrapText="1"/>
    </xf>
    <xf numFmtId="0" fontId="103" fillId="0" borderId="5" xfId="0" applyFont="1" applyBorder="1" applyAlignment="1">
      <alignment horizontal="left" vertical="center" wrapText="1"/>
    </xf>
    <xf numFmtId="0" fontId="108" fillId="0" borderId="49" xfId="27" applyNumberFormat="1" applyFont="1" applyFill="1" applyBorder="1" applyAlignment="1">
      <alignment horizontal="left" vertical="top" wrapText="1"/>
    </xf>
    <xf numFmtId="0" fontId="108" fillId="0" borderId="5" xfId="27" applyNumberFormat="1" applyFont="1" applyFill="1" applyBorder="1" applyAlignment="1">
      <alignment horizontal="left" vertical="center" wrapText="1"/>
    </xf>
    <xf numFmtId="0" fontId="108" fillId="0" borderId="1" xfId="27" applyNumberFormat="1" applyFont="1" applyFill="1" applyBorder="1" applyAlignment="1">
      <alignment horizontal="justify" vertical="center" wrapText="1"/>
    </xf>
    <xf numFmtId="0" fontId="108" fillId="0" borderId="9" xfId="0" applyFont="1" applyBorder="1" applyAlignment="1">
      <alignment horizontal="justify" vertical="center" wrapText="1"/>
    </xf>
    <xf numFmtId="0" fontId="109" fillId="0" borderId="5" xfId="27" applyNumberFormat="1" applyFont="1" applyFill="1" applyBorder="1" applyAlignment="1">
      <alignment vertical="center" wrapText="1"/>
    </xf>
    <xf numFmtId="0" fontId="109" fillId="0" borderId="5" xfId="27" applyNumberFormat="1" applyFont="1" applyFill="1" applyBorder="1" applyAlignment="1">
      <alignment horizontal="left" vertical="center" wrapText="1"/>
    </xf>
    <xf numFmtId="0" fontId="71" fillId="0" borderId="0" xfId="0" applyFont="1" applyAlignment="1">
      <alignment horizontal="center" vertical="center" wrapText="1"/>
    </xf>
    <xf numFmtId="0" fontId="110" fillId="0" borderId="0" xfId="21" applyFont="1" applyAlignment="1">
      <alignment vertical="center" wrapText="1"/>
    </xf>
    <xf numFmtId="0" fontId="71" fillId="0" borderId="0" xfId="0" applyFont="1" applyAlignment="1">
      <alignment horizontal="center" vertical="center"/>
    </xf>
    <xf numFmtId="0" fontId="71" fillId="0" borderId="0" xfId="0" applyFont="1" applyAlignment="1">
      <alignment vertical="center"/>
    </xf>
    <xf numFmtId="165" fontId="71" fillId="0" borderId="0" xfId="14" applyFont="1" applyAlignment="1">
      <alignment horizontal="center" vertical="center" wrapText="1"/>
    </xf>
    <xf numFmtId="165" fontId="71" fillId="0" borderId="0" xfId="14" applyFont="1" applyAlignment="1">
      <alignment horizontal="center" vertical="center"/>
    </xf>
    <xf numFmtId="165" fontId="71" fillId="0" borderId="0" xfId="14" applyFont="1" applyAlignment="1">
      <alignment vertical="center"/>
    </xf>
    <xf numFmtId="3" fontId="88" fillId="0" borderId="0" xfId="14" applyNumberFormat="1" applyFont="1" applyAlignment="1">
      <alignment horizontal="center" vertical="center" wrapText="1"/>
    </xf>
    <xf numFmtId="165" fontId="88" fillId="0" borderId="0" xfId="14" applyFont="1" applyBorder="1" applyAlignment="1">
      <alignment horizontal="center" vertical="center" wrapText="1"/>
    </xf>
    <xf numFmtId="165" fontId="88" fillId="0" borderId="0" xfId="14" applyFont="1" applyAlignment="1">
      <alignment horizontal="center" vertical="center"/>
    </xf>
    <xf numFmtId="165" fontId="88" fillId="0" borderId="0" xfId="14" applyFont="1" applyAlignment="1">
      <alignment vertical="center"/>
    </xf>
    <xf numFmtId="9" fontId="111" fillId="0" borderId="0" xfId="21" applyNumberFormat="1" applyFont="1" applyAlignment="1">
      <alignment vertical="center" wrapText="1"/>
    </xf>
    <xf numFmtId="0" fontId="88" fillId="0" borderId="0" xfId="0" applyFont="1" applyAlignment="1">
      <alignment horizontal="center" vertical="center"/>
    </xf>
    <xf numFmtId="0" fontId="88" fillId="0" borderId="0" xfId="0" applyFont="1" applyAlignment="1">
      <alignment vertical="center"/>
    </xf>
    <xf numFmtId="9" fontId="45" fillId="0" borderId="0" xfId="21" applyNumberFormat="1" applyFont="1" applyAlignment="1">
      <alignment horizontal="justify" vertical="center" wrapText="1"/>
    </xf>
    <xf numFmtId="9" fontId="45" fillId="0" borderId="0" xfId="21" applyNumberFormat="1" applyFont="1" applyAlignment="1">
      <alignment horizontal="center" vertical="center" wrapText="1"/>
    </xf>
    <xf numFmtId="3" fontId="45" fillId="0" borderId="0" xfId="21" applyNumberFormat="1" applyFont="1" applyAlignment="1">
      <alignment horizontal="center" vertical="center" wrapText="1"/>
    </xf>
    <xf numFmtId="177" fontId="88" fillId="0" borderId="0" xfId="14" applyNumberFormat="1" applyFont="1" applyAlignment="1">
      <alignment horizontal="center" vertical="center" wrapText="1"/>
    </xf>
    <xf numFmtId="0" fontId="87" fillId="2" borderId="0" xfId="21" applyFont="1" applyFill="1" applyAlignment="1">
      <alignment vertical="center" wrapText="1"/>
    </xf>
    <xf numFmtId="0" fontId="71" fillId="0" borderId="0" xfId="0" applyFont="1" applyAlignment="1">
      <alignment vertical="center" wrapText="1"/>
    </xf>
    <xf numFmtId="177" fontId="71" fillId="0" borderId="0" xfId="14" applyNumberFormat="1" applyFont="1" applyAlignment="1">
      <alignment horizontal="center" vertical="center" wrapText="1"/>
    </xf>
    <xf numFmtId="0" fontId="88" fillId="0" borderId="0" xfId="0" applyFont="1" applyAlignment="1">
      <alignment horizontal="justify" vertical="center" wrapText="1"/>
    </xf>
    <xf numFmtId="0" fontId="110" fillId="0" borderId="0" xfId="0" applyFont="1" applyAlignment="1">
      <alignment horizontal="justify" vertical="center" wrapText="1"/>
    </xf>
    <xf numFmtId="0" fontId="110" fillId="0" borderId="0" xfId="0" applyFont="1" applyAlignment="1">
      <alignment vertical="center"/>
    </xf>
    <xf numFmtId="9" fontId="45" fillId="0" borderId="0" xfId="21" applyNumberFormat="1" applyFont="1" applyAlignment="1">
      <alignment horizontal="justify" vertical="top" wrapText="1"/>
    </xf>
    <xf numFmtId="4" fontId="89" fillId="44" borderId="1" xfId="0" applyNumberFormat="1" applyFont="1" applyFill="1" applyBorder="1" applyAlignment="1">
      <alignment horizontal="center" vertical="center"/>
    </xf>
    <xf numFmtId="171" fontId="27" fillId="0" borderId="32" xfId="10" applyNumberFormat="1" applyFont="1" applyFill="1" applyBorder="1" applyAlignment="1">
      <alignment vertical="center"/>
    </xf>
    <xf numFmtId="172" fontId="27" fillId="0" borderId="4" xfId="10" applyNumberFormat="1" applyFont="1" applyFill="1" applyBorder="1" applyAlignment="1">
      <alignment vertical="center"/>
    </xf>
    <xf numFmtId="171" fontId="27" fillId="0" borderId="4" xfId="10" applyNumberFormat="1" applyFont="1" applyFill="1" applyBorder="1" applyAlignment="1">
      <alignment vertical="center"/>
    </xf>
    <xf numFmtId="171" fontId="98" fillId="0" borderId="4" xfId="10" applyNumberFormat="1" applyFont="1" applyFill="1" applyBorder="1" applyAlignment="1">
      <alignment vertical="center"/>
    </xf>
    <xf numFmtId="9" fontId="27" fillId="0" borderId="34" xfId="27" applyFont="1" applyFill="1" applyBorder="1" applyAlignment="1">
      <alignment vertical="center"/>
    </xf>
    <xf numFmtId="171" fontId="27" fillId="0" borderId="1" xfId="10" applyNumberFormat="1" applyFont="1" applyFill="1" applyBorder="1" applyAlignment="1">
      <alignment vertical="center"/>
    </xf>
    <xf numFmtId="171" fontId="98" fillId="0" borderId="1" xfId="10" applyNumberFormat="1" applyFont="1" applyFill="1" applyBorder="1" applyAlignment="1">
      <alignment vertical="center"/>
    </xf>
    <xf numFmtId="9" fontId="27" fillId="0" borderId="9" xfId="27" applyFont="1" applyFill="1" applyBorder="1" applyAlignment="1">
      <alignment vertical="center"/>
    </xf>
    <xf numFmtId="6" fontId="102" fillId="0" borderId="19" xfId="0" applyNumberFormat="1" applyFont="1" applyBorder="1" applyAlignment="1">
      <alignment vertical="center" wrapText="1"/>
    </xf>
    <xf numFmtId="5" fontId="27" fillId="0" borderId="58" xfId="10" applyNumberFormat="1" applyFont="1" applyFill="1" applyBorder="1" applyAlignment="1">
      <alignment vertical="center"/>
    </xf>
    <xf numFmtId="171" fontId="0" fillId="0" borderId="58" xfId="10" applyNumberFormat="1" applyFont="1" applyFill="1" applyBorder="1" applyAlignment="1">
      <alignment vertical="center"/>
    </xf>
    <xf numFmtId="172" fontId="27" fillId="0" borderId="58" xfId="10" applyNumberFormat="1" applyFont="1" applyFill="1" applyBorder="1" applyAlignment="1">
      <alignment vertical="center"/>
    </xf>
    <xf numFmtId="171" fontId="98" fillId="0" borderId="19" xfId="10" applyNumberFormat="1" applyFont="1" applyFill="1" applyBorder="1" applyAlignment="1">
      <alignment vertical="center"/>
    </xf>
    <xf numFmtId="9" fontId="27" fillId="0" borderId="33" xfId="27" applyFont="1" applyFill="1" applyBorder="1" applyAlignment="1">
      <alignment vertical="center"/>
    </xf>
    <xf numFmtId="5" fontId="20" fillId="0" borderId="32" xfId="10" applyNumberFormat="1" applyFont="1" applyFill="1" applyBorder="1" applyAlignment="1">
      <alignment vertical="center"/>
    </xf>
    <xf numFmtId="172" fontId="20" fillId="0" borderId="57" xfId="10" applyNumberFormat="1" applyFont="1" applyFill="1" applyBorder="1" applyAlignment="1">
      <alignment vertical="center"/>
    </xf>
    <xf numFmtId="171" fontId="20" fillId="0" borderId="57" xfId="10" applyNumberFormat="1" applyFont="1" applyFill="1" applyBorder="1" applyAlignment="1">
      <alignment vertical="center"/>
    </xf>
    <xf numFmtId="171" fontId="31" fillId="0" borderId="19" xfId="10" applyNumberFormat="1" applyFont="1" applyFill="1" applyBorder="1" applyAlignment="1">
      <alignment vertical="center"/>
    </xf>
    <xf numFmtId="0" fontId="58" fillId="19" borderId="5" xfId="27" applyNumberFormat="1" applyFont="1" applyFill="1" applyBorder="1" applyAlignment="1">
      <alignment horizontal="left" vertical="center" wrapText="1"/>
    </xf>
    <xf numFmtId="0" fontId="58" fillId="0" borderId="5" xfId="27" applyNumberFormat="1" applyFont="1" applyFill="1" applyBorder="1" applyAlignment="1">
      <alignment horizontal="left" vertical="center" wrapText="1"/>
    </xf>
    <xf numFmtId="3" fontId="32" fillId="9" borderId="22" xfId="0" applyNumberFormat="1" applyFont="1" applyFill="1" applyBorder="1" applyAlignment="1">
      <alignment horizontal="center" vertical="center"/>
    </xf>
    <xf numFmtId="3" fontId="32" fillId="9" borderId="0" xfId="0" applyNumberFormat="1" applyFont="1" applyFill="1" applyAlignment="1">
      <alignment horizontal="center" vertical="center"/>
    </xf>
    <xf numFmtId="3" fontId="32" fillId="9" borderId="3" xfId="0" applyNumberFormat="1" applyFont="1" applyFill="1" applyBorder="1" applyAlignment="1">
      <alignment horizontal="center" vertical="center"/>
    </xf>
    <xf numFmtId="0" fontId="11" fillId="0" borderId="43" xfId="21" applyFont="1" applyBorder="1" applyAlignment="1">
      <alignment horizontal="center" vertical="center" wrapText="1"/>
    </xf>
    <xf numFmtId="0" fontId="11" fillId="0" borderId="44" xfId="21" applyFont="1" applyBorder="1" applyAlignment="1">
      <alignment horizontal="center" vertical="center" wrapText="1"/>
    </xf>
    <xf numFmtId="0" fontId="11" fillId="0" borderId="45" xfId="21" applyFont="1" applyBorder="1" applyAlignment="1">
      <alignment horizontal="center" vertical="center" wrapText="1"/>
    </xf>
    <xf numFmtId="0" fontId="12" fillId="0" borderId="42" xfId="21" applyFont="1" applyBorder="1" applyAlignment="1">
      <alignment horizontal="center" vertical="center"/>
    </xf>
    <xf numFmtId="0" fontId="12" fillId="0" borderId="11" xfId="21" applyFont="1" applyBorder="1" applyAlignment="1">
      <alignment horizontal="center" vertical="center"/>
    </xf>
    <xf numFmtId="0" fontId="12" fillId="0" borderId="12" xfId="21" applyFont="1" applyBorder="1" applyAlignment="1">
      <alignment horizontal="center" vertical="center"/>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12" fillId="0" borderId="48" xfId="0" applyFont="1" applyBorder="1" applyAlignment="1">
      <alignment horizontal="left" vertical="center" wrapText="1"/>
    </xf>
    <xf numFmtId="0" fontId="12" fillId="0" borderId="13" xfId="21" applyFont="1" applyBorder="1" applyAlignment="1">
      <alignment horizontal="center" vertical="center"/>
    </xf>
    <xf numFmtId="0" fontId="12" fillId="0" borderId="0" xfId="21" applyFont="1" applyAlignment="1">
      <alignment horizontal="center" vertical="center"/>
    </xf>
    <xf numFmtId="0" fontId="12" fillId="0" borderId="14" xfId="21" applyFont="1" applyBorder="1" applyAlignment="1">
      <alignment horizontal="center"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12" fillId="0" borderId="9" xfId="0" applyFont="1" applyBorder="1" applyAlignment="1">
      <alignment horizontal="left" vertical="center" wrapText="1"/>
    </xf>
    <xf numFmtId="0" fontId="12" fillId="0" borderId="13" xfId="21" applyFont="1" applyBorder="1" applyAlignment="1">
      <alignment horizontal="center" vertical="center" wrapText="1"/>
    </xf>
    <xf numFmtId="0" fontId="12" fillId="0" borderId="0" xfId="21" applyFont="1" applyAlignment="1">
      <alignment horizontal="center" vertical="center" wrapText="1"/>
    </xf>
    <xf numFmtId="0" fontId="12" fillId="0" borderId="14" xfId="21" applyFont="1" applyBorder="1" applyAlignment="1">
      <alignment horizontal="center" vertical="center" wrapText="1"/>
    </xf>
    <xf numFmtId="0" fontId="12" fillId="0" borderId="39" xfId="21" applyFont="1" applyBorder="1" applyAlignment="1">
      <alignment horizontal="center" vertical="center" wrapText="1"/>
    </xf>
    <xf numFmtId="0" fontId="12" fillId="0" borderId="15" xfId="21" applyFont="1" applyBorder="1" applyAlignment="1">
      <alignment horizontal="center" vertical="center" wrapText="1"/>
    </xf>
    <xf numFmtId="0" fontId="12" fillId="0" borderId="16" xfId="21" applyFont="1" applyBorder="1" applyAlignment="1">
      <alignment horizontal="center" vertical="center" wrapText="1"/>
    </xf>
    <xf numFmtId="0" fontId="34" fillId="0" borderId="49" xfId="0" applyFont="1" applyBorder="1" applyAlignment="1">
      <alignment horizontal="left" vertical="center" wrapText="1"/>
    </xf>
    <xf numFmtId="0" fontId="34" fillId="0" borderId="19" xfId="0" applyFont="1" applyBorder="1" applyAlignment="1">
      <alignment horizontal="left" vertical="center" wrapText="1"/>
    </xf>
    <xf numFmtId="0" fontId="34" fillId="0" borderId="33" xfId="0" applyFont="1" applyBorder="1" applyAlignment="1">
      <alignment horizontal="left" vertical="center" wrapText="1"/>
    </xf>
    <xf numFmtId="0" fontId="12" fillId="20" borderId="42" xfId="21" applyFont="1" applyFill="1" applyBorder="1" applyAlignment="1">
      <alignment horizontal="left" vertical="center" wrapText="1"/>
    </xf>
    <xf numFmtId="0" fontId="12" fillId="20" borderId="12" xfId="21" applyFont="1" applyFill="1" applyBorder="1" applyAlignment="1">
      <alignment horizontal="left" vertical="center" wrapText="1"/>
    </xf>
    <xf numFmtId="0" fontId="12" fillId="20" borderId="13" xfId="21" applyFont="1" applyFill="1" applyBorder="1" applyAlignment="1">
      <alignment horizontal="left" vertical="center" wrapText="1"/>
    </xf>
    <xf numFmtId="0" fontId="12" fillId="20" borderId="14" xfId="21" applyFont="1" applyFill="1" applyBorder="1" applyAlignment="1">
      <alignment horizontal="left" vertical="center" wrapText="1"/>
    </xf>
    <xf numFmtId="0" fontId="12" fillId="20" borderId="39" xfId="21" applyFont="1" applyFill="1" applyBorder="1" applyAlignment="1">
      <alignment horizontal="left" vertical="center" wrapText="1"/>
    </xf>
    <xf numFmtId="0" fontId="12" fillId="20" borderId="16" xfId="21" applyFont="1" applyFill="1" applyBorder="1" applyAlignment="1">
      <alignment horizontal="left" vertical="center" wrapText="1"/>
    </xf>
    <xf numFmtId="0" fontId="12" fillId="0" borderId="42" xfId="21" applyFont="1" applyBorder="1" applyAlignment="1">
      <alignment horizontal="center" vertical="center" wrapText="1"/>
    </xf>
    <xf numFmtId="0" fontId="12" fillId="0" borderId="11" xfId="21" applyFont="1" applyBorder="1" applyAlignment="1">
      <alignment horizontal="center" vertical="center" wrapText="1"/>
    </xf>
    <xf numFmtId="0" fontId="12" fillId="0" borderId="12" xfId="21" applyFont="1" applyBorder="1" applyAlignment="1">
      <alignment horizontal="center" vertical="center" wrapText="1"/>
    </xf>
    <xf numFmtId="0" fontId="38" fillId="0" borderId="43" xfId="0" applyFont="1" applyBorder="1" applyAlignment="1">
      <alignment horizontal="center" vertical="center"/>
    </xf>
    <xf numFmtId="0" fontId="38" fillId="0" borderId="44" xfId="0" applyFont="1" applyBorder="1" applyAlignment="1">
      <alignment horizontal="center" vertical="center"/>
    </xf>
    <xf numFmtId="0" fontId="38" fillId="0" borderId="45" xfId="0" applyFont="1" applyBorder="1" applyAlignment="1">
      <alignment horizontal="center" vertical="center"/>
    </xf>
    <xf numFmtId="0" fontId="12" fillId="20" borderId="11" xfId="21" applyFont="1" applyFill="1" applyBorder="1" applyAlignment="1">
      <alignment horizontal="left" vertical="center" wrapText="1"/>
    </xf>
    <xf numFmtId="0" fontId="12" fillId="20" borderId="0" xfId="21" applyFont="1" applyFill="1" applyAlignment="1">
      <alignment horizontal="left" vertical="center" wrapText="1"/>
    </xf>
    <xf numFmtId="0" fontId="12" fillId="20" borderId="15" xfId="21" applyFont="1" applyFill="1" applyBorder="1" applyAlignment="1">
      <alignment horizontal="left" vertical="center" wrapText="1"/>
    </xf>
    <xf numFmtId="14" fontId="37" fillId="0" borderId="42"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39" xfId="0" applyFont="1" applyBorder="1" applyAlignment="1">
      <alignment horizontal="center" vertical="center"/>
    </xf>
    <xf numFmtId="0" fontId="37" fillId="0" borderId="16" xfId="0" applyFont="1" applyBorder="1" applyAlignment="1">
      <alignment horizontal="center" vertical="center"/>
    </xf>
    <xf numFmtId="0" fontId="31" fillId="0" borderId="50" xfId="0" applyFont="1" applyBorder="1" applyAlignment="1">
      <alignment horizontal="center" vertical="center" wrapText="1"/>
    </xf>
    <xf numFmtId="0" fontId="31" fillId="0" borderId="51" xfId="0" applyFont="1" applyBorder="1" applyAlignment="1">
      <alignment horizontal="center" vertical="center" wrapText="1"/>
    </xf>
    <xf numFmtId="0" fontId="12" fillId="0" borderId="36" xfId="21" applyFont="1" applyBorder="1" applyAlignment="1">
      <alignment horizontal="center" vertical="center" wrapText="1"/>
    </xf>
    <xf numFmtId="0" fontId="12" fillId="0" borderId="37" xfId="21" applyFont="1" applyBorder="1" applyAlignment="1">
      <alignment horizontal="center" vertical="center" wrapText="1"/>
    </xf>
    <xf numFmtId="0" fontId="12" fillId="0" borderId="38" xfId="21"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31" fillId="0" borderId="52" xfId="0" applyFont="1" applyBorder="1" applyAlignment="1">
      <alignment horizontal="center" vertical="center" wrapText="1"/>
    </xf>
    <xf numFmtId="0" fontId="31" fillId="0" borderId="26" xfId="0" applyFont="1" applyBorder="1" applyAlignment="1">
      <alignment horizontal="center" vertical="center" wrapText="1"/>
    </xf>
    <xf numFmtId="0" fontId="0" fillId="0" borderId="52" xfId="0" applyBorder="1" applyAlignment="1">
      <alignment horizontal="center" vertical="center"/>
    </xf>
    <xf numFmtId="0" fontId="0" fillId="0" borderId="26" xfId="0" applyBorder="1" applyAlignment="1">
      <alignment horizontal="center" vertical="center"/>
    </xf>
    <xf numFmtId="0" fontId="31" fillId="0" borderId="53" xfId="0" applyFont="1" applyBorder="1" applyAlignment="1">
      <alignment horizontal="center" vertical="center" wrapText="1"/>
    </xf>
    <xf numFmtId="0" fontId="31"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12" fillId="20" borderId="36" xfId="21" applyFont="1" applyFill="1" applyBorder="1" applyAlignment="1">
      <alignment horizontal="left" vertical="center" wrapText="1"/>
    </xf>
    <xf numFmtId="0" fontId="12" fillId="20" borderId="38" xfId="21" applyFont="1" applyFill="1" applyBorder="1" applyAlignment="1">
      <alignment horizontal="left" vertical="center" wrapText="1"/>
    </xf>
    <xf numFmtId="0" fontId="12" fillId="20" borderId="36" xfId="21" applyFont="1" applyFill="1" applyBorder="1" applyAlignment="1">
      <alignment horizontal="center" vertical="center" wrapText="1"/>
    </xf>
    <xf numFmtId="0" fontId="12" fillId="20" borderId="37" xfId="21" applyFont="1" applyFill="1" applyBorder="1" applyAlignment="1">
      <alignment horizontal="center" vertical="center" wrapText="1"/>
    </xf>
    <xf numFmtId="0" fontId="12" fillId="20" borderId="38" xfId="21" applyFont="1" applyFill="1" applyBorder="1" applyAlignment="1">
      <alignment horizontal="center" vertical="center" wrapText="1"/>
    </xf>
    <xf numFmtId="0" fontId="12" fillId="0" borderId="27" xfId="21" applyFont="1" applyBorder="1" applyAlignment="1">
      <alignment horizontal="center" vertical="center" wrapText="1"/>
    </xf>
    <xf numFmtId="0" fontId="12" fillId="0" borderId="28" xfId="21" applyFont="1" applyBorder="1" applyAlignment="1">
      <alignment horizontal="center" vertical="center" wrapText="1"/>
    </xf>
    <xf numFmtId="0" fontId="12" fillId="0" borderId="29" xfId="21" applyFont="1" applyBorder="1" applyAlignment="1">
      <alignment horizontal="center" vertical="center" wrapText="1"/>
    </xf>
    <xf numFmtId="0" fontId="12" fillId="20" borderId="8" xfId="21" applyFont="1" applyFill="1" applyBorder="1" applyAlignment="1">
      <alignment horizontal="center" vertical="center" wrapText="1"/>
    </xf>
    <xf numFmtId="0" fontId="12" fillId="20" borderId="9" xfId="21" applyFont="1" applyFill="1" applyBorder="1" applyAlignment="1">
      <alignment horizontal="center" vertical="center" wrapText="1"/>
    </xf>
    <xf numFmtId="0" fontId="12" fillId="19" borderId="15" xfId="21" applyFont="1" applyFill="1" applyBorder="1" applyAlignment="1">
      <alignment horizontal="left" vertical="center" wrapText="1"/>
    </xf>
    <xf numFmtId="0" fontId="11" fillId="0" borderId="36" xfId="21" applyFont="1" applyBorder="1" applyAlignment="1">
      <alignment horizontal="left" vertical="center" wrapText="1"/>
    </xf>
    <xf numFmtId="0" fontId="11" fillId="0" borderId="37" xfId="21" applyFont="1" applyBorder="1" applyAlignment="1">
      <alignment horizontal="left" vertical="center" wrapText="1"/>
    </xf>
    <xf numFmtId="0" fontId="11" fillId="0" borderId="38" xfId="21" applyFont="1" applyBorder="1" applyAlignment="1">
      <alignment horizontal="left" vertical="center" wrapText="1"/>
    </xf>
    <xf numFmtId="1" fontId="12" fillId="0" borderId="36" xfId="27" applyNumberFormat="1" applyFont="1" applyFill="1" applyBorder="1" applyAlignment="1" applyProtection="1">
      <alignment horizontal="center" vertical="center" wrapText="1"/>
    </xf>
    <xf numFmtId="1" fontId="12" fillId="0" borderId="38" xfId="27" applyNumberFormat="1" applyFont="1" applyFill="1" applyBorder="1" applyAlignment="1" applyProtection="1">
      <alignment horizontal="center" vertical="center" wrapText="1"/>
    </xf>
    <xf numFmtId="9" fontId="12" fillId="0" borderId="36" xfId="21" applyNumberFormat="1" applyFont="1" applyBorder="1" applyAlignment="1">
      <alignment horizontal="center" vertical="center" wrapText="1"/>
    </xf>
    <xf numFmtId="9" fontId="12" fillId="0" borderId="38" xfId="21" applyNumberFormat="1" applyFont="1" applyBorder="1" applyAlignment="1">
      <alignment horizontal="center" vertical="center" wrapText="1"/>
    </xf>
    <xf numFmtId="0" fontId="12" fillId="20" borderId="13" xfId="21" applyFont="1" applyFill="1" applyBorder="1" applyAlignment="1">
      <alignment horizontal="center" vertical="center" wrapText="1"/>
    </xf>
    <xf numFmtId="0" fontId="12" fillId="20" borderId="0" xfId="21" applyFont="1" applyFill="1" applyAlignment="1">
      <alignment horizontal="center" vertical="center" wrapText="1"/>
    </xf>
    <xf numFmtId="0" fontId="12" fillId="20" borderId="14" xfId="21" applyFont="1" applyFill="1" applyBorder="1" applyAlignment="1">
      <alignment horizontal="center" vertical="center" wrapText="1"/>
    </xf>
    <xf numFmtId="0" fontId="12" fillId="20" borderId="40" xfId="21" applyFont="1" applyFill="1" applyBorder="1" applyAlignment="1">
      <alignment horizontal="center" vertical="center" wrapText="1"/>
    </xf>
    <xf numFmtId="0" fontId="12" fillId="20" borderId="48" xfId="21" applyFont="1" applyFill="1" applyBorder="1" applyAlignment="1">
      <alignment horizontal="center" vertical="center" wrapText="1"/>
    </xf>
    <xf numFmtId="0" fontId="12" fillId="20" borderId="31" xfId="21" applyFont="1" applyFill="1" applyBorder="1" applyAlignment="1">
      <alignment horizontal="center" vertical="center" wrapText="1"/>
    </xf>
    <xf numFmtId="0" fontId="12" fillId="20" borderId="33" xfId="21" applyFont="1" applyFill="1" applyBorder="1" applyAlignment="1">
      <alignment horizontal="center" vertical="center" wrapText="1"/>
    </xf>
    <xf numFmtId="0" fontId="12" fillId="19" borderId="40" xfId="21" applyFont="1" applyFill="1" applyBorder="1" applyAlignment="1">
      <alignment horizontal="center" vertical="center" wrapText="1"/>
    </xf>
    <xf numFmtId="0" fontId="12" fillId="19" borderId="46" xfId="21" applyFont="1" applyFill="1" applyBorder="1" applyAlignment="1">
      <alignment horizontal="center" vertical="center" wrapText="1"/>
    </xf>
    <xf numFmtId="0" fontId="12" fillId="19" borderId="47" xfId="21" applyFont="1" applyFill="1" applyBorder="1" applyAlignment="1">
      <alignment horizontal="center" vertical="center" wrapText="1"/>
    </xf>
    <xf numFmtId="0" fontId="12" fillId="19" borderId="48" xfId="21" applyFont="1" applyFill="1" applyBorder="1" applyAlignment="1">
      <alignment horizontal="center" vertical="center" wrapText="1"/>
    </xf>
    <xf numFmtId="0" fontId="12" fillId="20" borderId="30" xfId="21" applyFont="1" applyFill="1" applyBorder="1" applyAlignment="1">
      <alignment horizontal="center" vertical="center" wrapText="1"/>
    </xf>
    <xf numFmtId="0" fontId="12" fillId="20" borderId="6" xfId="21" applyFont="1" applyFill="1" applyBorder="1" applyAlignment="1">
      <alignment horizontal="center" vertical="center" wrapText="1"/>
    </xf>
    <xf numFmtId="0" fontId="12" fillId="20" borderId="55" xfId="21" applyFont="1" applyFill="1" applyBorder="1" applyAlignment="1">
      <alignment horizontal="center" vertical="center" wrapText="1"/>
    </xf>
    <xf numFmtId="0" fontId="12" fillId="20" borderId="23" xfId="21" applyFont="1" applyFill="1" applyBorder="1" applyAlignment="1">
      <alignment horizontal="center" vertical="center" wrapText="1"/>
    </xf>
    <xf numFmtId="0" fontId="12" fillId="20" borderId="20" xfId="21" applyFont="1" applyFill="1" applyBorder="1" applyAlignment="1">
      <alignment horizontal="center" vertical="center" wrapText="1"/>
    </xf>
    <xf numFmtId="0" fontId="12" fillId="20" borderId="25" xfId="21" applyFont="1" applyFill="1" applyBorder="1" applyAlignment="1">
      <alignment horizontal="center" vertical="center" wrapText="1"/>
    </xf>
    <xf numFmtId="0" fontId="12" fillId="20" borderId="2" xfId="21" applyFont="1" applyFill="1" applyBorder="1" applyAlignment="1">
      <alignment horizontal="center" vertical="center" wrapText="1"/>
    </xf>
    <xf numFmtId="0" fontId="12" fillId="20" borderId="56" xfId="21" applyFont="1" applyFill="1" applyBorder="1" applyAlignment="1">
      <alignment horizontal="center" vertical="center" wrapText="1"/>
    </xf>
    <xf numFmtId="0" fontId="12" fillId="20" borderId="5" xfId="21" applyFont="1" applyFill="1" applyBorder="1" applyAlignment="1">
      <alignment horizontal="center" vertical="center" wrapText="1"/>
    </xf>
    <xf numFmtId="0" fontId="12" fillId="20" borderId="1" xfId="21" applyFont="1" applyFill="1" applyBorder="1" applyAlignment="1">
      <alignment horizontal="center" vertical="center" wrapText="1"/>
    </xf>
    <xf numFmtId="4" fontId="12" fillId="0" borderId="55" xfId="21" applyNumberFormat="1" applyFont="1" applyBorder="1" applyAlignment="1">
      <alignment horizontal="center" vertical="center" wrapText="1"/>
    </xf>
    <xf numFmtId="4" fontId="12" fillId="0" borderId="23" xfId="21" applyNumberFormat="1" applyFont="1" applyBorder="1" applyAlignment="1">
      <alignment horizontal="center" vertical="center" wrapText="1"/>
    </xf>
    <xf numFmtId="0" fontId="100" fillId="0" borderId="1" xfId="21" applyFont="1" applyBorder="1" applyAlignment="1" applyProtection="1">
      <alignment horizontal="left" vertical="center" wrapText="1"/>
      <protection locked="0"/>
    </xf>
    <xf numFmtId="0" fontId="32" fillId="0" borderId="1" xfId="21" applyFont="1" applyBorder="1" applyAlignment="1" applyProtection="1">
      <alignment horizontal="left" vertical="center" wrapText="1"/>
      <protection locked="0"/>
    </xf>
    <xf numFmtId="0" fontId="32" fillId="0" borderId="9" xfId="21" applyFont="1" applyBorder="1" applyAlignment="1" applyProtection="1">
      <alignment horizontal="left" vertical="center" wrapText="1"/>
      <protection locked="0"/>
    </xf>
    <xf numFmtId="0" fontId="12" fillId="0" borderId="40" xfId="21" applyFont="1" applyBorder="1" applyAlignment="1">
      <alignment horizontal="center" vertical="center" wrapText="1"/>
    </xf>
    <xf numFmtId="0" fontId="12" fillId="0" borderId="47" xfId="21" applyFont="1" applyBorder="1" applyAlignment="1">
      <alignment horizontal="center" vertical="center" wrapText="1"/>
    </xf>
    <xf numFmtId="0" fontId="12" fillId="0" borderId="48" xfId="21" applyFont="1" applyBorder="1" applyAlignment="1">
      <alignment horizontal="center" vertical="center" wrapText="1"/>
    </xf>
    <xf numFmtId="0" fontId="11" fillId="20" borderId="1" xfId="21" applyFont="1" applyFill="1" applyBorder="1" applyAlignment="1">
      <alignment horizontal="center" vertical="center" wrapText="1"/>
    </xf>
    <xf numFmtId="0" fontId="12" fillId="20" borderId="3" xfId="21" applyFont="1" applyFill="1" applyBorder="1" applyAlignment="1">
      <alignment horizontal="center" vertical="center" wrapText="1"/>
    </xf>
    <xf numFmtId="2" fontId="11" fillId="0" borderId="1" xfId="21" applyNumberFormat="1" applyFont="1" applyBorder="1" applyAlignment="1">
      <alignment horizontal="justify" vertical="center" wrapText="1"/>
    </xf>
    <xf numFmtId="9" fontId="12" fillId="0" borderId="1" xfId="27" applyFont="1" applyBorder="1" applyAlignment="1">
      <alignment horizontal="center" vertical="center" wrapText="1"/>
    </xf>
    <xf numFmtId="0" fontId="36" fillId="0" borderId="55" xfId="0" applyFont="1" applyBorder="1" applyAlignment="1">
      <alignment vertical="center" wrapText="1"/>
    </xf>
    <xf numFmtId="0" fontId="36" fillId="0" borderId="22" xfId="0" applyFont="1" applyBorder="1" applyAlignment="1">
      <alignment vertical="center" wrapText="1"/>
    </xf>
    <xf numFmtId="0" fontId="36" fillId="0" borderId="23" xfId="0" applyFont="1" applyBorder="1" applyAlignment="1">
      <alignment vertical="center" wrapText="1"/>
    </xf>
    <xf numFmtId="0" fontId="36" fillId="0" borderId="20" xfId="0" applyFont="1" applyBorder="1" applyAlignment="1">
      <alignment vertical="center" wrapText="1"/>
    </xf>
    <xf numFmtId="0" fontId="36" fillId="0" borderId="3" xfId="0" applyFont="1" applyBorder="1" applyAlignment="1">
      <alignment vertical="center" wrapText="1"/>
    </xf>
    <xf numFmtId="0" fontId="36" fillId="0" borderId="25" xfId="0" applyFont="1" applyBorder="1" applyAlignment="1">
      <alignment vertical="center" wrapText="1"/>
    </xf>
    <xf numFmtId="0" fontId="12" fillId="20" borderId="7" xfId="21" applyFont="1" applyFill="1" applyBorder="1" applyAlignment="1">
      <alignment horizontal="center" vertical="center" wrapText="1"/>
    </xf>
    <xf numFmtId="0" fontId="11" fillId="0" borderId="18" xfId="21" applyFont="1" applyBorder="1" applyAlignment="1">
      <alignment horizontal="center" vertical="center" wrapText="1"/>
    </xf>
    <xf numFmtId="0" fontId="11" fillId="0" borderId="79" xfId="21" applyFont="1" applyBorder="1" applyAlignment="1">
      <alignment horizontal="center" vertical="center" wrapText="1"/>
    </xf>
    <xf numFmtId="9" fontId="12" fillId="0" borderId="10" xfId="21" applyNumberFormat="1" applyFont="1" applyBorder="1" applyAlignment="1">
      <alignment horizontal="center" vertical="center" wrapText="1"/>
    </xf>
    <xf numFmtId="0" fontId="12" fillId="0" borderId="35" xfId="21" applyFont="1" applyBorder="1" applyAlignment="1">
      <alignment horizontal="center" vertical="center" wrapText="1"/>
    </xf>
    <xf numFmtId="0" fontId="36" fillId="45" borderId="55" xfId="0" applyFont="1" applyFill="1" applyBorder="1" applyAlignment="1">
      <alignment vertical="center" wrapText="1"/>
    </xf>
    <xf numFmtId="0" fontId="36" fillId="45" borderId="22" xfId="0" applyFont="1" applyFill="1" applyBorder="1" applyAlignment="1">
      <alignment vertical="center" wrapText="1"/>
    </xf>
    <xf numFmtId="0" fontId="36" fillId="45" borderId="95" xfId="0" applyFont="1" applyFill="1" applyBorder="1" applyAlignment="1">
      <alignment vertical="center" wrapText="1"/>
    </xf>
    <xf numFmtId="0" fontId="36" fillId="45" borderId="64" xfId="0" applyFont="1" applyFill="1" applyBorder="1" applyAlignment="1">
      <alignment vertical="center" wrapText="1"/>
    </xf>
    <xf numFmtId="0" fontId="36" fillId="45" borderId="0" xfId="0" applyFont="1" applyFill="1" applyAlignment="1">
      <alignment vertical="center" wrapText="1"/>
    </xf>
    <xf numFmtId="0" fontId="36" fillId="45" borderId="96" xfId="0" applyFont="1" applyFill="1" applyBorder="1" applyAlignment="1">
      <alignment vertical="center" wrapText="1"/>
    </xf>
    <xf numFmtId="0" fontId="36" fillId="0" borderId="64" xfId="0" applyFont="1" applyBorder="1" applyAlignment="1">
      <alignment vertical="center" wrapText="1"/>
    </xf>
    <xf numFmtId="0" fontId="36" fillId="0" borderId="0" xfId="0" applyFont="1" applyAlignment="1">
      <alignment vertical="center" wrapText="1"/>
    </xf>
    <xf numFmtId="0" fontId="100" fillId="45" borderId="55" xfId="0" applyFont="1" applyFill="1" applyBorder="1" applyAlignment="1">
      <alignment vertical="center" wrapText="1"/>
    </xf>
    <xf numFmtId="0" fontId="36" fillId="45" borderId="23" xfId="0" applyFont="1" applyFill="1" applyBorder="1" applyAlignment="1">
      <alignment vertical="center" wrapText="1"/>
    </xf>
    <xf numFmtId="0" fontId="36" fillId="45" borderId="20" xfId="0" applyFont="1" applyFill="1" applyBorder="1" applyAlignment="1">
      <alignment vertical="center" wrapText="1"/>
    </xf>
    <xf numFmtId="0" fontId="36" fillId="45" borderId="3" xfId="0" applyFont="1" applyFill="1" applyBorder="1" applyAlignment="1">
      <alignment vertical="center" wrapText="1"/>
    </xf>
    <xf numFmtId="0" fontId="36" fillId="45" borderId="25" xfId="0" applyFont="1" applyFill="1" applyBorder="1" applyAlignment="1">
      <alignment vertical="center" wrapText="1"/>
    </xf>
    <xf numFmtId="0" fontId="100" fillId="0" borderId="55" xfId="0" applyFont="1" applyBorder="1" applyAlignment="1">
      <alignment vertical="center" wrapText="1"/>
    </xf>
    <xf numFmtId="2" fontId="11" fillId="0" borderId="32" xfId="21" applyNumberFormat="1" applyFont="1" applyBorder="1" applyAlignment="1">
      <alignment horizontal="justify" vertical="center" wrapText="1"/>
    </xf>
    <xf numFmtId="2" fontId="11" fillId="0" borderId="31" xfId="21" applyNumberFormat="1" applyFont="1" applyBorder="1" applyAlignment="1">
      <alignment horizontal="justify" vertical="center" wrapText="1"/>
    </xf>
    <xf numFmtId="9" fontId="12" fillId="0" borderId="35" xfId="27" applyFont="1" applyBorder="1" applyAlignment="1">
      <alignment horizontal="center" vertical="center" wrapText="1"/>
    </xf>
    <xf numFmtId="9" fontId="12" fillId="0" borderId="58" xfId="27" applyFont="1" applyBorder="1" applyAlignment="1">
      <alignment horizontal="center" vertical="center" wrapText="1"/>
    </xf>
    <xf numFmtId="9" fontId="32" fillId="0" borderId="55" xfId="21" applyNumberFormat="1" applyFont="1" applyBorder="1" applyAlignment="1">
      <alignment horizontal="justify" vertical="center" wrapText="1"/>
    </xf>
    <xf numFmtId="9" fontId="32" fillId="0" borderId="22" xfId="21" applyNumberFormat="1" applyFont="1" applyBorder="1" applyAlignment="1">
      <alignment horizontal="justify" vertical="center" wrapText="1"/>
    </xf>
    <xf numFmtId="9" fontId="32" fillId="0" borderId="61" xfId="21" applyNumberFormat="1" applyFont="1" applyBorder="1" applyAlignment="1">
      <alignment horizontal="justify" vertical="center" wrapText="1"/>
    </xf>
    <xf numFmtId="9" fontId="32" fillId="0" borderId="59" xfId="21" applyNumberFormat="1" applyFont="1" applyBorder="1" applyAlignment="1">
      <alignment horizontal="justify" vertical="center" wrapText="1"/>
    </xf>
    <xf numFmtId="9" fontId="32" fillId="0" borderId="15" xfId="21" applyNumberFormat="1" applyFont="1" applyBorder="1" applyAlignment="1">
      <alignment horizontal="justify" vertical="center" wrapText="1"/>
    </xf>
    <xf numFmtId="9" fontId="32" fillId="0" borderId="16" xfId="21" applyNumberFormat="1" applyFont="1" applyBorder="1" applyAlignment="1">
      <alignment horizontal="justify" vertical="center" wrapText="1"/>
    </xf>
    <xf numFmtId="0" fontId="12" fillId="20" borderId="62" xfId="21" applyFont="1" applyFill="1" applyBorder="1" applyAlignment="1">
      <alignment horizontal="center" vertical="center" wrapText="1"/>
    </xf>
    <xf numFmtId="0" fontId="12" fillId="20" borderId="4" xfId="21" applyFont="1" applyFill="1" applyBorder="1" applyAlignment="1">
      <alignment horizontal="center" vertical="center" wrapText="1"/>
    </xf>
    <xf numFmtId="0" fontId="12" fillId="20" borderId="47" xfId="21" applyFont="1" applyFill="1" applyBorder="1" applyAlignment="1">
      <alignment horizontal="center" vertical="center" wrapText="1"/>
    </xf>
    <xf numFmtId="0" fontId="12" fillId="20" borderId="41" xfId="21" applyFont="1" applyFill="1" applyBorder="1" applyAlignment="1">
      <alignment horizontal="center" vertical="center" wrapText="1"/>
    </xf>
    <xf numFmtId="0" fontId="12" fillId="20" borderId="63" xfId="21" applyFont="1" applyFill="1" applyBorder="1" applyAlignment="1">
      <alignment horizontal="center" vertical="center" wrapText="1"/>
    </xf>
    <xf numFmtId="0" fontId="12" fillId="20" borderId="51" xfId="21" applyFont="1" applyFill="1" applyBorder="1" applyAlignment="1">
      <alignment horizontal="center" vertical="center" wrapText="1"/>
    </xf>
    <xf numFmtId="0" fontId="12" fillId="20" borderId="26" xfId="21" applyFont="1" applyFill="1" applyBorder="1" applyAlignment="1">
      <alignment horizontal="center" vertical="center" wrapText="1"/>
    </xf>
    <xf numFmtId="0" fontId="11" fillId="0" borderId="18" xfId="21" applyFont="1" applyBorder="1" applyAlignment="1">
      <alignment horizontal="justify" vertical="center" wrapText="1"/>
    </xf>
    <xf numFmtId="0" fontId="11" fillId="0" borderId="57" xfId="21" applyFont="1" applyBorder="1" applyAlignment="1">
      <alignment horizontal="justify" vertical="center" wrapText="1"/>
    </xf>
    <xf numFmtId="0" fontId="12" fillId="0" borderId="58" xfId="21" applyFont="1" applyBorder="1" applyAlignment="1">
      <alignment horizontal="center" vertical="center" wrapText="1"/>
    </xf>
    <xf numFmtId="9" fontId="32" fillId="0" borderId="55" xfId="29" applyFont="1" applyFill="1" applyBorder="1" applyAlignment="1" applyProtection="1">
      <alignment horizontal="justify" vertical="center" wrapText="1"/>
    </xf>
    <xf numFmtId="9" fontId="32" fillId="0" borderId="22" xfId="29" applyFont="1" applyFill="1" applyBorder="1" applyAlignment="1" applyProtection="1">
      <alignment horizontal="justify" vertical="center" wrapText="1"/>
    </xf>
    <xf numFmtId="9" fontId="32" fillId="0" borderId="23" xfId="29" applyFont="1" applyFill="1" applyBorder="1" applyAlignment="1" applyProtection="1">
      <alignment horizontal="justify" vertical="center" wrapText="1"/>
    </xf>
    <xf numFmtId="9" fontId="32" fillId="0" borderId="59" xfId="29" applyFont="1" applyFill="1" applyBorder="1" applyAlignment="1" applyProtection="1">
      <alignment horizontal="justify" vertical="center" wrapText="1"/>
    </xf>
    <xf numFmtId="9" fontId="32" fillId="0" borderId="15" xfId="29" applyFont="1" applyFill="1" applyBorder="1" applyAlignment="1" applyProtection="1">
      <alignment horizontal="justify" vertical="center" wrapText="1"/>
    </xf>
    <xf numFmtId="9" fontId="32" fillId="0" borderId="60" xfId="29" applyFont="1" applyFill="1" applyBorder="1" applyAlignment="1" applyProtection="1">
      <alignment horizontal="justify" vertical="center" wrapText="1"/>
    </xf>
    <xf numFmtId="9" fontId="33" fillId="0" borderId="55" xfId="29" applyFont="1" applyFill="1" applyBorder="1" applyAlignment="1" applyProtection="1">
      <alignment horizontal="center" vertical="center" wrapText="1"/>
    </xf>
    <xf numFmtId="9" fontId="33" fillId="0" borderId="22" xfId="29" applyFont="1" applyFill="1" applyBorder="1" applyAlignment="1" applyProtection="1">
      <alignment horizontal="center" vertical="center" wrapText="1"/>
    </xf>
    <xf numFmtId="9" fontId="33" fillId="0" borderId="61" xfId="29" applyFont="1" applyFill="1" applyBorder="1" applyAlignment="1" applyProtection="1">
      <alignment horizontal="center" vertical="center" wrapText="1"/>
    </xf>
    <xf numFmtId="9" fontId="33" fillId="0" borderId="59" xfId="29" applyFont="1" applyFill="1" applyBorder="1" applyAlignment="1" applyProtection="1">
      <alignment horizontal="center" vertical="center" wrapText="1"/>
    </xf>
    <xf numFmtId="9" fontId="33" fillId="0" borderId="15" xfId="29" applyFont="1" applyFill="1" applyBorder="1" applyAlignment="1" applyProtection="1">
      <alignment horizontal="center" vertical="center" wrapText="1"/>
    </xf>
    <xf numFmtId="9" fontId="33" fillId="0" borderId="16" xfId="29" applyFont="1" applyFill="1" applyBorder="1" applyAlignment="1" applyProtection="1">
      <alignment horizontal="center" vertical="center" wrapText="1"/>
    </xf>
    <xf numFmtId="3" fontId="12" fillId="0" borderId="55" xfId="21" applyNumberFormat="1" applyFont="1" applyBorder="1" applyAlignment="1">
      <alignment horizontal="center" vertical="center" wrapText="1"/>
    </xf>
    <xf numFmtId="3" fontId="12" fillId="0" borderId="23" xfId="21" applyNumberFormat="1" applyFont="1" applyBorder="1" applyAlignment="1">
      <alignment horizontal="center" vertical="center" wrapText="1"/>
    </xf>
    <xf numFmtId="0" fontId="11" fillId="0" borderId="1" xfId="21" applyFont="1" applyBorder="1" applyAlignment="1">
      <alignment horizontal="left" vertical="center" wrapText="1"/>
    </xf>
    <xf numFmtId="0" fontId="11" fillId="0" borderId="9" xfId="21" applyFont="1" applyBorder="1" applyAlignment="1">
      <alignment horizontal="left" vertical="center" wrapText="1"/>
    </xf>
    <xf numFmtId="0" fontId="12" fillId="20" borderId="18" xfId="21" applyFont="1" applyFill="1" applyBorder="1" applyAlignment="1">
      <alignment horizontal="center" vertical="center" wrapText="1"/>
    </xf>
    <xf numFmtId="0" fontId="12" fillId="20" borderId="32" xfId="21" applyFont="1" applyFill="1" applyBorder="1" applyAlignment="1">
      <alignment horizontal="center" vertical="center" wrapText="1"/>
    </xf>
    <xf numFmtId="0" fontId="12" fillId="20" borderId="11" xfId="21" applyFont="1" applyFill="1" applyBorder="1" applyAlignment="1">
      <alignment horizontal="center" vertical="center" wrapText="1"/>
    </xf>
    <xf numFmtId="0" fontId="12" fillId="20" borderId="12" xfId="21" applyFont="1" applyFill="1" applyBorder="1" applyAlignment="1">
      <alignment horizontal="center" vertical="center" wrapText="1"/>
    </xf>
    <xf numFmtId="0" fontId="12" fillId="20" borderId="42" xfId="21" applyFont="1" applyFill="1" applyBorder="1" applyAlignment="1">
      <alignment horizontal="center" vertical="center" wrapText="1"/>
    </xf>
    <xf numFmtId="0" fontId="11" fillId="0" borderId="36" xfId="21" applyFont="1" applyBorder="1" applyAlignment="1">
      <alignment horizontal="center" vertical="center" wrapText="1"/>
    </xf>
    <xf numFmtId="0" fontId="11" fillId="0" borderId="37" xfId="21" applyFont="1" applyBorder="1" applyAlignment="1">
      <alignment horizontal="center" vertical="center" wrapText="1"/>
    </xf>
    <xf numFmtId="0" fontId="11" fillId="0" borderId="38" xfId="21" applyFont="1" applyBorder="1" applyAlignment="1">
      <alignment horizontal="center" vertical="center" wrapText="1"/>
    </xf>
    <xf numFmtId="3" fontId="12" fillId="0" borderId="36" xfId="27" applyNumberFormat="1" applyFont="1" applyFill="1" applyBorder="1" applyAlignment="1" applyProtection="1">
      <alignment horizontal="center" vertical="center" wrapText="1"/>
    </xf>
    <xf numFmtId="3" fontId="12" fillId="0" borderId="38" xfId="27" applyNumberFormat="1" applyFont="1" applyFill="1" applyBorder="1" applyAlignment="1" applyProtection="1">
      <alignment horizontal="center" vertical="center" wrapText="1"/>
    </xf>
    <xf numFmtId="0" fontId="39" fillId="0" borderId="49" xfId="0" applyFont="1" applyBorder="1" applyAlignment="1">
      <alignment horizontal="left" vertical="center" wrapText="1"/>
    </xf>
    <xf numFmtId="0" fontId="39" fillId="0" borderId="19" xfId="0" applyFont="1" applyBorder="1" applyAlignment="1">
      <alignment horizontal="left" vertical="center" wrapText="1"/>
    </xf>
    <xf numFmtId="0" fontId="39" fillId="0" borderId="33" xfId="0" applyFont="1" applyBorder="1" applyAlignment="1">
      <alignment horizontal="left" vertical="center" wrapText="1"/>
    </xf>
    <xf numFmtId="0" fontId="19" fillId="0" borderId="46" xfId="0" applyFont="1" applyBorder="1" applyAlignment="1">
      <alignment horizontal="left" vertical="center" wrapText="1"/>
    </xf>
    <xf numFmtId="0" fontId="19" fillId="0" borderId="47" xfId="0" applyFont="1" applyBorder="1" applyAlignment="1">
      <alignment horizontal="left" vertical="center" wrapText="1"/>
    </xf>
    <xf numFmtId="0" fontId="19" fillId="0" borderId="48"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9" fontId="45" fillId="0" borderId="77" xfId="0" applyNumberFormat="1" applyFont="1" applyBorder="1" applyAlignment="1">
      <alignment horizontal="center" vertical="center" wrapText="1"/>
    </xf>
    <xf numFmtId="0" fontId="44" fillId="0" borderId="82" xfId="0" applyFont="1" applyBorder="1"/>
    <xf numFmtId="2" fontId="11" fillId="0" borderId="40" xfId="21" applyNumberFormat="1" applyFont="1" applyBorder="1" applyAlignment="1">
      <alignment horizontal="justify" vertical="center" wrapText="1"/>
    </xf>
    <xf numFmtId="2" fontId="11" fillId="0" borderId="8" xfId="21" applyNumberFormat="1" applyFont="1" applyBorder="1" applyAlignment="1">
      <alignment horizontal="justify" vertical="center" wrapText="1"/>
    </xf>
    <xf numFmtId="9" fontId="12" fillId="0" borderId="62" xfId="21" applyNumberFormat="1" applyFont="1" applyBorder="1" applyAlignment="1">
      <alignment horizontal="center" vertical="center" wrapText="1"/>
    </xf>
    <xf numFmtId="9" fontId="12" fillId="0" borderId="4" xfId="21" applyNumberFormat="1" applyFont="1" applyBorder="1" applyAlignment="1">
      <alignment horizontal="center" vertical="center" wrapText="1"/>
    </xf>
    <xf numFmtId="9" fontId="36" fillId="0" borderId="1" xfId="21" applyNumberFormat="1" applyFont="1" applyBorder="1" applyAlignment="1">
      <alignment horizontal="left" vertical="center" wrapText="1"/>
    </xf>
    <xf numFmtId="9" fontId="36" fillId="0" borderId="9" xfId="21" applyNumberFormat="1" applyFont="1" applyBorder="1" applyAlignment="1">
      <alignment horizontal="left" vertical="center" wrapText="1"/>
    </xf>
    <xf numFmtId="0" fontId="43" fillId="28" borderId="80" xfId="0" applyFont="1" applyFill="1" applyBorder="1" applyAlignment="1">
      <alignment horizontal="center" vertical="center" wrapText="1"/>
    </xf>
    <xf numFmtId="0" fontId="44" fillId="0" borderId="81" xfId="0" applyFont="1" applyBorder="1"/>
    <xf numFmtId="0" fontId="44" fillId="0" borderId="78" xfId="0" applyFont="1" applyBorder="1"/>
    <xf numFmtId="9" fontId="36" fillId="0" borderId="55" xfId="29" applyFont="1" applyFill="1" applyBorder="1" applyAlignment="1" applyProtection="1">
      <alignment horizontal="left" vertical="center" wrapText="1"/>
    </xf>
    <xf numFmtId="9" fontId="36" fillId="0" borderId="22" xfId="29" applyFont="1" applyFill="1" applyBorder="1" applyAlignment="1" applyProtection="1">
      <alignment horizontal="left" vertical="center" wrapText="1"/>
    </xf>
    <xf numFmtId="9" fontId="36" fillId="0" borderId="23" xfId="29" applyFont="1" applyFill="1" applyBorder="1" applyAlignment="1" applyProtection="1">
      <alignment horizontal="left" vertical="center" wrapText="1"/>
    </xf>
    <xf numFmtId="9" fontId="36" fillId="0" borderId="59" xfId="29" applyFont="1" applyFill="1" applyBorder="1" applyAlignment="1" applyProtection="1">
      <alignment horizontal="left" vertical="center" wrapText="1"/>
    </xf>
    <xf numFmtId="9" fontId="36" fillId="0" borderId="15" xfId="29" applyFont="1" applyFill="1" applyBorder="1" applyAlignment="1" applyProtection="1">
      <alignment horizontal="left" vertical="center" wrapText="1"/>
    </xf>
    <xf numFmtId="9" fontId="36" fillId="0" borderId="60" xfId="29" applyFont="1" applyFill="1" applyBorder="1" applyAlignment="1" applyProtection="1">
      <alignment horizontal="left" vertical="center" wrapText="1"/>
    </xf>
    <xf numFmtId="9" fontId="11" fillId="0" borderId="22" xfId="29" applyFont="1" applyFill="1" applyBorder="1" applyAlignment="1" applyProtection="1">
      <alignment horizontal="left" vertical="center" wrapText="1"/>
    </xf>
    <xf numFmtId="9" fontId="11" fillId="0" borderId="61" xfId="29" applyFont="1" applyFill="1" applyBorder="1" applyAlignment="1" applyProtection="1">
      <alignment horizontal="left" vertical="center" wrapText="1"/>
    </xf>
    <xf numFmtId="9" fontId="11" fillId="0" borderId="59" xfId="29" applyFont="1" applyFill="1" applyBorder="1" applyAlignment="1" applyProtection="1">
      <alignment horizontal="left" vertical="center" wrapText="1"/>
    </xf>
    <xf numFmtId="9" fontId="11" fillId="0" borderId="15" xfId="29" applyFont="1" applyFill="1" applyBorder="1" applyAlignment="1" applyProtection="1">
      <alignment horizontal="left" vertical="center" wrapText="1"/>
    </xf>
    <xf numFmtId="9" fontId="11" fillId="0" borderId="16" xfId="29" applyFont="1" applyFill="1" applyBorder="1" applyAlignment="1" applyProtection="1">
      <alignment horizontal="left" vertical="center" wrapText="1"/>
    </xf>
    <xf numFmtId="0" fontId="12" fillId="20" borderId="35" xfId="21" applyFont="1" applyFill="1" applyBorder="1" applyAlignment="1">
      <alignment horizontal="center" vertical="center" wrapText="1"/>
    </xf>
    <xf numFmtId="0" fontId="12" fillId="20" borderId="41" xfId="21" applyFont="1" applyFill="1" applyBorder="1" applyAlignment="1">
      <alignment horizontal="left" vertical="center" wrapText="1"/>
    </xf>
    <xf numFmtId="0" fontId="12" fillId="20" borderId="63" xfId="21" applyFont="1" applyFill="1" applyBorder="1" applyAlignment="1">
      <alignment horizontal="left" vertical="center" wrapText="1"/>
    </xf>
    <xf numFmtId="0" fontId="12" fillId="20" borderId="51" xfId="21" applyFont="1" applyFill="1" applyBorder="1" applyAlignment="1">
      <alignment horizontal="left" vertical="center" wrapText="1"/>
    </xf>
    <xf numFmtId="0" fontId="12" fillId="20" borderId="55" xfId="21" applyFont="1" applyFill="1" applyBorder="1" applyAlignment="1">
      <alignment horizontal="left" vertical="center" wrapText="1"/>
    </xf>
    <xf numFmtId="0" fontId="12" fillId="20" borderId="22" xfId="21" applyFont="1" applyFill="1" applyBorder="1" applyAlignment="1">
      <alignment horizontal="left" vertical="center" wrapText="1"/>
    </xf>
    <xf numFmtId="0" fontId="12" fillId="20" borderId="61" xfId="21" applyFont="1" applyFill="1" applyBorder="1" applyAlignment="1">
      <alignment horizontal="left" vertical="center" wrapText="1"/>
    </xf>
    <xf numFmtId="184" fontId="12" fillId="0" borderId="36" xfId="27" applyNumberFormat="1" applyFont="1" applyFill="1" applyBorder="1" applyAlignment="1" applyProtection="1">
      <alignment horizontal="center" vertical="center" wrapText="1"/>
    </xf>
    <xf numFmtId="184" fontId="12" fillId="0" borderId="38" xfId="27" applyNumberFormat="1" applyFont="1" applyFill="1" applyBorder="1" applyAlignment="1" applyProtection="1">
      <alignment horizontal="center" vertical="center" wrapText="1"/>
    </xf>
    <xf numFmtId="9" fontId="11" fillId="0" borderId="0" xfId="21" applyNumberFormat="1" applyFont="1" applyAlignment="1">
      <alignment horizontal="justify" vertical="center" wrapText="1"/>
    </xf>
    <xf numFmtId="0" fontId="43" fillId="28" borderId="77" xfId="0" applyFont="1" applyFill="1" applyBorder="1" applyAlignment="1">
      <alignment horizontal="center" vertical="center" wrapText="1"/>
    </xf>
    <xf numFmtId="9" fontId="12" fillId="0" borderId="58" xfId="21" applyNumberFormat="1" applyFont="1" applyBorder="1" applyAlignment="1">
      <alignment horizontal="center" vertical="center" wrapText="1"/>
    </xf>
    <xf numFmtId="9" fontId="36" fillId="0" borderId="30" xfId="21" applyNumberFormat="1" applyFont="1" applyBorder="1" applyAlignment="1">
      <alignment horizontal="left" vertical="center" wrapText="1"/>
    </xf>
    <xf numFmtId="9" fontId="36" fillId="0" borderId="22" xfId="21" applyNumberFormat="1" applyFont="1" applyBorder="1" applyAlignment="1">
      <alignment horizontal="left" vertical="center" wrapText="1"/>
    </xf>
    <xf numFmtId="9" fontId="36" fillId="0" borderId="61" xfId="21" applyNumberFormat="1" applyFont="1" applyBorder="1" applyAlignment="1">
      <alignment horizontal="left" vertical="center" wrapText="1"/>
    </xf>
    <xf numFmtId="9" fontId="36" fillId="0" borderId="39" xfId="21" applyNumberFormat="1" applyFont="1" applyBorder="1" applyAlignment="1">
      <alignment horizontal="left" vertical="center" wrapText="1"/>
    </xf>
    <xf numFmtId="9" fontId="36" fillId="0" borderId="15" xfId="21" applyNumberFormat="1" applyFont="1" applyBorder="1" applyAlignment="1">
      <alignment horizontal="left" vertical="center" wrapText="1"/>
    </xf>
    <xf numFmtId="9" fontId="36" fillId="0" borderId="16" xfId="21" applyNumberFormat="1" applyFont="1" applyBorder="1" applyAlignment="1">
      <alignment horizontal="left" vertical="center" wrapText="1"/>
    </xf>
    <xf numFmtId="9" fontId="12" fillId="0" borderId="10" xfId="27" applyFont="1" applyBorder="1" applyAlignment="1">
      <alignment horizontal="center" vertical="center" wrapText="1"/>
    </xf>
    <xf numFmtId="9" fontId="12" fillId="0" borderId="4" xfId="27" applyFont="1" applyBorder="1" applyAlignment="1">
      <alignment horizontal="center" vertical="center" wrapText="1"/>
    </xf>
    <xf numFmtId="9" fontId="11" fillId="24" borderId="55" xfId="21" applyNumberFormat="1" applyFont="1" applyFill="1" applyBorder="1" applyAlignment="1">
      <alignment horizontal="justify" vertical="center" wrapText="1"/>
    </xf>
    <xf numFmtId="9" fontId="11" fillId="24" borderId="22" xfId="21" applyNumberFormat="1" applyFont="1" applyFill="1" applyBorder="1" applyAlignment="1">
      <alignment horizontal="justify" vertical="center" wrapText="1"/>
    </xf>
    <xf numFmtId="9" fontId="11" fillId="24" borderId="61" xfId="21" applyNumberFormat="1" applyFont="1" applyFill="1" applyBorder="1" applyAlignment="1">
      <alignment horizontal="justify" vertical="center" wrapText="1"/>
    </xf>
    <xf numFmtId="9" fontId="11" fillId="24" borderId="64" xfId="21" applyNumberFormat="1" applyFont="1" applyFill="1" applyBorder="1" applyAlignment="1">
      <alignment horizontal="justify" vertical="center" wrapText="1"/>
    </xf>
    <xf numFmtId="9" fontId="11" fillId="24" borderId="0" xfId="21" applyNumberFormat="1" applyFont="1" applyFill="1" applyAlignment="1">
      <alignment horizontal="justify" vertical="center" wrapText="1"/>
    </xf>
    <xf numFmtId="9" fontId="11" fillId="24" borderId="14" xfId="21" applyNumberFormat="1" applyFont="1" applyFill="1" applyBorder="1" applyAlignment="1">
      <alignment horizontal="justify" vertical="center" wrapText="1"/>
    </xf>
    <xf numFmtId="9" fontId="36" fillId="0" borderId="55" xfId="21" applyNumberFormat="1" applyFont="1" applyBorder="1" applyAlignment="1">
      <alignment horizontal="justify" vertical="center" wrapText="1"/>
    </xf>
    <xf numFmtId="9" fontId="36" fillId="0" borderId="22" xfId="21" applyNumberFormat="1" applyFont="1" applyBorder="1" applyAlignment="1">
      <alignment horizontal="justify" vertical="center" wrapText="1"/>
    </xf>
    <xf numFmtId="9" fontId="36" fillId="0" borderId="61" xfId="21" applyNumberFormat="1" applyFont="1" applyBorder="1" applyAlignment="1">
      <alignment horizontal="justify" vertical="center" wrapText="1"/>
    </xf>
    <xf numFmtId="9" fontId="36" fillId="0" borderId="59" xfId="21" applyNumberFormat="1" applyFont="1" applyBorder="1" applyAlignment="1">
      <alignment horizontal="justify" vertical="center" wrapText="1"/>
    </xf>
    <xf numFmtId="9" fontId="36" fillId="0" borderId="15" xfId="21" applyNumberFormat="1" applyFont="1" applyBorder="1" applyAlignment="1">
      <alignment horizontal="justify" vertical="center" wrapText="1"/>
    </xf>
    <xf numFmtId="9" fontId="36" fillId="0" borderId="16" xfId="21" applyNumberFormat="1" applyFont="1" applyBorder="1" applyAlignment="1">
      <alignment horizontal="justify" vertical="center" wrapText="1"/>
    </xf>
    <xf numFmtId="9" fontId="36" fillId="24" borderId="55" xfId="29" applyFont="1" applyFill="1" applyBorder="1" applyAlignment="1" applyProtection="1">
      <alignment horizontal="left" vertical="center" wrapText="1"/>
    </xf>
    <xf numFmtId="9" fontId="36" fillId="24" borderId="22" xfId="29" applyFont="1" applyFill="1" applyBorder="1" applyAlignment="1" applyProtection="1">
      <alignment horizontal="left" vertical="center" wrapText="1"/>
    </xf>
    <xf numFmtId="9" fontId="36" fillId="24" borderId="59" xfId="29" applyFont="1" applyFill="1" applyBorder="1" applyAlignment="1" applyProtection="1">
      <alignment horizontal="left" vertical="center" wrapText="1"/>
    </xf>
    <xf numFmtId="9" fontId="36" fillId="24" borderId="15" xfId="29" applyFont="1" applyFill="1" applyBorder="1" applyAlignment="1" applyProtection="1">
      <alignment horizontal="left" vertical="center" wrapText="1"/>
    </xf>
    <xf numFmtId="9" fontId="11" fillId="0" borderId="55" xfId="29" applyFont="1" applyFill="1" applyBorder="1" applyAlignment="1" applyProtection="1">
      <alignment horizontal="justify" vertical="center" wrapText="1"/>
    </xf>
    <xf numFmtId="9" fontId="11" fillId="0" borderId="22" xfId="29" applyFont="1" applyFill="1" applyBorder="1" applyAlignment="1" applyProtection="1">
      <alignment horizontal="justify" vertical="center" wrapText="1"/>
    </xf>
    <xf numFmtId="9" fontId="11" fillId="0" borderId="61" xfId="29" applyFont="1" applyFill="1" applyBorder="1" applyAlignment="1" applyProtection="1">
      <alignment horizontal="justify" vertical="center" wrapText="1"/>
    </xf>
    <xf numFmtId="9" fontId="11" fillId="0" borderId="59" xfId="29" applyFont="1" applyFill="1" applyBorder="1" applyAlignment="1" applyProtection="1">
      <alignment horizontal="justify" vertical="center" wrapText="1"/>
    </xf>
    <xf numFmtId="9" fontId="11" fillId="0" borderId="15" xfId="29" applyFont="1" applyFill="1" applyBorder="1" applyAlignment="1" applyProtection="1">
      <alignment horizontal="justify" vertical="center" wrapText="1"/>
    </xf>
    <xf numFmtId="9" fontId="11" fillId="0" borderId="16" xfId="29" applyFont="1" applyFill="1" applyBorder="1" applyAlignment="1" applyProtection="1">
      <alignment horizontal="justify" vertical="center" wrapText="1"/>
    </xf>
    <xf numFmtId="0" fontId="12" fillId="20" borderId="21" xfId="21" applyFont="1" applyFill="1" applyBorder="1" applyAlignment="1">
      <alignment horizontal="center" vertical="center" wrapText="1"/>
    </xf>
    <xf numFmtId="9" fontId="36" fillId="0" borderId="64" xfId="21" applyNumberFormat="1" applyFont="1" applyBorder="1" applyAlignment="1">
      <alignment horizontal="justify" vertical="center" wrapText="1"/>
    </xf>
    <xf numFmtId="9" fontId="36" fillId="0" borderId="0" xfId="21" applyNumberFormat="1" applyFont="1" applyAlignment="1">
      <alignment horizontal="justify" vertical="center" wrapText="1"/>
    </xf>
    <xf numFmtId="9" fontId="36" fillId="0" borderId="14" xfId="21" applyNumberFormat="1" applyFont="1" applyBorder="1" applyAlignment="1">
      <alignment horizontal="justify" vertical="center" wrapText="1"/>
    </xf>
    <xf numFmtId="9" fontId="36" fillId="0" borderId="55" xfId="21" applyNumberFormat="1" applyFont="1" applyBorder="1" applyAlignment="1">
      <alignment horizontal="left" vertical="center" wrapText="1"/>
    </xf>
    <xf numFmtId="9" fontId="36" fillId="0" borderId="64" xfId="21" applyNumberFormat="1" applyFont="1" applyBorder="1" applyAlignment="1">
      <alignment horizontal="left" vertical="center" wrapText="1"/>
    </xf>
    <xf numFmtId="9" fontId="36" fillId="0" borderId="0" xfId="21" applyNumberFormat="1" applyFont="1" applyAlignment="1">
      <alignment horizontal="left" vertical="center" wrapText="1"/>
    </xf>
    <xf numFmtId="9" fontId="36" fillId="0" borderId="14" xfId="21" applyNumberFormat="1" applyFont="1" applyBorder="1" applyAlignment="1">
      <alignment horizontal="left" vertical="center" wrapText="1"/>
    </xf>
    <xf numFmtId="0" fontId="12" fillId="0" borderId="10" xfId="21" applyFont="1" applyBorder="1" applyAlignment="1">
      <alignment horizontal="center" vertical="center" wrapText="1"/>
    </xf>
    <xf numFmtId="0" fontId="12" fillId="19" borderId="20" xfId="21" applyFont="1" applyFill="1" applyBorder="1" applyAlignment="1">
      <alignment horizontal="center" vertical="center" wrapText="1"/>
    </xf>
    <xf numFmtId="0" fontId="12" fillId="19" borderId="3" xfId="21" applyFont="1" applyFill="1" applyBorder="1" applyAlignment="1">
      <alignment horizontal="center" vertical="center" wrapText="1"/>
    </xf>
    <xf numFmtId="0" fontId="12" fillId="19" borderId="7" xfId="21" applyFont="1" applyFill="1" applyBorder="1" applyAlignment="1">
      <alignment horizontal="center" vertical="center" wrapText="1"/>
    </xf>
    <xf numFmtId="0" fontId="37" fillId="0" borderId="42" xfId="0" applyFont="1" applyBorder="1" applyAlignment="1">
      <alignment horizontal="center" vertical="center"/>
    </xf>
    <xf numFmtId="0" fontId="12" fillId="20" borderId="39" xfId="21" applyFont="1" applyFill="1" applyBorder="1" applyAlignment="1">
      <alignment horizontal="center" vertical="center" wrapText="1"/>
    </xf>
    <xf numFmtId="0" fontId="12" fillId="20" borderId="16" xfId="21" applyFont="1" applyFill="1" applyBorder="1" applyAlignment="1">
      <alignment horizontal="center" vertical="center" wrapText="1"/>
    </xf>
    <xf numFmtId="0" fontId="15" fillId="0" borderId="36" xfId="21" applyFont="1" applyBorder="1" applyAlignment="1">
      <alignment horizontal="center" vertical="center" wrapText="1"/>
    </xf>
    <xf numFmtId="0" fontId="15" fillId="0" borderId="37" xfId="21" applyFont="1" applyBorder="1" applyAlignment="1">
      <alignment horizontal="center" vertical="center" wrapText="1"/>
    </xf>
    <xf numFmtId="0" fontId="15" fillId="0" borderId="38" xfId="21" applyFont="1" applyBorder="1" applyAlignment="1">
      <alignment horizontal="center" vertical="center" wrapText="1"/>
    </xf>
    <xf numFmtId="171" fontId="12" fillId="19" borderId="53" xfId="16" applyNumberFormat="1" applyFont="1" applyFill="1" applyBorder="1" applyAlignment="1" applyProtection="1">
      <alignment horizontal="center" vertical="center" wrapText="1"/>
    </xf>
    <xf numFmtId="171" fontId="12" fillId="19" borderId="65" xfId="16" applyNumberFormat="1" applyFont="1" applyFill="1" applyBorder="1" applyAlignment="1" applyProtection="1">
      <alignment horizontal="center" vertical="center" wrapText="1"/>
    </xf>
    <xf numFmtId="171" fontId="12" fillId="19" borderId="49" xfId="16" applyNumberFormat="1" applyFont="1" applyFill="1" applyBorder="1" applyAlignment="1" applyProtection="1">
      <alignment horizontal="center" vertical="center" wrapText="1"/>
    </xf>
    <xf numFmtId="0" fontId="12" fillId="19" borderId="52" xfId="21" applyFont="1" applyFill="1" applyBorder="1" applyAlignment="1">
      <alignment horizontal="center" vertical="center" wrapText="1"/>
    </xf>
    <xf numFmtId="0" fontId="12" fillId="19" borderId="56" xfId="21" applyFont="1" applyFill="1" applyBorder="1" applyAlignment="1">
      <alignment horizontal="center" vertical="center" wrapText="1"/>
    </xf>
    <xf numFmtId="0" fontId="12" fillId="19" borderId="5" xfId="21" applyFont="1" applyFill="1" applyBorder="1" applyAlignment="1">
      <alignment horizontal="center" vertical="center" wrapText="1"/>
    </xf>
    <xf numFmtId="171" fontId="12" fillId="0" borderId="2" xfId="16" applyNumberFormat="1" applyFont="1" applyFill="1" applyBorder="1" applyAlignment="1" applyProtection="1">
      <alignment horizontal="center" vertical="center" wrapText="1"/>
    </xf>
    <xf numFmtId="171" fontId="12" fillId="0" borderId="26" xfId="16" applyNumberFormat="1" applyFont="1" applyFill="1" applyBorder="1" applyAlignment="1" applyProtection="1">
      <alignment horizontal="center" vertical="center" wrapText="1"/>
    </xf>
    <xf numFmtId="171" fontId="12" fillId="19" borderId="21" xfId="16" applyNumberFormat="1" applyFont="1" applyFill="1" applyBorder="1" applyAlignment="1" applyProtection="1">
      <alignment horizontal="center" vertical="center" wrapText="1"/>
    </xf>
    <xf numFmtId="0" fontId="12" fillId="0" borderId="2" xfId="21" applyFont="1" applyBorder="1" applyAlignment="1">
      <alignment horizontal="center" vertical="center" wrapText="1"/>
    </xf>
    <xf numFmtId="0" fontId="12" fillId="0" borderId="56" xfId="21" applyFont="1" applyBorder="1" applyAlignment="1">
      <alignment horizontal="center" vertical="center" wrapText="1"/>
    </xf>
    <xf numFmtId="0" fontId="12" fillId="0" borderId="5" xfId="21" applyFont="1" applyBorder="1" applyAlignment="1">
      <alignment horizontal="center" vertical="center" wrapText="1"/>
    </xf>
    <xf numFmtId="9" fontId="33" fillId="0" borderId="55" xfId="21" applyNumberFormat="1" applyFont="1" applyBorder="1" applyAlignment="1">
      <alignment horizontal="center" vertical="center" wrapText="1"/>
    </xf>
    <xf numFmtId="9" fontId="33" fillId="0" borderId="22" xfId="21" applyNumberFormat="1" applyFont="1" applyBorder="1" applyAlignment="1">
      <alignment horizontal="center" vertical="center" wrapText="1"/>
    </xf>
    <xf numFmtId="9" fontId="33" fillId="0" borderId="61" xfId="21" applyNumberFormat="1" applyFont="1" applyBorder="1" applyAlignment="1">
      <alignment horizontal="center" vertical="center" wrapText="1"/>
    </xf>
    <xf numFmtId="9" fontId="33" fillId="0" borderId="64" xfId="21" applyNumberFormat="1" applyFont="1" applyBorder="1" applyAlignment="1">
      <alignment horizontal="center" vertical="center" wrapText="1"/>
    </xf>
    <xf numFmtId="9" fontId="33" fillId="0" borderId="0" xfId="21" applyNumberFormat="1" applyFont="1" applyAlignment="1">
      <alignment horizontal="center" vertical="center" wrapText="1"/>
    </xf>
    <xf numFmtId="9" fontId="33" fillId="0" borderId="14" xfId="21" applyNumberFormat="1" applyFont="1" applyBorder="1" applyAlignment="1">
      <alignment horizontal="center" vertical="center" wrapText="1"/>
    </xf>
    <xf numFmtId="0" fontId="12" fillId="19" borderId="0" xfId="21" applyFont="1" applyFill="1" applyAlignment="1">
      <alignment horizontal="center" vertical="center" wrapText="1"/>
    </xf>
    <xf numFmtId="9" fontId="33" fillId="0" borderId="23" xfId="29" applyFont="1" applyFill="1" applyBorder="1" applyAlignment="1" applyProtection="1">
      <alignment horizontal="center" vertical="center" wrapText="1"/>
    </xf>
    <xf numFmtId="9" fontId="33" fillId="0" borderId="60" xfId="29" applyFont="1" applyFill="1" applyBorder="1" applyAlignment="1" applyProtection="1">
      <alignment horizontal="center" vertical="center" wrapText="1"/>
    </xf>
    <xf numFmtId="0" fontId="12" fillId="19" borderId="6" xfId="21" applyFont="1" applyFill="1" applyBorder="1" applyAlignment="1">
      <alignment horizontal="center" vertical="center" wrapText="1"/>
    </xf>
    <xf numFmtId="0" fontId="12" fillId="19" borderId="25" xfId="21" applyFont="1" applyFill="1" applyBorder="1" applyAlignment="1">
      <alignment horizontal="center" vertical="center" wrapText="1"/>
    </xf>
    <xf numFmtId="2" fontId="11" fillId="0" borderId="18" xfId="21" applyNumberFormat="1" applyFont="1" applyBorder="1" applyAlignment="1">
      <alignment vertical="center" wrapText="1"/>
    </xf>
    <xf numFmtId="0" fontId="0" fillId="0" borderId="57" xfId="0" applyBorder="1" applyAlignment="1">
      <alignment vertical="center" wrapText="1"/>
    </xf>
    <xf numFmtId="0" fontId="12" fillId="2" borderId="13" xfId="21" applyFont="1" applyFill="1" applyBorder="1" applyAlignment="1">
      <alignment horizontal="center" vertical="center" wrapText="1"/>
    </xf>
    <xf numFmtId="0" fontId="12" fillId="20" borderId="27" xfId="21" applyFont="1" applyFill="1" applyBorder="1" applyAlignment="1">
      <alignment horizontal="center" vertical="center" wrapText="1"/>
    </xf>
    <xf numFmtId="0" fontId="12" fillId="20" borderId="28" xfId="21" applyFont="1" applyFill="1" applyBorder="1" applyAlignment="1">
      <alignment horizontal="center" vertical="center" wrapText="1"/>
    </xf>
    <xf numFmtId="0" fontId="12" fillId="20" borderId="29" xfId="21" applyFont="1" applyFill="1" applyBorder="1" applyAlignment="1">
      <alignment horizontal="center" vertical="center" wrapText="1"/>
    </xf>
    <xf numFmtId="171" fontId="12" fillId="19" borderId="2" xfId="16" applyNumberFormat="1" applyFont="1" applyFill="1" applyBorder="1" applyAlignment="1" applyProtection="1">
      <alignment horizontal="center" vertical="center"/>
    </xf>
    <xf numFmtId="171" fontId="12" fillId="19" borderId="5" xfId="16" applyNumberFormat="1" applyFont="1" applyFill="1" applyBorder="1" applyAlignment="1" applyProtection="1">
      <alignment horizontal="center" vertical="center"/>
    </xf>
    <xf numFmtId="9" fontId="33" fillId="0" borderId="55" xfId="21" applyNumberFormat="1" applyFont="1" applyBorder="1" applyAlignment="1">
      <alignment horizontal="left" vertical="center" wrapText="1"/>
    </xf>
    <xf numFmtId="9" fontId="33" fillId="0" borderId="22" xfId="21" applyNumberFormat="1" applyFont="1" applyBorder="1" applyAlignment="1">
      <alignment horizontal="left" vertical="center" wrapText="1"/>
    </xf>
    <xf numFmtId="9" fontId="33" fillId="0" borderId="61" xfId="21" applyNumberFormat="1" applyFont="1" applyBorder="1" applyAlignment="1">
      <alignment horizontal="left" vertical="center" wrapText="1"/>
    </xf>
    <xf numFmtId="9" fontId="33" fillId="0" borderId="64" xfId="21" applyNumberFormat="1" applyFont="1" applyBorder="1" applyAlignment="1">
      <alignment horizontal="left" vertical="center" wrapText="1"/>
    </xf>
    <xf numFmtId="9" fontId="33" fillId="0" borderId="0" xfId="21" applyNumberFormat="1" applyFont="1" applyAlignment="1">
      <alignment horizontal="left" vertical="center" wrapText="1"/>
    </xf>
    <xf numFmtId="9" fontId="33" fillId="0" borderId="14" xfId="21" applyNumberFormat="1" applyFont="1" applyBorder="1" applyAlignment="1">
      <alignment horizontal="left" vertical="center" wrapText="1"/>
    </xf>
    <xf numFmtId="0" fontId="37" fillId="0" borderId="43" xfId="0" applyFont="1" applyBorder="1" applyAlignment="1">
      <alignment horizontal="center" vertical="center"/>
    </xf>
    <xf numFmtId="0" fontId="37" fillId="0" borderId="45" xfId="0" applyFont="1" applyBorder="1" applyAlignment="1">
      <alignment horizontal="center" vertical="center"/>
    </xf>
    <xf numFmtId="2" fontId="11" fillId="0" borderId="10" xfId="21" applyNumberFormat="1" applyFont="1" applyBorder="1" applyAlignment="1">
      <alignment horizontal="center" vertical="center" wrapText="1"/>
    </xf>
    <xf numFmtId="2" fontId="11" fillId="0" borderId="58" xfId="21" applyNumberFormat="1" applyFont="1" applyBorder="1" applyAlignment="1">
      <alignment horizontal="center" vertical="center" wrapText="1"/>
    </xf>
    <xf numFmtId="9" fontId="33" fillId="0" borderId="59" xfId="21" applyNumberFormat="1" applyFont="1" applyBorder="1" applyAlignment="1">
      <alignment horizontal="center" vertical="center" wrapText="1"/>
    </xf>
    <xf numFmtId="9" fontId="33" fillId="0" borderId="15" xfId="21" applyNumberFormat="1" applyFont="1" applyBorder="1" applyAlignment="1">
      <alignment horizontal="center" vertical="center" wrapText="1"/>
    </xf>
    <xf numFmtId="9" fontId="33" fillId="0" borderId="16" xfId="21" applyNumberFormat="1" applyFont="1" applyBorder="1" applyAlignment="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12" fillId="20" borderId="15" xfId="21" applyFont="1" applyFill="1" applyBorder="1" applyAlignment="1">
      <alignment horizontal="center" vertical="center" wrapText="1"/>
    </xf>
    <xf numFmtId="0" fontId="12" fillId="19" borderId="2" xfId="21" applyFont="1" applyFill="1" applyBorder="1" applyAlignment="1">
      <alignment horizontal="center" vertical="center" wrapText="1"/>
    </xf>
    <xf numFmtId="0" fontId="12" fillId="0" borderId="26" xfId="21" applyFont="1" applyBorder="1" applyAlignment="1">
      <alignment horizontal="center" vertical="center" wrapText="1"/>
    </xf>
    <xf numFmtId="171" fontId="12" fillId="19" borderId="2" xfId="16" applyNumberFormat="1" applyFont="1" applyFill="1" applyBorder="1" applyAlignment="1" applyProtection="1">
      <alignment horizontal="center" vertical="center" wrapText="1"/>
    </xf>
    <xf numFmtId="171" fontId="12" fillId="19" borderId="5" xfId="16" applyNumberFormat="1" applyFont="1" applyFill="1" applyBorder="1" applyAlignment="1" applyProtection="1">
      <alignment horizontal="center" vertical="center" wrapText="1"/>
    </xf>
    <xf numFmtId="0" fontId="12" fillId="0" borderId="18" xfId="21" applyFont="1" applyBorder="1" applyAlignment="1">
      <alignment horizontal="center" vertical="center" wrapText="1"/>
    </xf>
    <xf numFmtId="0" fontId="12" fillId="0" borderId="57" xfId="21" applyFont="1" applyBorder="1" applyAlignment="1">
      <alignment horizontal="center" vertical="center" wrapText="1"/>
    </xf>
    <xf numFmtId="0" fontId="33" fillId="0" borderId="1" xfId="21" applyFont="1" applyBorder="1" applyAlignment="1">
      <alignment horizontal="left" vertical="center" wrapText="1"/>
    </xf>
    <xf numFmtId="0" fontId="33" fillId="0" borderId="9" xfId="21" applyFont="1" applyBorder="1" applyAlignment="1">
      <alignment horizontal="left" vertical="center" wrapText="1"/>
    </xf>
    <xf numFmtId="2" fontId="11" fillId="0" borderId="18" xfId="21" applyNumberFormat="1" applyFont="1" applyBorder="1" applyAlignment="1">
      <alignment horizontal="center" vertical="center" wrapText="1"/>
    </xf>
    <xf numFmtId="2" fontId="11" fillId="0" borderId="32" xfId="21" applyNumberFormat="1" applyFont="1" applyBorder="1" applyAlignment="1">
      <alignment horizontal="center" vertical="center" wrapText="1"/>
    </xf>
    <xf numFmtId="2" fontId="11" fillId="0" borderId="35" xfId="21" applyNumberFormat="1" applyFont="1" applyBorder="1" applyAlignment="1">
      <alignment horizontal="center" vertical="center" wrapText="1"/>
    </xf>
    <xf numFmtId="2" fontId="11" fillId="0" borderId="4" xfId="21" applyNumberFormat="1" applyFont="1" applyBorder="1" applyAlignment="1">
      <alignment horizontal="center" vertical="center" wrapText="1"/>
    </xf>
    <xf numFmtId="2" fontId="11" fillId="0" borderId="32" xfId="21" applyNumberFormat="1" applyFont="1" applyBorder="1" applyAlignment="1">
      <alignment vertical="center" wrapText="1"/>
    </xf>
    <xf numFmtId="2" fontId="11" fillId="0" borderId="8" xfId="21" applyNumberFormat="1" applyFont="1" applyBorder="1" applyAlignment="1">
      <alignment vertical="center" wrapText="1"/>
    </xf>
    <xf numFmtId="0" fontId="34" fillId="0" borderId="0" xfId="0" applyFont="1" applyAlignment="1">
      <alignment horizontal="right" vertical="center"/>
    </xf>
    <xf numFmtId="0" fontId="32" fillId="0" borderId="0" xfId="0" applyFont="1" applyAlignment="1">
      <alignment horizontal="right" vertical="center"/>
    </xf>
    <xf numFmtId="0" fontId="12" fillId="0" borderId="2" xfId="0" applyFont="1" applyBorder="1" applyAlignment="1">
      <alignment horizontal="left" vertical="center" wrapText="1"/>
    </xf>
    <xf numFmtId="0" fontId="12" fillId="0" borderId="56" xfId="0" applyFont="1" applyBorder="1" applyAlignment="1">
      <alignment horizontal="left" vertical="center" wrapText="1"/>
    </xf>
    <xf numFmtId="0" fontId="12" fillId="0" borderId="56" xfId="0" applyFont="1" applyBorder="1" applyAlignment="1">
      <alignment vertical="center" wrapText="1"/>
    </xf>
    <xf numFmtId="0" fontId="12" fillId="9" borderId="1" xfId="0" applyFont="1" applyFill="1" applyBorder="1" applyAlignment="1">
      <alignment horizontal="left" vertical="center"/>
    </xf>
    <xf numFmtId="0" fontId="12" fillId="9" borderId="1" xfId="0" applyFont="1" applyFill="1" applyBorder="1" applyAlignment="1">
      <alignment vertical="center"/>
    </xf>
    <xf numFmtId="0" fontId="12" fillId="9" borderId="2" xfId="0" applyFont="1" applyFill="1" applyBorder="1" applyAlignment="1">
      <alignment horizontal="left" vertical="center" wrapText="1"/>
    </xf>
    <xf numFmtId="0" fontId="12" fillId="9" borderId="56" xfId="0" applyFont="1" applyFill="1" applyBorder="1" applyAlignment="1">
      <alignment horizontal="left" vertical="center" wrapText="1"/>
    </xf>
    <xf numFmtId="0" fontId="12" fillId="9" borderId="56" xfId="0" applyFont="1" applyFill="1" applyBorder="1" applyAlignment="1">
      <alignment vertical="center" wrapText="1"/>
    </xf>
    <xf numFmtId="0" fontId="12" fillId="9" borderId="5" xfId="0" applyFont="1" applyFill="1" applyBorder="1" applyAlignment="1">
      <alignment horizontal="left" vertical="center" wrapText="1"/>
    </xf>
    <xf numFmtId="0" fontId="12" fillId="9" borderId="41" xfId="0" applyFont="1" applyFill="1" applyBorder="1" applyAlignment="1">
      <alignment horizontal="center" vertical="center" wrapText="1"/>
    </xf>
    <xf numFmtId="0" fontId="12" fillId="9" borderId="46"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56" xfId="0" applyFont="1" applyFill="1" applyBorder="1" applyAlignment="1">
      <alignment horizontal="center" vertical="center" wrapText="1"/>
    </xf>
    <xf numFmtId="0" fontId="12" fillId="9" borderId="63" xfId="0" applyFont="1" applyFill="1" applyBorder="1" applyAlignment="1">
      <alignment horizontal="center" vertical="center" wrapText="1"/>
    </xf>
    <xf numFmtId="0" fontId="34" fillId="0" borderId="1" xfId="0" applyFont="1" applyBorder="1" applyAlignment="1">
      <alignment horizontal="center" vertical="center"/>
    </xf>
    <xf numFmtId="0" fontId="34" fillId="0" borderId="1" xfId="0" applyFont="1" applyBorder="1" applyAlignment="1">
      <alignment vertical="center"/>
    </xf>
    <xf numFmtId="0" fontId="12" fillId="0" borderId="1" xfId="0" applyFont="1" applyBorder="1" applyAlignment="1">
      <alignment vertical="center" wrapText="1"/>
    </xf>
    <xf numFmtId="0" fontId="34" fillId="0" borderId="55" xfId="0" applyFont="1"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13" fillId="19" borderId="4" xfId="0" applyFont="1" applyFill="1" applyBorder="1" applyAlignment="1">
      <alignment horizontal="center" vertical="center"/>
    </xf>
    <xf numFmtId="0" fontId="13" fillId="19" borderId="4" xfId="0" applyFont="1" applyFill="1" applyBorder="1" applyAlignment="1">
      <alignment vertical="center"/>
    </xf>
    <xf numFmtId="0" fontId="13" fillId="19" borderId="1" xfId="0" applyFont="1" applyFill="1" applyBorder="1" applyAlignment="1">
      <alignment horizontal="center" vertical="center"/>
    </xf>
    <xf numFmtId="0" fontId="12" fillId="9" borderId="94" xfId="0" applyFont="1" applyFill="1" applyBorder="1" applyAlignment="1">
      <alignment horizontal="center" vertical="center" wrapText="1"/>
    </xf>
    <xf numFmtId="0" fontId="12" fillId="9" borderId="32"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2" xfId="0" applyFont="1" applyFill="1" applyBorder="1" applyAlignment="1">
      <alignment vertical="center" wrapText="1"/>
    </xf>
    <xf numFmtId="0" fontId="12" fillId="9" borderId="51" xfId="0" applyFont="1" applyFill="1" applyBorder="1" applyAlignment="1">
      <alignment horizontal="center" vertical="center" wrapText="1"/>
    </xf>
    <xf numFmtId="0" fontId="12" fillId="9" borderId="41" xfId="0" applyFont="1" applyFill="1" applyBorder="1" applyAlignment="1">
      <alignment vertical="center" wrapText="1"/>
    </xf>
    <xf numFmtId="0" fontId="34" fillId="0" borderId="52" xfId="0" applyFont="1" applyBorder="1" applyAlignment="1">
      <alignment horizontal="center" vertical="center"/>
    </xf>
    <xf numFmtId="0" fontId="34" fillId="0" borderId="56" xfId="0" applyFont="1" applyBorder="1" applyAlignment="1">
      <alignment horizontal="center" vertical="center"/>
    </xf>
    <xf numFmtId="0" fontId="34" fillId="0" borderId="5" xfId="0" applyFont="1" applyBorder="1" applyAlignment="1">
      <alignment horizontal="center" vertical="center"/>
    </xf>
    <xf numFmtId="0" fontId="34" fillId="0" borderId="30"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34" fillId="0" borderId="6" xfId="0" applyFont="1" applyBorder="1" applyAlignment="1">
      <alignment horizontal="center" vertical="center"/>
    </xf>
    <xf numFmtId="0" fontId="34" fillId="0" borderId="3" xfId="0" applyFont="1" applyBorder="1" applyAlignment="1">
      <alignment horizontal="center" vertical="center"/>
    </xf>
    <xf numFmtId="0" fontId="34" fillId="0" borderId="25" xfId="0" applyFont="1" applyBorder="1" applyAlignment="1">
      <alignment horizontal="center" vertical="center"/>
    </xf>
    <xf numFmtId="0" fontId="34" fillId="9" borderId="50" xfId="0" applyFont="1" applyFill="1" applyBorder="1" applyAlignment="1">
      <alignment horizontal="center" vertical="center" wrapText="1"/>
    </xf>
    <xf numFmtId="0" fontId="34" fillId="9" borderId="51" xfId="0" applyFont="1" applyFill="1" applyBorder="1" applyAlignment="1">
      <alignment horizontal="center" vertical="center" wrapText="1"/>
    </xf>
    <xf numFmtId="0" fontId="34" fillId="0" borderId="1" xfId="0" applyFont="1" applyBorder="1" applyAlignment="1">
      <alignment horizontal="left" vertical="center" wrapText="1"/>
    </xf>
    <xf numFmtId="0" fontId="34" fillId="0" borderId="9" xfId="0" applyFont="1" applyBorder="1" applyAlignment="1">
      <alignment horizontal="left" vertical="center" wrapText="1"/>
    </xf>
    <xf numFmtId="0" fontId="34" fillId="0" borderId="50" xfId="0" applyFont="1" applyBorder="1" applyAlignment="1">
      <alignment horizontal="center" vertical="center"/>
    </xf>
    <xf numFmtId="0" fontId="34" fillId="0" borderId="63" xfId="0" applyFont="1" applyBorder="1" applyAlignment="1">
      <alignment horizontal="center" vertical="center"/>
    </xf>
    <xf numFmtId="0" fontId="34" fillId="0" borderId="46" xfId="0" applyFont="1" applyBorder="1" applyAlignment="1">
      <alignment horizontal="center" vertical="center"/>
    </xf>
    <xf numFmtId="0" fontId="34" fillId="9" borderId="83" xfId="0" applyFont="1" applyFill="1" applyBorder="1" applyAlignment="1">
      <alignment horizontal="center" vertical="center" wrapText="1"/>
    </xf>
    <xf numFmtId="0" fontId="34" fillId="9" borderId="84" xfId="0" applyFont="1" applyFill="1" applyBorder="1" applyAlignment="1">
      <alignment horizontal="center" vertical="center" wrapText="1"/>
    </xf>
    <xf numFmtId="0" fontId="34" fillId="9" borderId="34"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9" borderId="10" xfId="0" applyFont="1" applyFill="1" applyBorder="1" applyAlignment="1">
      <alignment horizontal="center" vertical="center" wrapText="1"/>
    </xf>
    <xf numFmtId="0" fontId="34" fillId="9" borderId="35" xfId="0" applyFont="1" applyFill="1" applyBorder="1" applyAlignment="1">
      <alignment horizontal="center" vertical="center" wrapText="1"/>
    </xf>
    <xf numFmtId="0" fontId="34" fillId="9" borderId="24" xfId="0" applyFont="1" applyFill="1" applyBorder="1" applyAlignment="1">
      <alignment horizontal="center" vertical="center" wrapText="1"/>
    </xf>
    <xf numFmtId="0" fontId="34" fillId="9" borderId="25" xfId="0" applyFont="1" applyFill="1" applyBorder="1" applyAlignment="1">
      <alignment horizontal="center" vertical="center" wrapText="1"/>
    </xf>
    <xf numFmtId="0" fontId="34" fillId="9" borderId="55" xfId="0" applyFont="1" applyFill="1" applyBorder="1" applyAlignment="1">
      <alignment horizontal="center" vertical="center"/>
    </xf>
    <xf numFmtId="0" fontId="34" fillId="9" borderId="22" xfId="0" applyFont="1" applyFill="1" applyBorder="1" applyAlignment="1">
      <alignment horizontal="center" vertical="center"/>
    </xf>
    <xf numFmtId="0" fontId="34" fillId="9" borderId="23" xfId="0" applyFont="1" applyFill="1" applyBorder="1" applyAlignment="1">
      <alignment horizontal="center" vertical="center"/>
    </xf>
    <xf numFmtId="0" fontId="34" fillId="9" borderId="64" xfId="0" applyFont="1" applyFill="1" applyBorder="1" applyAlignment="1">
      <alignment horizontal="center" vertical="center"/>
    </xf>
    <xf numFmtId="0" fontId="34" fillId="9" borderId="0" xfId="0" applyFont="1" applyFill="1" applyAlignment="1">
      <alignment horizontal="center" vertical="center"/>
    </xf>
    <xf numFmtId="0" fontId="34" fillId="9" borderId="24" xfId="0" applyFont="1" applyFill="1" applyBorder="1" applyAlignment="1">
      <alignment horizontal="center" vertical="center"/>
    </xf>
    <xf numFmtId="0" fontId="34" fillId="9" borderId="20" xfId="0" applyFont="1" applyFill="1" applyBorder="1" applyAlignment="1">
      <alignment horizontal="center" vertical="center"/>
    </xf>
    <xf numFmtId="0" fontId="34" fillId="9" borderId="3" xfId="0" applyFont="1" applyFill="1" applyBorder="1" applyAlignment="1">
      <alignment horizontal="center" vertical="center"/>
    </xf>
    <xf numFmtId="0" fontId="32" fillId="0" borderId="20" xfId="0" applyFont="1" applyBorder="1" applyAlignment="1">
      <alignment horizontal="left" vertical="center"/>
    </xf>
    <xf numFmtId="0" fontId="32" fillId="0" borderId="3" xfId="0" applyFont="1" applyBorder="1" applyAlignment="1">
      <alignment horizontal="left" vertical="center"/>
    </xf>
    <xf numFmtId="0" fontId="32" fillId="0" borderId="56" xfId="0" applyFont="1" applyBorder="1" applyAlignment="1">
      <alignment horizontal="left" vertical="center"/>
    </xf>
    <xf numFmtId="0" fontId="32" fillId="0" borderId="5" xfId="0" applyFont="1" applyBorder="1" applyAlignment="1">
      <alignment horizontal="left" vertical="center"/>
    </xf>
    <xf numFmtId="0" fontId="34" fillId="9" borderId="2" xfId="0" applyFont="1" applyFill="1" applyBorder="1" applyAlignment="1">
      <alignment horizontal="center" vertical="center" wrapText="1"/>
    </xf>
    <xf numFmtId="0" fontId="34" fillId="9" borderId="5" xfId="0" applyFont="1" applyFill="1" applyBorder="1" applyAlignment="1">
      <alignment horizontal="center" vertical="center" wrapText="1"/>
    </xf>
    <xf numFmtId="3" fontId="12" fillId="19" borderId="21" xfId="21" applyNumberFormat="1" applyFont="1" applyFill="1" applyBorder="1" applyAlignment="1">
      <alignment horizontal="left" vertical="center" wrapText="1"/>
    </xf>
    <xf numFmtId="3" fontId="12" fillId="19" borderId="65" xfId="21" applyNumberFormat="1" applyFont="1" applyFill="1" applyBorder="1" applyAlignment="1">
      <alignment horizontal="left" vertical="center" wrapText="1"/>
    </xf>
    <xf numFmtId="3" fontId="12" fillId="19" borderId="49" xfId="21" applyNumberFormat="1" applyFont="1" applyFill="1" applyBorder="1" applyAlignment="1">
      <alignment horizontal="left" vertical="center" wrapText="1"/>
    </xf>
    <xf numFmtId="3" fontId="34" fillId="9" borderId="50" xfId="0" applyNumberFormat="1" applyFont="1" applyFill="1" applyBorder="1" applyAlignment="1">
      <alignment horizontal="center" vertical="center"/>
    </xf>
    <xf numFmtId="3" fontId="34" fillId="9" borderId="63" xfId="0" applyNumberFormat="1" applyFont="1" applyFill="1" applyBorder="1" applyAlignment="1">
      <alignment horizontal="center" vertical="center"/>
    </xf>
    <xf numFmtId="3" fontId="34" fillId="9" borderId="51" xfId="0" applyNumberFormat="1" applyFont="1" applyFill="1" applyBorder="1" applyAlignment="1">
      <alignment horizontal="center" vertical="center"/>
    </xf>
    <xf numFmtId="0" fontId="12" fillId="19" borderId="2" xfId="21" applyFont="1" applyFill="1" applyBorder="1" applyAlignment="1">
      <alignment horizontal="left" vertical="center" wrapText="1"/>
    </xf>
    <xf numFmtId="0" fontId="12" fillId="19" borderId="56" xfId="21" applyFont="1" applyFill="1" applyBorder="1" applyAlignment="1">
      <alignment horizontal="left" vertical="center" wrapText="1"/>
    </xf>
    <xf numFmtId="0" fontId="12" fillId="19" borderId="5" xfId="21" applyFont="1" applyFill="1" applyBorder="1" applyAlignment="1">
      <alignment horizontal="left" vertical="center" wrapText="1"/>
    </xf>
    <xf numFmtId="0" fontId="34" fillId="9" borderId="4" xfId="0" applyFont="1" applyFill="1" applyBorder="1" applyAlignment="1">
      <alignment horizontal="center" vertical="center" wrapText="1"/>
    </xf>
    <xf numFmtId="3" fontId="34" fillId="9" borderId="40" xfId="0" applyNumberFormat="1" applyFont="1" applyFill="1" applyBorder="1" applyAlignment="1">
      <alignment horizontal="center" vertical="center"/>
    </xf>
    <xf numFmtId="3" fontId="34" fillId="9" borderId="47" xfId="0" applyNumberFormat="1" applyFont="1" applyFill="1" applyBorder="1" applyAlignment="1">
      <alignment horizontal="center" vertical="center"/>
    </xf>
    <xf numFmtId="3" fontId="34" fillId="9" borderId="48" xfId="0" applyNumberFormat="1" applyFont="1" applyFill="1" applyBorder="1" applyAlignment="1">
      <alignment horizontal="center" vertical="center"/>
    </xf>
    <xf numFmtId="3" fontId="12" fillId="19" borderId="2" xfId="21" applyNumberFormat="1" applyFont="1" applyFill="1" applyBorder="1" applyAlignment="1">
      <alignment horizontal="left" vertical="center" wrapText="1"/>
    </xf>
    <xf numFmtId="3" fontId="12" fillId="19" borderId="56" xfId="21" applyNumberFormat="1" applyFont="1" applyFill="1" applyBorder="1" applyAlignment="1">
      <alignment horizontal="left" vertical="center" wrapText="1"/>
    </xf>
    <xf numFmtId="3" fontId="12" fillId="19" borderId="5" xfId="21" applyNumberFormat="1" applyFont="1" applyFill="1" applyBorder="1" applyAlignment="1">
      <alignment horizontal="left" vertical="center" wrapText="1"/>
    </xf>
    <xf numFmtId="0" fontId="12" fillId="23" borderId="55" xfId="21" applyFont="1" applyFill="1" applyBorder="1" applyAlignment="1">
      <alignment horizontal="center" vertical="center" wrapText="1"/>
    </xf>
    <xf numFmtId="0" fontId="12" fillId="23" borderId="22" xfId="21" applyFont="1" applyFill="1" applyBorder="1" applyAlignment="1">
      <alignment horizontal="center" vertical="center" wrapText="1"/>
    </xf>
    <xf numFmtId="0" fontId="12" fillId="23" borderId="23" xfId="21" applyFont="1" applyFill="1" applyBorder="1" applyAlignment="1">
      <alignment horizontal="center" vertical="center" wrapText="1"/>
    </xf>
    <xf numFmtId="0" fontId="12" fillId="23" borderId="64" xfId="21" applyFont="1" applyFill="1" applyBorder="1" applyAlignment="1">
      <alignment horizontal="center" vertical="center" wrapText="1"/>
    </xf>
    <xf numFmtId="0" fontId="12" fillId="23" borderId="0" xfId="21" applyFont="1" applyFill="1" applyAlignment="1">
      <alignment horizontal="center" vertical="center" wrapText="1"/>
    </xf>
    <xf numFmtId="0" fontId="12" fillId="23" borderId="24" xfId="21" applyFont="1" applyFill="1" applyBorder="1" applyAlignment="1">
      <alignment horizontal="center" vertical="center" wrapText="1"/>
    </xf>
    <xf numFmtId="0" fontId="12" fillId="23" borderId="59" xfId="21" applyFont="1" applyFill="1" applyBorder="1" applyAlignment="1">
      <alignment horizontal="center" vertical="center" wrapText="1"/>
    </xf>
    <xf numFmtId="0" fontId="12" fillId="23" borderId="15" xfId="21" applyFont="1" applyFill="1" applyBorder="1" applyAlignment="1">
      <alignment horizontal="center" vertical="center" wrapText="1"/>
    </xf>
    <xf numFmtId="0" fontId="12" fillId="23" borderId="60" xfId="21" applyFont="1" applyFill="1" applyBorder="1" applyAlignment="1">
      <alignment horizontal="center" vertical="center" wrapText="1"/>
    </xf>
    <xf numFmtId="0" fontId="12" fillId="19" borderId="21" xfId="21" applyFont="1" applyFill="1" applyBorder="1" applyAlignment="1">
      <alignment horizontal="left" vertical="center" wrapText="1"/>
    </xf>
    <xf numFmtId="0" fontId="12" fillId="19" borderId="65" xfId="21" applyFont="1" applyFill="1" applyBorder="1" applyAlignment="1">
      <alignment horizontal="left" vertical="center" wrapText="1"/>
    </xf>
    <xf numFmtId="0" fontId="12" fillId="19" borderId="49" xfId="21" applyFont="1" applyFill="1" applyBorder="1" applyAlignment="1">
      <alignment horizontal="left" vertical="center" wrapText="1"/>
    </xf>
    <xf numFmtId="0" fontId="32" fillId="0" borderId="50" xfId="0" applyFont="1" applyBorder="1" applyAlignment="1">
      <alignment horizontal="left" vertical="center"/>
    </xf>
    <xf numFmtId="0" fontId="32" fillId="0" borderId="63" xfId="0" applyFont="1" applyBorder="1" applyAlignment="1">
      <alignment horizontal="left" vertical="center"/>
    </xf>
    <xf numFmtId="0" fontId="32" fillId="0" borderId="51" xfId="0" applyFont="1" applyBorder="1" applyAlignment="1">
      <alignment horizontal="left" vertical="center"/>
    </xf>
    <xf numFmtId="0" fontId="12" fillId="19" borderId="54" xfId="21" applyFont="1" applyFill="1" applyBorder="1" applyAlignment="1">
      <alignment horizontal="left" vertical="center" wrapText="1"/>
    </xf>
    <xf numFmtId="0" fontId="34" fillId="9" borderId="52" xfId="0" applyFont="1" applyFill="1" applyBorder="1" applyAlignment="1">
      <alignment horizontal="left" vertical="center"/>
    </xf>
    <xf numFmtId="0" fontId="34" fillId="9" borderId="56" xfId="0" applyFont="1" applyFill="1" applyBorder="1" applyAlignment="1">
      <alignment horizontal="left" vertical="center"/>
    </xf>
    <xf numFmtId="0" fontId="34" fillId="9" borderId="5" xfId="0" applyFont="1" applyFill="1" applyBorder="1" applyAlignment="1">
      <alignment horizontal="left" vertical="center"/>
    </xf>
    <xf numFmtId="0" fontId="32" fillId="0" borderId="2" xfId="0" applyFont="1" applyBorder="1" applyAlignment="1">
      <alignment horizontal="left" vertical="center" wrapText="1"/>
    </xf>
    <xf numFmtId="0" fontId="32" fillId="0" borderId="22" xfId="0" applyFont="1" applyBorder="1" applyAlignment="1">
      <alignment horizontal="left" vertical="center"/>
    </xf>
    <xf numFmtId="0" fontId="32" fillId="0" borderId="23" xfId="0" applyFont="1" applyBorder="1" applyAlignment="1">
      <alignment horizontal="left" vertical="center"/>
    </xf>
    <xf numFmtId="3" fontId="12" fillId="23" borderId="55" xfId="21" applyNumberFormat="1" applyFont="1" applyFill="1" applyBorder="1" applyAlignment="1">
      <alignment horizontal="center" vertical="center" wrapText="1"/>
    </xf>
    <xf numFmtId="3" fontId="12" fillId="23" borderId="22" xfId="21" applyNumberFormat="1" applyFont="1" applyFill="1" applyBorder="1" applyAlignment="1">
      <alignment horizontal="center" vertical="center" wrapText="1"/>
    </xf>
    <xf numFmtId="3" fontId="12" fillId="23" borderId="23" xfId="21" applyNumberFormat="1" applyFont="1" applyFill="1" applyBorder="1" applyAlignment="1">
      <alignment horizontal="center" vertical="center" wrapText="1"/>
    </xf>
    <xf numFmtId="3" fontId="12" fillId="23" borderId="64" xfId="21" applyNumberFormat="1" applyFont="1" applyFill="1" applyBorder="1" applyAlignment="1">
      <alignment horizontal="center" vertical="center" wrapText="1"/>
    </xf>
    <xf numFmtId="3" fontId="12" fillId="23" borderId="0" xfId="21" applyNumberFormat="1" applyFont="1" applyFill="1" applyAlignment="1">
      <alignment horizontal="center" vertical="center" wrapText="1"/>
    </xf>
    <xf numFmtId="3" fontId="12" fillId="23" borderId="24" xfId="21" applyNumberFormat="1" applyFont="1" applyFill="1" applyBorder="1" applyAlignment="1">
      <alignment horizontal="center" vertical="center" wrapText="1"/>
    </xf>
    <xf numFmtId="3" fontId="12" fillId="23" borderId="59" xfId="21" applyNumberFormat="1" applyFont="1" applyFill="1" applyBorder="1" applyAlignment="1">
      <alignment horizontal="center" vertical="center" wrapText="1"/>
    </xf>
    <xf numFmtId="3" fontId="12" fillId="23" borderId="15" xfId="21" applyNumberFormat="1" applyFont="1" applyFill="1" applyBorder="1" applyAlignment="1">
      <alignment horizontal="center" vertical="center" wrapText="1"/>
    </xf>
    <xf numFmtId="3" fontId="12" fillId="23" borderId="60" xfId="21" applyNumberFormat="1" applyFont="1" applyFill="1" applyBorder="1" applyAlignment="1">
      <alignment horizontal="center" vertical="center" wrapText="1"/>
    </xf>
    <xf numFmtId="0" fontId="34" fillId="23" borderId="30" xfId="21" applyFont="1" applyFill="1" applyBorder="1" applyAlignment="1">
      <alignment horizontal="center" vertical="center" wrapText="1"/>
    </xf>
    <xf numFmtId="0" fontId="34" fillId="23" borderId="22" xfId="21" applyFont="1" applyFill="1" applyBorder="1" applyAlignment="1">
      <alignment horizontal="center" vertical="center" wrapText="1"/>
    </xf>
    <xf numFmtId="0" fontId="34" fillId="23" borderId="23" xfId="21" applyFont="1" applyFill="1" applyBorder="1" applyAlignment="1">
      <alignment horizontal="center" vertical="center" wrapText="1"/>
    </xf>
    <xf numFmtId="0" fontId="34" fillId="23" borderId="13" xfId="21" applyFont="1" applyFill="1" applyBorder="1" applyAlignment="1">
      <alignment horizontal="center" vertical="center" wrapText="1"/>
    </xf>
    <xf numFmtId="0" fontId="34" fillId="23" borderId="0" xfId="21" applyFont="1" applyFill="1" applyAlignment="1">
      <alignment horizontal="center" vertical="center" wrapText="1"/>
    </xf>
    <xf numFmtId="0" fontId="34" fillId="23" borderId="24" xfId="21" applyFont="1" applyFill="1" applyBorder="1" applyAlignment="1">
      <alignment horizontal="center" vertical="center" wrapText="1"/>
    </xf>
    <xf numFmtId="0" fontId="34" fillId="23" borderId="39" xfId="21" applyFont="1" applyFill="1" applyBorder="1" applyAlignment="1">
      <alignment horizontal="center" vertical="center" wrapText="1"/>
    </xf>
    <xf numFmtId="0" fontId="34" fillId="23" borderId="15" xfId="21" applyFont="1" applyFill="1" applyBorder="1" applyAlignment="1">
      <alignment horizontal="center" vertical="center" wrapText="1"/>
    </xf>
    <xf numFmtId="0" fontId="34" fillId="23" borderId="60" xfId="21" applyFont="1" applyFill="1" applyBorder="1" applyAlignment="1">
      <alignment horizontal="center" vertical="center" wrapText="1"/>
    </xf>
    <xf numFmtId="0" fontId="34" fillId="9" borderId="55" xfId="0" applyFont="1" applyFill="1" applyBorder="1" applyAlignment="1">
      <alignment horizontal="center" vertical="center" wrapText="1"/>
    </xf>
    <xf numFmtId="0" fontId="34" fillId="9" borderId="20" xfId="0" applyFont="1" applyFill="1" applyBorder="1" applyAlignment="1">
      <alignment horizontal="center" vertical="center" wrapText="1"/>
    </xf>
    <xf numFmtId="0" fontId="34" fillId="9" borderId="56" xfId="0" applyFont="1" applyFill="1" applyBorder="1" applyAlignment="1">
      <alignment horizontal="center" vertical="center" wrapText="1"/>
    </xf>
    <xf numFmtId="0" fontId="34" fillId="9" borderId="52" xfId="0" applyFont="1" applyFill="1" applyBorder="1" applyAlignment="1">
      <alignment horizontal="center" vertical="center" wrapText="1"/>
    </xf>
    <xf numFmtId="0" fontId="12" fillId="19" borderId="26" xfId="21" applyFont="1" applyFill="1" applyBorder="1" applyAlignment="1">
      <alignment horizontal="left" vertical="center" wrapText="1"/>
    </xf>
    <xf numFmtId="0" fontId="34" fillId="9" borderId="6" xfId="0" applyFont="1" applyFill="1" applyBorder="1" applyAlignment="1">
      <alignment horizontal="left" vertical="center"/>
    </xf>
    <xf numFmtId="0" fontId="34" fillId="9" borderId="3" xfId="0" applyFont="1" applyFill="1" applyBorder="1" applyAlignment="1">
      <alignment horizontal="left" vertical="center"/>
    </xf>
    <xf numFmtId="0" fontId="34" fillId="9" borderId="25" xfId="0" applyFont="1" applyFill="1" applyBorder="1" applyAlignment="1">
      <alignment horizontal="left" vertical="center"/>
    </xf>
    <xf numFmtId="0" fontId="34" fillId="9" borderId="52" xfId="0" applyFont="1" applyFill="1" applyBorder="1" applyAlignment="1">
      <alignment horizontal="center" vertical="center"/>
    </xf>
    <xf numFmtId="0" fontId="34" fillId="9" borderId="56" xfId="0" applyFont="1" applyFill="1" applyBorder="1" applyAlignment="1">
      <alignment horizontal="center" vertical="center"/>
    </xf>
    <xf numFmtId="0" fontId="34" fillId="9" borderId="5" xfId="0" applyFont="1" applyFill="1" applyBorder="1" applyAlignment="1">
      <alignment horizontal="center" vertical="center"/>
    </xf>
    <xf numFmtId="0" fontId="34" fillId="9" borderId="8" xfId="0" applyFont="1" applyFill="1" applyBorder="1" applyAlignment="1">
      <alignment horizontal="center" vertical="center"/>
    </xf>
    <xf numFmtId="0" fontId="34" fillId="9" borderId="1" xfId="0" applyFont="1" applyFill="1" applyBorder="1" applyAlignment="1">
      <alignment horizontal="center" vertical="center"/>
    </xf>
    <xf numFmtId="14" fontId="40" fillId="0" borderId="1" xfId="0" applyNumberFormat="1" applyFont="1" applyBorder="1" applyAlignment="1">
      <alignment horizontal="center" vertical="center"/>
    </xf>
    <xf numFmtId="0" fontId="40" fillId="0" borderId="1" xfId="0" applyFont="1" applyBorder="1" applyAlignment="1">
      <alignment horizontal="center" vertical="center"/>
    </xf>
    <xf numFmtId="0" fontId="31" fillId="26" borderId="36" xfId="0" applyFont="1" applyFill="1" applyBorder="1" applyAlignment="1">
      <alignment horizontal="center" vertical="center"/>
    </xf>
    <xf numFmtId="0" fontId="31" fillId="26" borderId="37" xfId="0" applyFont="1" applyFill="1" applyBorder="1" applyAlignment="1">
      <alignment horizontal="center" vertical="center"/>
    </xf>
    <xf numFmtId="0" fontId="31" fillId="26" borderId="38" xfId="0" applyFont="1" applyFill="1" applyBorder="1" applyAlignment="1">
      <alignment horizontal="center" vertical="center"/>
    </xf>
    <xf numFmtId="0" fontId="31" fillId="26" borderId="8" xfId="0" applyFont="1" applyFill="1" applyBorder="1" applyAlignment="1">
      <alignment horizontal="left" vertical="center"/>
    </xf>
    <xf numFmtId="0" fontId="31" fillId="26" borderId="1" xfId="0" applyFont="1" applyFill="1" applyBorder="1" applyAlignment="1">
      <alignment horizontal="left" vertical="center"/>
    </xf>
    <xf numFmtId="0" fontId="31" fillId="26" borderId="31" xfId="0" applyFont="1" applyFill="1" applyBorder="1" applyAlignment="1">
      <alignment horizontal="left" vertical="center"/>
    </xf>
    <xf numFmtId="0" fontId="31" fillId="26" borderId="19" xfId="0" applyFont="1" applyFill="1" applyBorder="1" applyAlignment="1">
      <alignment horizontal="left" vertical="center"/>
    </xf>
    <xf numFmtId="44" fontId="31" fillId="0" borderId="0" xfId="34" applyFont="1" applyAlignment="1">
      <alignment horizontal="center" vertical="center"/>
    </xf>
    <xf numFmtId="44" fontId="31" fillId="0" borderId="0" xfId="34" applyFont="1" applyAlignment="1">
      <alignment horizontal="center"/>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4" fillId="21" borderId="2" xfId="0" applyFont="1" applyFill="1" applyBorder="1" applyAlignment="1">
      <alignment horizontal="center" vertical="center"/>
    </xf>
    <xf numFmtId="0" fontId="34" fillId="21" borderId="5" xfId="0" applyFont="1" applyFill="1" applyBorder="1" applyAlignment="1">
      <alignment horizontal="center" vertical="center"/>
    </xf>
    <xf numFmtId="0" fontId="34" fillId="0" borderId="2" xfId="0" applyFont="1" applyBorder="1" applyAlignment="1">
      <alignment horizontal="left" vertical="center" wrapText="1"/>
    </xf>
    <xf numFmtId="0" fontId="34"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5" xfId="0" applyFont="1" applyBorder="1" applyAlignment="1">
      <alignment horizontal="left" vertical="center" wrapText="1"/>
    </xf>
    <xf numFmtId="0" fontId="32" fillId="0" borderId="4" xfId="0" applyFont="1" applyBorder="1" applyAlignment="1">
      <alignment horizontal="left" vertical="center" wrapText="1"/>
    </xf>
    <xf numFmtId="41" fontId="32" fillId="0" borderId="55" xfId="12" applyFont="1" applyFill="1" applyBorder="1" applyAlignment="1">
      <alignment horizontal="left" vertical="center"/>
    </xf>
    <xf numFmtId="41" fontId="32" fillId="0" borderId="64" xfId="12" applyFont="1" applyFill="1" applyBorder="1" applyAlignment="1">
      <alignment horizontal="left" vertical="center"/>
    </xf>
    <xf numFmtId="41" fontId="32"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Currency" xfId="34" xr:uid="{C1E79A70-DD45-4429-938C-87D5017683A7}"/>
    <cellStyle name="Encabezado 1 2" xfId="5" xr:uid="{00000000-0005-0000-0000-000008000000}"/>
    <cellStyle name="Encabezado 2" xfId="6" xr:uid="{00000000-0005-0000-0000-000009000000}"/>
    <cellStyle name="Énfasis1" xfId="33" builtinId="29"/>
    <cellStyle name="Énfasis6 2" xfId="7" xr:uid="{00000000-0005-0000-0000-00000A000000}"/>
    <cellStyle name="Fecha" xfId="8" xr:uid="{00000000-0005-0000-0000-00000B000000}"/>
    <cellStyle name="HeaderStyle" xfId="9" xr:uid="{00000000-0005-0000-0000-00000C000000}"/>
    <cellStyle name="Millares" xfId="10" builtinId="3"/>
    <cellStyle name="Millares [0]" xfId="11" builtinId="6"/>
    <cellStyle name="Millares [0] 2" xfId="12" xr:uid="{00000000-0005-0000-0000-00000D000000}"/>
    <cellStyle name="Millares 2" xfId="13" xr:uid="{00000000-0005-0000-0000-00000E000000}"/>
    <cellStyle name="Moneda [0]" xfId="14" builtinId="7"/>
    <cellStyle name="Moneda 130" xfId="15" xr:uid="{00000000-0005-0000-0000-00000F000000}"/>
    <cellStyle name="Moneda 2" xfId="16" xr:uid="{00000000-0005-0000-0000-000010000000}"/>
    <cellStyle name="Moneda 2 2" xfId="17" xr:uid="{00000000-0005-0000-0000-000011000000}"/>
    <cellStyle name="Moneda 23" xfId="18" xr:uid="{00000000-0005-0000-0000-000012000000}"/>
    <cellStyle name="Moneda 3" xfId="19" xr:uid="{00000000-0005-0000-0000-000013000000}"/>
    <cellStyle name="Neutral 2" xfId="20" xr:uid="{00000000-0005-0000-0000-000014000000}"/>
    <cellStyle name="Normal" xfId="0" builtinId="0"/>
    <cellStyle name="Normal 2" xfId="21" xr:uid="{00000000-0005-0000-0000-000016000000}"/>
    <cellStyle name="Normal 2 2" xfId="22" xr:uid="{00000000-0005-0000-0000-000017000000}"/>
    <cellStyle name="Normal 2 3" xfId="23" xr:uid="{00000000-0005-0000-0000-000018000000}"/>
    <cellStyle name="Normal 3" xfId="24" xr:uid="{00000000-0005-0000-0000-000019000000}"/>
    <cellStyle name="Normal 3 2" xfId="25" xr:uid="{00000000-0005-0000-0000-00001A000000}"/>
    <cellStyle name="Normal 6 2" xfId="26" xr:uid="{00000000-0005-0000-0000-00001B000000}"/>
    <cellStyle name="Porcentaje" xfId="27" builtinId="5"/>
    <cellStyle name="Porcentaje 2" xfId="28" xr:uid="{00000000-0005-0000-0000-00001D000000}"/>
    <cellStyle name="Porcentual 2" xfId="29" xr:uid="{00000000-0005-0000-0000-00001E000000}"/>
    <cellStyle name="Texto de inicio" xfId="30" xr:uid="{00000000-0005-0000-0000-00001F000000}"/>
    <cellStyle name="Texto de la columna A" xfId="31" xr:uid="{00000000-0005-0000-0000-000020000000}"/>
    <cellStyle name="Título 4" xfId="32" xr:uid="{00000000-0005-0000-0000-000021000000}"/>
  </cellStyles>
  <dxfs count="1">
    <dxf>
      <font>
        <color rgb="FF9C0006"/>
      </font>
      <fill>
        <patternFill>
          <bgColor rgb="FFFFC7CE"/>
        </patternFill>
      </fill>
    </dxf>
  </dxfs>
  <tableStyles count="0" defaultTableStyle="TableStyleMedium9" defaultPivotStyle="PivotStyleLight16"/>
  <colors>
    <mruColors>
      <color rgb="FF99FF99"/>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585106</xdr:colOff>
      <xdr:row>0</xdr:row>
      <xdr:rowOff>140153</xdr:rowOff>
    </xdr:from>
    <xdr:to>
      <xdr:col>0</xdr:col>
      <xdr:colOff>1905000</xdr:colOff>
      <xdr:row>3</xdr:row>
      <xdr:rowOff>234303</xdr:rowOff>
    </xdr:to>
    <xdr:pic>
      <xdr:nvPicPr>
        <xdr:cNvPr id="2" name="Picture 47">
          <a:extLst>
            <a:ext uri="{FF2B5EF4-FFF2-40B4-BE49-F238E27FC236}">
              <a16:creationId xmlns:a16="http://schemas.microsoft.com/office/drawing/2014/main" id="{805626A6-E013-470F-A91F-279D845D40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106" y="140153"/>
          <a:ext cx="1319894" cy="1196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2143125</xdr:colOff>
      <xdr:row>3</xdr:row>
      <xdr:rowOff>226569</xdr:rowOff>
    </xdr:to>
    <xdr:pic>
      <xdr:nvPicPr>
        <xdr:cNvPr id="82955" name="Picture 47">
          <a:extLst>
            <a:ext uri="{FF2B5EF4-FFF2-40B4-BE49-F238E27FC236}">
              <a16:creationId xmlns:a16="http://schemas.microsoft.com/office/drawing/2014/main" id="{A09F614F-9A4B-479B-A0B5-FE3DA7E777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476375" cy="13632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99332</xdr:rowOff>
    </xdr:from>
    <xdr:to>
      <xdr:col>0</xdr:col>
      <xdr:colOff>2027464</xdr:colOff>
      <xdr:row>3</xdr:row>
      <xdr:rowOff>222460</xdr:rowOff>
    </xdr:to>
    <xdr:pic>
      <xdr:nvPicPr>
        <xdr:cNvPr id="83979" name="Picture 47">
          <a:extLst>
            <a:ext uri="{FF2B5EF4-FFF2-40B4-BE49-F238E27FC236}">
              <a16:creationId xmlns:a16="http://schemas.microsoft.com/office/drawing/2014/main" id="{F5567784-B0BA-4509-88B6-001240FAB1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99332"/>
          <a:ext cx="1455964" cy="1225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539750</xdr:colOff>
      <xdr:row>0</xdr:row>
      <xdr:rowOff>69850</xdr:rowOff>
    </xdr:from>
    <xdr:to>
      <xdr:col>0</xdr:col>
      <xdr:colOff>1968499</xdr:colOff>
      <xdr:row>3</xdr:row>
      <xdr:rowOff>198646</xdr:rowOff>
    </xdr:to>
    <xdr:pic>
      <xdr:nvPicPr>
        <xdr:cNvPr id="82090" name="Picture 47">
          <a:extLst>
            <a:ext uri="{FF2B5EF4-FFF2-40B4-BE49-F238E27FC236}">
              <a16:creationId xmlns:a16="http://schemas.microsoft.com/office/drawing/2014/main" id="{6E461376-1A6B-464A-8665-E21F053A47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750" y="69850"/>
          <a:ext cx="1428749" cy="1240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539750</xdr:colOff>
      <xdr:row>0</xdr:row>
      <xdr:rowOff>69850</xdr:rowOff>
    </xdr:from>
    <xdr:to>
      <xdr:col>0</xdr:col>
      <xdr:colOff>1968499</xdr:colOff>
      <xdr:row>3</xdr:row>
      <xdr:rowOff>198646</xdr:rowOff>
    </xdr:to>
    <xdr:pic>
      <xdr:nvPicPr>
        <xdr:cNvPr id="3" name="Picture 47">
          <a:extLst>
            <a:ext uri="{FF2B5EF4-FFF2-40B4-BE49-F238E27FC236}">
              <a16:creationId xmlns:a16="http://schemas.microsoft.com/office/drawing/2014/main" id="{88146C58-74F5-4346-BEA4-21CB8630B7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750" y="69850"/>
          <a:ext cx="1428749" cy="12336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0626" name="Picture 47">
          <a:extLst>
            <a:ext uri="{FF2B5EF4-FFF2-40B4-BE49-F238E27FC236}">
              <a16:creationId xmlns:a16="http://schemas.microsoft.com/office/drawing/2014/main" id="{D89C69B5-1E01-468D-92B1-227E2DAC9A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7</xdr:row>
      <xdr:rowOff>19050</xdr:rowOff>
    </xdr:from>
    <xdr:to>
      <xdr:col>13</xdr:col>
      <xdr:colOff>269308</xdr:colOff>
      <xdr:row>19</xdr:row>
      <xdr:rowOff>171450</xdr:rowOff>
    </xdr:to>
    <xdr:pic>
      <xdr:nvPicPr>
        <xdr:cNvPr id="2" name="Imagen 1">
          <a:extLst>
            <a:ext uri="{FF2B5EF4-FFF2-40B4-BE49-F238E27FC236}">
              <a16:creationId xmlns:a16="http://schemas.microsoft.com/office/drawing/2014/main" id="{4C4E59FE-478C-4F37-9638-4ED7080A1664}"/>
            </a:ext>
          </a:extLst>
        </xdr:cNvPr>
        <xdr:cNvPicPr>
          <a:picLocks noChangeAspect="1"/>
        </xdr:cNvPicPr>
      </xdr:nvPicPr>
      <xdr:blipFill rotWithShape="1">
        <a:blip xmlns:r="http://schemas.openxmlformats.org/officeDocument/2006/relationships" r:embed="rId1"/>
        <a:srcRect l="3373" t="19554" r="6318" b="38753"/>
        <a:stretch/>
      </xdr:blipFill>
      <xdr:spPr>
        <a:xfrm>
          <a:off x="866775" y="1524000"/>
          <a:ext cx="9394258" cy="24384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Ángela Adriana Ávila Ospina" id="{114774B9-990D-4578-8FE7-0DC23A1405F0}" userId="S::aavila@sdmujer.gov.co::03cd9c64-9e5b-41df-abaf-4a4394e5e84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W22" dT="2022-08-05T13:20:51.55" personId="{114774B9-990D-4578-8FE7-0DC23A1405F0}" id="{99670F4B-7746-4724-AE5E-73E371D851EF}">
    <text>Mod.Presupuestal - se disminuye el valor programado en $67.649.873, lo anterior teniendo en cuenta el ajuste en el valor de la meta de $2.401.870.787 a $2.334.220.914 realizado en el mes de julio de 2022.</text>
  </threadedComment>
  <threadedComment ref="O24" dT="2022-05-04T21:26:15.31" personId="{114774B9-990D-4578-8FE7-0DC23A1405F0}" id="{388F3DCC-A166-4ED4-A18D-503E5E909C66}">
    <text>En junio no se presentan liberaciones
En mayo se restan $4,167,765 asociados a la liberación del contrato 163-2020 con ETB.
En abril se restan $4.759.996, asociados a la liberación del contrato con PANAMERICANA.</text>
  </threadedComment>
</ThreadedComments>
</file>

<file path=xl/threadedComments/threadedComment2.xml><?xml version="1.0" encoding="utf-8"?>
<ThreadedComments xmlns="http://schemas.microsoft.com/office/spreadsheetml/2018/threadedcomments" xmlns:x="http://schemas.openxmlformats.org/spreadsheetml/2006/main">
  <threadedComment ref="W22" dT="2022-08-05T13:32:31.85" personId="{114774B9-990D-4578-8FE7-0DC23A1405F0}" id="{6FEB5E4C-DB18-413F-9D43-D0B9CAFACD5D}">
    <text>Mod.Presupuestal - se disminuye el valor programado en $28.052.082, lo anterior teniendo en cuenta el ajuste en el valor de la meta de $1.608.626.713 a $1.580.574.504 realizado en el mes de julio de 2022.</text>
  </threadedComment>
  <threadedComment ref="AB24" dT="2022-08-05T13:33:43.26" personId="{114774B9-990D-4578-8FE7-0DC23A1405F0}" id="{E3BC3753-A808-42C8-8CE5-3F084592B09F}">
    <text>Mod.Presupuestal - se disminuye el valor programado en giros $28.052.082, lo anterior teniendo en cuenta el ajuste en el valor de la meta de $1.608.626.713 a $1.580.574.504 realizado en el mes de julio de 2022.</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9D9D3-10DE-4423-9D0A-BAAFFB298A60}">
  <sheetPr>
    <tabColor rgb="FF99FF99"/>
    <pageSetUpPr fitToPage="1"/>
  </sheetPr>
  <dimension ref="A1:AT51"/>
  <sheetViews>
    <sheetView showGridLines="0" view="pageBreakPreview" topLeftCell="A46" zoomScale="55" zoomScaleNormal="75" zoomScaleSheetLayoutView="55" workbookViewId="0">
      <selection activeCell="G47" sqref="G47"/>
    </sheetView>
  </sheetViews>
  <sheetFormatPr baseColWidth="10" defaultColWidth="10.85546875" defaultRowHeight="15"/>
  <cols>
    <col min="1" max="1" width="38.5703125" style="50" customWidth="1"/>
    <col min="2" max="2" width="11.42578125" style="50" customWidth="1"/>
    <col min="3" max="3" width="17.85546875" style="50" customWidth="1"/>
    <col min="4" max="7" width="16" style="50" customWidth="1"/>
    <col min="8" max="8" width="14" style="50" bestFit="1" customWidth="1"/>
    <col min="9" max="9" width="14.42578125" style="50" bestFit="1" customWidth="1"/>
    <col min="10" max="10" width="13.42578125" style="50" bestFit="1" customWidth="1"/>
    <col min="11" max="14" width="9.7109375" style="50" customWidth="1"/>
    <col min="15" max="15" width="19.42578125" style="50" bestFit="1" customWidth="1"/>
    <col min="16" max="16" width="15.7109375" style="50" customWidth="1"/>
    <col min="17" max="17" width="18.42578125" style="50" customWidth="1"/>
    <col min="18" max="19" width="15.85546875" style="50" customWidth="1"/>
    <col min="20" max="20" width="15" style="50" bestFit="1" customWidth="1"/>
    <col min="21" max="21" width="15.140625" style="50" bestFit="1" customWidth="1"/>
    <col min="22" max="22" width="14.7109375" style="50" bestFit="1" customWidth="1"/>
    <col min="23" max="23" width="15.140625" style="50" bestFit="1" customWidth="1"/>
    <col min="24" max="28" width="16" style="50" customWidth="1"/>
    <col min="29" max="29" width="23.5703125" style="50" customWidth="1"/>
    <col min="30" max="30" width="10.140625" style="50" bestFit="1" customWidth="1"/>
    <col min="31" max="31" width="25" style="50" customWidth="1"/>
    <col min="32" max="32" width="53.5703125" style="50" customWidth="1"/>
    <col min="33" max="33" width="10" style="50" customWidth="1"/>
    <col min="34" max="34" width="14.42578125" style="50" bestFit="1" customWidth="1"/>
    <col min="35" max="38" width="15.7109375" style="531" customWidth="1"/>
    <col min="39" max="39" width="15.7109375" style="512" customWidth="1"/>
    <col min="40" max="40" width="18.42578125" style="512" bestFit="1" customWidth="1"/>
    <col min="41" max="41" width="16.85546875" style="512" customWidth="1"/>
    <col min="42" max="42" width="23" style="512" bestFit="1" customWidth="1"/>
    <col min="43" max="43" width="10.85546875" style="512"/>
    <col min="44" max="44" width="18.42578125" style="50" bestFit="1" customWidth="1"/>
    <col min="45" max="45" width="16.140625" style="50" customWidth="1"/>
    <col min="46" max="259" width="10.85546875" style="50"/>
    <col min="260" max="260" width="42" style="50" customWidth="1"/>
    <col min="261" max="261" width="21.7109375" style="50" customWidth="1"/>
    <col min="262" max="273" width="20.7109375" style="50" customWidth="1"/>
    <col min="274" max="274" width="16.140625" style="50" customWidth="1"/>
    <col min="275" max="286" width="18.140625" style="50" customWidth="1"/>
    <col min="287" max="287" width="22.7109375" style="50" customWidth="1"/>
    <col min="288" max="288" width="19" style="50" customWidth="1"/>
    <col min="289" max="289" width="19.42578125" style="50" customWidth="1"/>
    <col min="290" max="290" width="6.28515625" style="50" bestFit="1" customWidth="1"/>
    <col min="291" max="291" width="22.85546875" style="50" customWidth="1"/>
    <col min="292" max="292" width="18.42578125" style="50" bestFit="1" customWidth="1"/>
    <col min="293" max="293" width="8.42578125" style="50" customWidth="1"/>
    <col min="294" max="294" width="18.42578125" style="50" bestFit="1" customWidth="1"/>
    <col min="295" max="295" width="5.7109375" style="50" customWidth="1"/>
    <col min="296" max="296" width="18.42578125" style="50" bestFit="1" customWidth="1"/>
    <col min="297" max="297" width="4.7109375" style="50" customWidth="1"/>
    <col min="298" max="298" width="23" style="50" bestFit="1" customWidth="1"/>
    <col min="299" max="299" width="10.85546875" style="50"/>
    <col min="300" max="300" width="18.42578125" style="50" bestFit="1" customWidth="1"/>
    <col min="301" max="301" width="16.140625" style="50" customWidth="1"/>
    <col min="302" max="515" width="10.85546875" style="50"/>
    <col min="516" max="516" width="42" style="50" customWidth="1"/>
    <col min="517" max="517" width="21.7109375" style="50" customWidth="1"/>
    <col min="518" max="529" width="20.7109375" style="50" customWidth="1"/>
    <col min="530" max="530" width="16.140625" style="50" customWidth="1"/>
    <col min="531" max="542" width="18.140625" style="50" customWidth="1"/>
    <col min="543" max="543" width="22.7109375" style="50" customWidth="1"/>
    <col min="544" max="544" width="19" style="50" customWidth="1"/>
    <col min="545" max="545" width="19.42578125" style="50" customWidth="1"/>
    <col min="546" max="546" width="6.28515625" style="50" bestFit="1" customWidth="1"/>
    <col min="547" max="547" width="22.85546875" style="50" customWidth="1"/>
    <col min="548" max="548" width="18.42578125" style="50" bestFit="1" customWidth="1"/>
    <col min="549" max="549" width="8.42578125" style="50" customWidth="1"/>
    <col min="550" max="550" width="18.42578125" style="50" bestFit="1" customWidth="1"/>
    <col min="551" max="551" width="5.7109375" style="50" customWidth="1"/>
    <col min="552" max="552" width="18.42578125" style="50" bestFit="1" customWidth="1"/>
    <col min="553" max="553" width="4.7109375" style="50" customWidth="1"/>
    <col min="554" max="554" width="23" style="50" bestFit="1" customWidth="1"/>
    <col min="555" max="555" width="10.85546875" style="50"/>
    <col min="556" max="556" width="18.42578125" style="50" bestFit="1" customWidth="1"/>
    <col min="557" max="557" width="16.140625" style="50" customWidth="1"/>
    <col min="558" max="771" width="10.85546875" style="50"/>
    <col min="772" max="772" width="42" style="50" customWidth="1"/>
    <col min="773" max="773" width="21.7109375" style="50" customWidth="1"/>
    <col min="774" max="785" width="20.7109375" style="50" customWidth="1"/>
    <col min="786" max="786" width="16.140625" style="50" customWidth="1"/>
    <col min="787" max="798" width="18.140625" style="50" customWidth="1"/>
    <col min="799" max="799" width="22.7109375" style="50" customWidth="1"/>
    <col min="800" max="800" width="19" style="50" customWidth="1"/>
    <col min="801" max="801" width="19.42578125" style="50" customWidth="1"/>
    <col min="802" max="802" width="6.28515625" style="50" bestFit="1" customWidth="1"/>
    <col min="803" max="803" width="22.85546875" style="50" customWidth="1"/>
    <col min="804" max="804" width="18.42578125" style="50" bestFit="1" customWidth="1"/>
    <col min="805" max="805" width="8.42578125" style="50" customWidth="1"/>
    <col min="806" max="806" width="18.42578125" style="50" bestFit="1" customWidth="1"/>
    <col min="807" max="807" width="5.7109375" style="50" customWidth="1"/>
    <col min="808" max="808" width="18.42578125" style="50" bestFit="1" customWidth="1"/>
    <col min="809" max="809" width="4.7109375" style="50" customWidth="1"/>
    <col min="810" max="810" width="23" style="50" bestFit="1" customWidth="1"/>
    <col min="811" max="811" width="10.85546875" style="50"/>
    <col min="812" max="812" width="18.42578125" style="50" bestFit="1" customWidth="1"/>
    <col min="813" max="813" width="16.140625" style="50" customWidth="1"/>
    <col min="814" max="1027" width="10.85546875" style="50"/>
    <col min="1028" max="1028" width="42" style="50" customWidth="1"/>
    <col min="1029" max="1029" width="21.7109375" style="50" customWidth="1"/>
    <col min="1030" max="1041" width="20.7109375" style="50" customWidth="1"/>
    <col min="1042" max="1042" width="16.140625" style="50" customWidth="1"/>
    <col min="1043" max="1054" width="18.140625" style="50" customWidth="1"/>
    <col min="1055" max="1055" width="22.7109375" style="50" customWidth="1"/>
    <col min="1056" max="1056" width="19" style="50" customWidth="1"/>
    <col min="1057" max="1057" width="19.42578125" style="50" customWidth="1"/>
    <col min="1058" max="1058" width="6.28515625" style="50" bestFit="1" customWidth="1"/>
    <col min="1059" max="1059" width="22.85546875" style="50" customWidth="1"/>
    <col min="1060" max="1060" width="18.42578125" style="50" bestFit="1" customWidth="1"/>
    <col min="1061" max="1061" width="8.42578125" style="50" customWidth="1"/>
    <col min="1062" max="1062" width="18.42578125" style="50" bestFit="1" customWidth="1"/>
    <col min="1063" max="1063" width="5.7109375" style="50" customWidth="1"/>
    <col min="1064" max="1064" width="18.42578125" style="50" bestFit="1" customWidth="1"/>
    <col min="1065" max="1065" width="4.7109375" style="50" customWidth="1"/>
    <col min="1066" max="1066" width="23" style="50" bestFit="1" customWidth="1"/>
    <col min="1067" max="1067" width="10.85546875" style="50"/>
    <col min="1068" max="1068" width="18.42578125" style="50" bestFit="1" customWidth="1"/>
    <col min="1069" max="1069" width="16.140625" style="50" customWidth="1"/>
    <col min="1070" max="1283" width="10.85546875" style="50"/>
    <col min="1284" max="1284" width="42" style="50" customWidth="1"/>
    <col min="1285" max="1285" width="21.7109375" style="50" customWidth="1"/>
    <col min="1286" max="1297" width="20.7109375" style="50" customWidth="1"/>
    <col min="1298" max="1298" width="16.140625" style="50" customWidth="1"/>
    <col min="1299" max="1310" width="18.140625" style="50" customWidth="1"/>
    <col min="1311" max="1311" width="22.7109375" style="50" customWidth="1"/>
    <col min="1312" max="1312" width="19" style="50" customWidth="1"/>
    <col min="1313" max="1313" width="19.42578125" style="50" customWidth="1"/>
    <col min="1314" max="1314" width="6.28515625" style="50" bestFit="1" customWidth="1"/>
    <col min="1315" max="1315" width="22.85546875" style="50" customWidth="1"/>
    <col min="1316" max="1316" width="18.42578125" style="50" bestFit="1" customWidth="1"/>
    <col min="1317" max="1317" width="8.42578125" style="50" customWidth="1"/>
    <col min="1318" max="1318" width="18.42578125" style="50" bestFit="1" customWidth="1"/>
    <col min="1319" max="1319" width="5.7109375" style="50" customWidth="1"/>
    <col min="1320" max="1320" width="18.42578125" style="50" bestFit="1" customWidth="1"/>
    <col min="1321" max="1321" width="4.7109375" style="50" customWidth="1"/>
    <col min="1322" max="1322" width="23" style="50" bestFit="1" customWidth="1"/>
    <col min="1323" max="1323" width="10.85546875" style="50"/>
    <col min="1324" max="1324" width="18.42578125" style="50" bestFit="1" customWidth="1"/>
    <col min="1325" max="1325" width="16.140625" style="50" customWidth="1"/>
    <col min="1326" max="1539" width="10.85546875" style="50"/>
    <col min="1540" max="1540" width="42" style="50" customWidth="1"/>
    <col min="1541" max="1541" width="21.7109375" style="50" customWidth="1"/>
    <col min="1542" max="1553" width="20.7109375" style="50" customWidth="1"/>
    <col min="1554" max="1554" width="16.140625" style="50" customWidth="1"/>
    <col min="1555" max="1566" width="18.140625" style="50" customWidth="1"/>
    <col min="1567" max="1567" width="22.7109375" style="50" customWidth="1"/>
    <col min="1568" max="1568" width="19" style="50" customWidth="1"/>
    <col min="1569" max="1569" width="19.42578125" style="50" customWidth="1"/>
    <col min="1570" max="1570" width="6.28515625" style="50" bestFit="1" customWidth="1"/>
    <col min="1571" max="1571" width="22.85546875" style="50" customWidth="1"/>
    <col min="1572" max="1572" width="18.42578125" style="50" bestFit="1" customWidth="1"/>
    <col min="1573" max="1573" width="8.42578125" style="50" customWidth="1"/>
    <col min="1574" max="1574" width="18.42578125" style="50" bestFit="1" customWidth="1"/>
    <col min="1575" max="1575" width="5.7109375" style="50" customWidth="1"/>
    <col min="1576" max="1576" width="18.42578125" style="50" bestFit="1" customWidth="1"/>
    <col min="1577" max="1577" width="4.7109375" style="50" customWidth="1"/>
    <col min="1578" max="1578" width="23" style="50" bestFit="1" customWidth="1"/>
    <col min="1579" max="1579" width="10.85546875" style="50"/>
    <col min="1580" max="1580" width="18.42578125" style="50" bestFit="1" customWidth="1"/>
    <col min="1581" max="1581" width="16.140625" style="50" customWidth="1"/>
    <col min="1582" max="1795" width="10.85546875" style="50"/>
    <col min="1796" max="1796" width="42" style="50" customWidth="1"/>
    <col min="1797" max="1797" width="21.7109375" style="50" customWidth="1"/>
    <col min="1798" max="1809" width="20.7109375" style="50" customWidth="1"/>
    <col min="1810" max="1810" width="16.140625" style="50" customWidth="1"/>
    <col min="1811" max="1822" width="18.140625" style="50" customWidth="1"/>
    <col min="1823" max="1823" width="22.7109375" style="50" customWidth="1"/>
    <col min="1824" max="1824" width="19" style="50" customWidth="1"/>
    <col min="1825" max="1825" width="19.42578125" style="50" customWidth="1"/>
    <col min="1826" max="1826" width="6.28515625" style="50" bestFit="1" customWidth="1"/>
    <col min="1827" max="1827" width="22.85546875" style="50" customWidth="1"/>
    <col min="1828" max="1828" width="18.42578125" style="50" bestFit="1" customWidth="1"/>
    <col min="1829" max="1829" width="8.42578125" style="50" customWidth="1"/>
    <col min="1830" max="1830" width="18.42578125" style="50" bestFit="1" customWidth="1"/>
    <col min="1831" max="1831" width="5.7109375" style="50" customWidth="1"/>
    <col min="1832" max="1832" width="18.42578125" style="50" bestFit="1" customWidth="1"/>
    <col min="1833" max="1833" width="4.7109375" style="50" customWidth="1"/>
    <col min="1834" max="1834" width="23" style="50" bestFit="1" customWidth="1"/>
    <col min="1835" max="1835" width="10.85546875" style="50"/>
    <col min="1836" max="1836" width="18.42578125" style="50" bestFit="1" customWidth="1"/>
    <col min="1837" max="1837" width="16.140625" style="50" customWidth="1"/>
    <col min="1838" max="2051" width="10.85546875" style="50"/>
    <col min="2052" max="2052" width="42" style="50" customWidth="1"/>
    <col min="2053" max="2053" width="21.7109375" style="50" customWidth="1"/>
    <col min="2054" max="2065" width="20.7109375" style="50" customWidth="1"/>
    <col min="2066" max="2066" width="16.140625" style="50" customWidth="1"/>
    <col min="2067" max="2078" width="18.140625" style="50" customWidth="1"/>
    <col min="2079" max="2079" width="22.7109375" style="50" customWidth="1"/>
    <col min="2080" max="2080" width="19" style="50" customWidth="1"/>
    <col min="2081" max="2081" width="19.42578125" style="50" customWidth="1"/>
    <col min="2082" max="2082" width="6.28515625" style="50" bestFit="1" customWidth="1"/>
    <col min="2083" max="2083" width="22.85546875" style="50" customWidth="1"/>
    <col min="2084" max="2084" width="18.42578125" style="50" bestFit="1" customWidth="1"/>
    <col min="2085" max="2085" width="8.42578125" style="50" customWidth="1"/>
    <col min="2086" max="2086" width="18.42578125" style="50" bestFit="1" customWidth="1"/>
    <col min="2087" max="2087" width="5.7109375" style="50" customWidth="1"/>
    <col min="2088" max="2088" width="18.42578125" style="50" bestFit="1" customWidth="1"/>
    <col min="2089" max="2089" width="4.7109375" style="50" customWidth="1"/>
    <col min="2090" max="2090" width="23" style="50" bestFit="1" customWidth="1"/>
    <col min="2091" max="2091" width="10.85546875" style="50"/>
    <col min="2092" max="2092" width="18.42578125" style="50" bestFit="1" customWidth="1"/>
    <col min="2093" max="2093" width="16.140625" style="50" customWidth="1"/>
    <col min="2094" max="2307" width="10.85546875" style="50"/>
    <col min="2308" max="2308" width="42" style="50" customWidth="1"/>
    <col min="2309" max="2309" width="21.7109375" style="50" customWidth="1"/>
    <col min="2310" max="2321" width="20.7109375" style="50" customWidth="1"/>
    <col min="2322" max="2322" width="16.140625" style="50" customWidth="1"/>
    <col min="2323" max="2334" width="18.140625" style="50" customWidth="1"/>
    <col min="2335" max="2335" width="22.7109375" style="50" customWidth="1"/>
    <col min="2336" max="2336" width="19" style="50" customWidth="1"/>
    <col min="2337" max="2337" width="19.42578125" style="50" customWidth="1"/>
    <col min="2338" max="2338" width="6.28515625" style="50" bestFit="1" customWidth="1"/>
    <col min="2339" max="2339" width="22.85546875" style="50" customWidth="1"/>
    <col min="2340" max="2340" width="18.42578125" style="50" bestFit="1" customWidth="1"/>
    <col min="2341" max="2341" width="8.42578125" style="50" customWidth="1"/>
    <col min="2342" max="2342" width="18.42578125" style="50" bestFit="1" customWidth="1"/>
    <col min="2343" max="2343" width="5.7109375" style="50" customWidth="1"/>
    <col min="2344" max="2344" width="18.42578125" style="50" bestFit="1" customWidth="1"/>
    <col min="2345" max="2345" width="4.7109375" style="50" customWidth="1"/>
    <col min="2346" max="2346" width="23" style="50" bestFit="1" customWidth="1"/>
    <col min="2347" max="2347" width="10.85546875" style="50"/>
    <col min="2348" max="2348" width="18.42578125" style="50" bestFit="1" customWidth="1"/>
    <col min="2349" max="2349" width="16.140625" style="50" customWidth="1"/>
    <col min="2350" max="2563" width="10.85546875" style="50"/>
    <col min="2564" max="2564" width="42" style="50" customWidth="1"/>
    <col min="2565" max="2565" width="21.7109375" style="50" customWidth="1"/>
    <col min="2566" max="2577" width="20.7109375" style="50" customWidth="1"/>
    <col min="2578" max="2578" width="16.140625" style="50" customWidth="1"/>
    <col min="2579" max="2590" width="18.140625" style="50" customWidth="1"/>
    <col min="2591" max="2591" width="22.7109375" style="50" customWidth="1"/>
    <col min="2592" max="2592" width="19" style="50" customWidth="1"/>
    <col min="2593" max="2593" width="19.42578125" style="50" customWidth="1"/>
    <col min="2594" max="2594" width="6.28515625" style="50" bestFit="1" customWidth="1"/>
    <col min="2595" max="2595" width="22.85546875" style="50" customWidth="1"/>
    <col min="2596" max="2596" width="18.42578125" style="50" bestFit="1" customWidth="1"/>
    <col min="2597" max="2597" width="8.42578125" style="50" customWidth="1"/>
    <col min="2598" max="2598" width="18.42578125" style="50" bestFit="1" customWidth="1"/>
    <col min="2599" max="2599" width="5.7109375" style="50" customWidth="1"/>
    <col min="2600" max="2600" width="18.42578125" style="50" bestFit="1" customWidth="1"/>
    <col min="2601" max="2601" width="4.7109375" style="50" customWidth="1"/>
    <col min="2602" max="2602" width="23" style="50" bestFit="1" customWidth="1"/>
    <col min="2603" max="2603" width="10.85546875" style="50"/>
    <col min="2604" max="2604" width="18.42578125" style="50" bestFit="1" customWidth="1"/>
    <col min="2605" max="2605" width="16.140625" style="50" customWidth="1"/>
    <col min="2606" max="2819" width="10.85546875" style="50"/>
    <col min="2820" max="2820" width="42" style="50" customWidth="1"/>
    <col min="2821" max="2821" width="21.7109375" style="50" customWidth="1"/>
    <col min="2822" max="2833" width="20.7109375" style="50" customWidth="1"/>
    <col min="2834" max="2834" width="16.140625" style="50" customWidth="1"/>
    <col min="2835" max="2846" width="18.140625" style="50" customWidth="1"/>
    <col min="2847" max="2847" width="22.7109375" style="50" customWidth="1"/>
    <col min="2848" max="2848" width="19" style="50" customWidth="1"/>
    <col min="2849" max="2849" width="19.42578125" style="50" customWidth="1"/>
    <col min="2850" max="2850" width="6.28515625" style="50" bestFit="1" customWidth="1"/>
    <col min="2851" max="2851" width="22.85546875" style="50" customWidth="1"/>
    <col min="2852" max="2852" width="18.42578125" style="50" bestFit="1" customWidth="1"/>
    <col min="2853" max="2853" width="8.42578125" style="50" customWidth="1"/>
    <col min="2854" max="2854" width="18.42578125" style="50" bestFit="1" customWidth="1"/>
    <col min="2855" max="2855" width="5.7109375" style="50" customWidth="1"/>
    <col min="2856" max="2856" width="18.42578125" style="50" bestFit="1" customWidth="1"/>
    <col min="2857" max="2857" width="4.7109375" style="50" customWidth="1"/>
    <col min="2858" max="2858" width="23" style="50" bestFit="1" customWidth="1"/>
    <col min="2859" max="2859" width="10.85546875" style="50"/>
    <col min="2860" max="2860" width="18.42578125" style="50" bestFit="1" customWidth="1"/>
    <col min="2861" max="2861" width="16.140625" style="50" customWidth="1"/>
    <col min="2862" max="3075" width="10.85546875" style="50"/>
    <col min="3076" max="3076" width="42" style="50" customWidth="1"/>
    <col min="3077" max="3077" width="21.7109375" style="50" customWidth="1"/>
    <col min="3078" max="3089" width="20.7109375" style="50" customWidth="1"/>
    <col min="3090" max="3090" width="16.140625" style="50" customWidth="1"/>
    <col min="3091" max="3102" width="18.140625" style="50" customWidth="1"/>
    <col min="3103" max="3103" width="22.7109375" style="50" customWidth="1"/>
    <col min="3104" max="3104" width="19" style="50" customWidth="1"/>
    <col min="3105" max="3105" width="19.42578125" style="50" customWidth="1"/>
    <col min="3106" max="3106" width="6.28515625" style="50" bestFit="1" customWidth="1"/>
    <col min="3107" max="3107" width="22.85546875" style="50" customWidth="1"/>
    <col min="3108" max="3108" width="18.42578125" style="50" bestFit="1" customWidth="1"/>
    <col min="3109" max="3109" width="8.42578125" style="50" customWidth="1"/>
    <col min="3110" max="3110" width="18.42578125" style="50" bestFit="1" customWidth="1"/>
    <col min="3111" max="3111" width="5.7109375" style="50" customWidth="1"/>
    <col min="3112" max="3112" width="18.42578125" style="50" bestFit="1" customWidth="1"/>
    <col min="3113" max="3113" width="4.7109375" style="50" customWidth="1"/>
    <col min="3114" max="3114" width="23" style="50" bestFit="1" customWidth="1"/>
    <col min="3115" max="3115" width="10.85546875" style="50"/>
    <col min="3116" max="3116" width="18.42578125" style="50" bestFit="1" customWidth="1"/>
    <col min="3117" max="3117" width="16.140625" style="50" customWidth="1"/>
    <col min="3118" max="3331" width="10.85546875" style="50"/>
    <col min="3332" max="3332" width="42" style="50" customWidth="1"/>
    <col min="3333" max="3333" width="21.7109375" style="50" customWidth="1"/>
    <col min="3334" max="3345" width="20.7109375" style="50" customWidth="1"/>
    <col min="3346" max="3346" width="16.140625" style="50" customWidth="1"/>
    <col min="3347" max="3358" width="18.140625" style="50" customWidth="1"/>
    <col min="3359" max="3359" width="22.7109375" style="50" customWidth="1"/>
    <col min="3360" max="3360" width="19" style="50" customWidth="1"/>
    <col min="3361" max="3361" width="19.42578125" style="50" customWidth="1"/>
    <col min="3362" max="3362" width="6.28515625" style="50" bestFit="1" customWidth="1"/>
    <col min="3363" max="3363" width="22.85546875" style="50" customWidth="1"/>
    <col min="3364" max="3364" width="18.42578125" style="50" bestFit="1" customWidth="1"/>
    <col min="3365" max="3365" width="8.42578125" style="50" customWidth="1"/>
    <col min="3366" max="3366" width="18.42578125" style="50" bestFit="1" customWidth="1"/>
    <col min="3367" max="3367" width="5.7109375" style="50" customWidth="1"/>
    <col min="3368" max="3368" width="18.42578125" style="50" bestFit="1" customWidth="1"/>
    <col min="3369" max="3369" width="4.7109375" style="50" customWidth="1"/>
    <col min="3370" max="3370" width="23" style="50" bestFit="1" customWidth="1"/>
    <col min="3371" max="3371" width="10.85546875" style="50"/>
    <col min="3372" max="3372" width="18.42578125" style="50" bestFit="1" customWidth="1"/>
    <col min="3373" max="3373" width="16.140625" style="50" customWidth="1"/>
    <col min="3374" max="3587" width="10.85546875" style="50"/>
    <col min="3588" max="3588" width="42" style="50" customWidth="1"/>
    <col min="3589" max="3589" width="21.7109375" style="50" customWidth="1"/>
    <col min="3590" max="3601" width="20.7109375" style="50" customWidth="1"/>
    <col min="3602" max="3602" width="16.140625" style="50" customWidth="1"/>
    <col min="3603" max="3614" width="18.140625" style="50" customWidth="1"/>
    <col min="3615" max="3615" width="22.7109375" style="50" customWidth="1"/>
    <col min="3616" max="3616" width="19" style="50" customWidth="1"/>
    <col min="3617" max="3617" width="19.42578125" style="50" customWidth="1"/>
    <col min="3618" max="3618" width="6.28515625" style="50" bestFit="1" customWidth="1"/>
    <col min="3619" max="3619" width="22.85546875" style="50" customWidth="1"/>
    <col min="3620" max="3620" width="18.42578125" style="50" bestFit="1" customWidth="1"/>
    <col min="3621" max="3621" width="8.42578125" style="50" customWidth="1"/>
    <col min="3622" max="3622" width="18.42578125" style="50" bestFit="1" customWidth="1"/>
    <col min="3623" max="3623" width="5.7109375" style="50" customWidth="1"/>
    <col min="3624" max="3624" width="18.42578125" style="50" bestFit="1" customWidth="1"/>
    <col min="3625" max="3625" width="4.7109375" style="50" customWidth="1"/>
    <col min="3626" max="3626" width="23" style="50" bestFit="1" customWidth="1"/>
    <col min="3627" max="3627" width="10.85546875" style="50"/>
    <col min="3628" max="3628" width="18.42578125" style="50" bestFit="1" customWidth="1"/>
    <col min="3629" max="3629" width="16.140625" style="50" customWidth="1"/>
    <col min="3630" max="3843" width="10.85546875" style="50"/>
    <col min="3844" max="3844" width="42" style="50" customWidth="1"/>
    <col min="3845" max="3845" width="21.7109375" style="50" customWidth="1"/>
    <col min="3846" max="3857" width="20.7109375" style="50" customWidth="1"/>
    <col min="3858" max="3858" width="16.140625" style="50" customWidth="1"/>
    <col min="3859" max="3870" width="18.140625" style="50" customWidth="1"/>
    <col min="3871" max="3871" width="22.7109375" style="50" customWidth="1"/>
    <col min="3872" max="3872" width="19" style="50" customWidth="1"/>
    <col min="3873" max="3873" width="19.42578125" style="50" customWidth="1"/>
    <col min="3874" max="3874" width="6.28515625" style="50" bestFit="1" customWidth="1"/>
    <col min="3875" max="3875" width="22.85546875" style="50" customWidth="1"/>
    <col min="3876" max="3876" width="18.42578125" style="50" bestFit="1" customWidth="1"/>
    <col min="3877" max="3877" width="8.42578125" style="50" customWidth="1"/>
    <col min="3878" max="3878" width="18.42578125" style="50" bestFit="1" customWidth="1"/>
    <col min="3879" max="3879" width="5.7109375" style="50" customWidth="1"/>
    <col min="3880" max="3880" width="18.42578125" style="50" bestFit="1" customWidth="1"/>
    <col min="3881" max="3881" width="4.7109375" style="50" customWidth="1"/>
    <col min="3882" max="3882" width="23" style="50" bestFit="1" customWidth="1"/>
    <col min="3883" max="3883" width="10.85546875" style="50"/>
    <col min="3884" max="3884" width="18.42578125" style="50" bestFit="1" customWidth="1"/>
    <col min="3885" max="3885" width="16.140625" style="50" customWidth="1"/>
    <col min="3886" max="4099" width="10.85546875" style="50"/>
    <col min="4100" max="4100" width="42" style="50" customWidth="1"/>
    <col min="4101" max="4101" width="21.7109375" style="50" customWidth="1"/>
    <col min="4102" max="4113" width="20.7109375" style="50" customWidth="1"/>
    <col min="4114" max="4114" width="16.140625" style="50" customWidth="1"/>
    <col min="4115" max="4126" width="18.140625" style="50" customWidth="1"/>
    <col min="4127" max="4127" width="22.7109375" style="50" customWidth="1"/>
    <col min="4128" max="4128" width="19" style="50" customWidth="1"/>
    <col min="4129" max="4129" width="19.42578125" style="50" customWidth="1"/>
    <col min="4130" max="4130" width="6.28515625" style="50" bestFit="1" customWidth="1"/>
    <col min="4131" max="4131" width="22.85546875" style="50" customWidth="1"/>
    <col min="4132" max="4132" width="18.42578125" style="50" bestFit="1" customWidth="1"/>
    <col min="4133" max="4133" width="8.42578125" style="50" customWidth="1"/>
    <col min="4134" max="4134" width="18.42578125" style="50" bestFit="1" customWidth="1"/>
    <col min="4135" max="4135" width="5.7109375" style="50" customWidth="1"/>
    <col min="4136" max="4136" width="18.42578125" style="50" bestFit="1" customWidth="1"/>
    <col min="4137" max="4137" width="4.7109375" style="50" customWidth="1"/>
    <col min="4138" max="4138" width="23" style="50" bestFit="1" customWidth="1"/>
    <col min="4139" max="4139" width="10.85546875" style="50"/>
    <col min="4140" max="4140" width="18.42578125" style="50" bestFit="1" customWidth="1"/>
    <col min="4141" max="4141" width="16.140625" style="50" customWidth="1"/>
    <col min="4142" max="4355" width="10.85546875" style="50"/>
    <col min="4356" max="4356" width="42" style="50" customWidth="1"/>
    <col min="4357" max="4357" width="21.7109375" style="50" customWidth="1"/>
    <col min="4358" max="4369" width="20.7109375" style="50" customWidth="1"/>
    <col min="4370" max="4370" width="16.140625" style="50" customWidth="1"/>
    <col min="4371" max="4382" width="18.140625" style="50" customWidth="1"/>
    <col min="4383" max="4383" width="22.7109375" style="50" customWidth="1"/>
    <col min="4384" max="4384" width="19" style="50" customWidth="1"/>
    <col min="4385" max="4385" width="19.42578125" style="50" customWidth="1"/>
    <col min="4386" max="4386" width="6.28515625" style="50" bestFit="1" customWidth="1"/>
    <col min="4387" max="4387" width="22.85546875" style="50" customWidth="1"/>
    <col min="4388" max="4388" width="18.42578125" style="50" bestFit="1" customWidth="1"/>
    <col min="4389" max="4389" width="8.42578125" style="50" customWidth="1"/>
    <col min="4390" max="4390" width="18.42578125" style="50" bestFit="1" customWidth="1"/>
    <col min="4391" max="4391" width="5.7109375" style="50" customWidth="1"/>
    <col min="4392" max="4392" width="18.42578125" style="50" bestFit="1" customWidth="1"/>
    <col min="4393" max="4393" width="4.7109375" style="50" customWidth="1"/>
    <col min="4394" max="4394" width="23" style="50" bestFit="1" customWidth="1"/>
    <col min="4395" max="4395" width="10.85546875" style="50"/>
    <col min="4396" max="4396" width="18.42578125" style="50" bestFit="1" customWidth="1"/>
    <col min="4397" max="4397" width="16.140625" style="50" customWidth="1"/>
    <col min="4398" max="4611" width="10.85546875" style="50"/>
    <col min="4612" max="4612" width="42" style="50" customWidth="1"/>
    <col min="4613" max="4613" width="21.7109375" style="50" customWidth="1"/>
    <col min="4614" max="4625" width="20.7109375" style="50" customWidth="1"/>
    <col min="4626" max="4626" width="16.140625" style="50" customWidth="1"/>
    <col min="4627" max="4638" width="18.140625" style="50" customWidth="1"/>
    <col min="4639" max="4639" width="22.7109375" style="50" customWidth="1"/>
    <col min="4640" max="4640" width="19" style="50" customWidth="1"/>
    <col min="4641" max="4641" width="19.42578125" style="50" customWidth="1"/>
    <col min="4642" max="4642" width="6.28515625" style="50" bestFit="1" customWidth="1"/>
    <col min="4643" max="4643" width="22.85546875" style="50" customWidth="1"/>
    <col min="4644" max="4644" width="18.42578125" style="50" bestFit="1" customWidth="1"/>
    <col min="4645" max="4645" width="8.42578125" style="50" customWidth="1"/>
    <col min="4646" max="4646" width="18.42578125" style="50" bestFit="1" customWidth="1"/>
    <col min="4647" max="4647" width="5.7109375" style="50" customWidth="1"/>
    <col min="4648" max="4648" width="18.42578125" style="50" bestFit="1" customWidth="1"/>
    <col min="4649" max="4649" width="4.7109375" style="50" customWidth="1"/>
    <col min="4650" max="4650" width="23" style="50" bestFit="1" customWidth="1"/>
    <col min="4651" max="4651" width="10.85546875" style="50"/>
    <col min="4652" max="4652" width="18.42578125" style="50" bestFit="1" customWidth="1"/>
    <col min="4653" max="4653" width="16.140625" style="50" customWidth="1"/>
    <col min="4654" max="4867" width="10.85546875" style="50"/>
    <col min="4868" max="4868" width="42" style="50" customWidth="1"/>
    <col min="4869" max="4869" width="21.7109375" style="50" customWidth="1"/>
    <col min="4870" max="4881" width="20.7109375" style="50" customWidth="1"/>
    <col min="4882" max="4882" width="16.140625" style="50" customWidth="1"/>
    <col min="4883" max="4894" width="18.140625" style="50" customWidth="1"/>
    <col min="4895" max="4895" width="22.7109375" style="50" customWidth="1"/>
    <col min="4896" max="4896" width="19" style="50" customWidth="1"/>
    <col min="4897" max="4897" width="19.42578125" style="50" customWidth="1"/>
    <col min="4898" max="4898" width="6.28515625" style="50" bestFit="1" customWidth="1"/>
    <col min="4899" max="4899" width="22.85546875" style="50" customWidth="1"/>
    <col min="4900" max="4900" width="18.42578125" style="50" bestFit="1" customWidth="1"/>
    <col min="4901" max="4901" width="8.42578125" style="50" customWidth="1"/>
    <col min="4902" max="4902" width="18.42578125" style="50" bestFit="1" customWidth="1"/>
    <col min="4903" max="4903" width="5.7109375" style="50" customWidth="1"/>
    <col min="4904" max="4904" width="18.42578125" style="50" bestFit="1" customWidth="1"/>
    <col min="4905" max="4905" width="4.7109375" style="50" customWidth="1"/>
    <col min="4906" max="4906" width="23" style="50" bestFit="1" customWidth="1"/>
    <col min="4907" max="4907" width="10.85546875" style="50"/>
    <col min="4908" max="4908" width="18.42578125" style="50" bestFit="1" customWidth="1"/>
    <col min="4909" max="4909" width="16.140625" style="50" customWidth="1"/>
    <col min="4910" max="5123" width="10.85546875" style="50"/>
    <col min="5124" max="5124" width="42" style="50" customWidth="1"/>
    <col min="5125" max="5125" width="21.7109375" style="50" customWidth="1"/>
    <col min="5126" max="5137" width="20.7109375" style="50" customWidth="1"/>
    <col min="5138" max="5138" width="16.140625" style="50" customWidth="1"/>
    <col min="5139" max="5150" width="18.140625" style="50" customWidth="1"/>
    <col min="5151" max="5151" width="22.7109375" style="50" customWidth="1"/>
    <col min="5152" max="5152" width="19" style="50" customWidth="1"/>
    <col min="5153" max="5153" width="19.42578125" style="50" customWidth="1"/>
    <col min="5154" max="5154" width="6.28515625" style="50" bestFit="1" customWidth="1"/>
    <col min="5155" max="5155" width="22.85546875" style="50" customWidth="1"/>
    <col min="5156" max="5156" width="18.42578125" style="50" bestFit="1" customWidth="1"/>
    <col min="5157" max="5157" width="8.42578125" style="50" customWidth="1"/>
    <col min="5158" max="5158" width="18.42578125" style="50" bestFit="1" customWidth="1"/>
    <col min="5159" max="5159" width="5.7109375" style="50" customWidth="1"/>
    <col min="5160" max="5160" width="18.42578125" style="50" bestFit="1" customWidth="1"/>
    <col min="5161" max="5161" width="4.7109375" style="50" customWidth="1"/>
    <col min="5162" max="5162" width="23" style="50" bestFit="1" customWidth="1"/>
    <col min="5163" max="5163" width="10.85546875" style="50"/>
    <col min="5164" max="5164" width="18.42578125" style="50" bestFit="1" customWidth="1"/>
    <col min="5165" max="5165" width="16.140625" style="50" customWidth="1"/>
    <col min="5166" max="5379" width="10.85546875" style="50"/>
    <col min="5380" max="5380" width="42" style="50" customWidth="1"/>
    <col min="5381" max="5381" width="21.7109375" style="50" customWidth="1"/>
    <col min="5382" max="5393" width="20.7109375" style="50" customWidth="1"/>
    <col min="5394" max="5394" width="16.140625" style="50" customWidth="1"/>
    <col min="5395" max="5406" width="18.140625" style="50" customWidth="1"/>
    <col min="5407" max="5407" width="22.7109375" style="50" customWidth="1"/>
    <col min="5408" max="5408" width="19" style="50" customWidth="1"/>
    <col min="5409" max="5409" width="19.42578125" style="50" customWidth="1"/>
    <col min="5410" max="5410" width="6.28515625" style="50" bestFit="1" customWidth="1"/>
    <col min="5411" max="5411" width="22.85546875" style="50" customWidth="1"/>
    <col min="5412" max="5412" width="18.42578125" style="50" bestFit="1" customWidth="1"/>
    <col min="5413" max="5413" width="8.42578125" style="50" customWidth="1"/>
    <col min="5414" max="5414" width="18.42578125" style="50" bestFit="1" customWidth="1"/>
    <col min="5415" max="5415" width="5.7109375" style="50" customWidth="1"/>
    <col min="5416" max="5416" width="18.42578125" style="50" bestFit="1" customWidth="1"/>
    <col min="5417" max="5417" width="4.7109375" style="50" customWidth="1"/>
    <col min="5418" max="5418" width="23" style="50" bestFit="1" customWidth="1"/>
    <col min="5419" max="5419" width="10.85546875" style="50"/>
    <col min="5420" max="5420" width="18.42578125" style="50" bestFit="1" customWidth="1"/>
    <col min="5421" max="5421" width="16.140625" style="50" customWidth="1"/>
    <col min="5422" max="5635" width="10.85546875" style="50"/>
    <col min="5636" max="5636" width="42" style="50" customWidth="1"/>
    <col min="5637" max="5637" width="21.7109375" style="50" customWidth="1"/>
    <col min="5638" max="5649" width="20.7109375" style="50" customWidth="1"/>
    <col min="5650" max="5650" width="16.140625" style="50" customWidth="1"/>
    <col min="5651" max="5662" width="18.140625" style="50" customWidth="1"/>
    <col min="5663" max="5663" width="22.7109375" style="50" customWidth="1"/>
    <col min="5664" max="5664" width="19" style="50" customWidth="1"/>
    <col min="5665" max="5665" width="19.42578125" style="50" customWidth="1"/>
    <col min="5666" max="5666" width="6.28515625" style="50" bestFit="1" customWidth="1"/>
    <col min="5667" max="5667" width="22.85546875" style="50" customWidth="1"/>
    <col min="5668" max="5668" width="18.42578125" style="50" bestFit="1" customWidth="1"/>
    <col min="5669" max="5669" width="8.42578125" style="50" customWidth="1"/>
    <col min="5670" max="5670" width="18.42578125" style="50" bestFit="1" customWidth="1"/>
    <col min="5671" max="5671" width="5.7109375" style="50" customWidth="1"/>
    <col min="5672" max="5672" width="18.42578125" style="50" bestFit="1" customWidth="1"/>
    <col min="5673" max="5673" width="4.7109375" style="50" customWidth="1"/>
    <col min="5674" max="5674" width="23" style="50" bestFit="1" customWidth="1"/>
    <col min="5675" max="5675" width="10.85546875" style="50"/>
    <col min="5676" max="5676" width="18.42578125" style="50" bestFit="1" customWidth="1"/>
    <col min="5677" max="5677" width="16.140625" style="50" customWidth="1"/>
    <col min="5678" max="5891" width="10.85546875" style="50"/>
    <col min="5892" max="5892" width="42" style="50" customWidth="1"/>
    <col min="5893" max="5893" width="21.7109375" style="50" customWidth="1"/>
    <col min="5894" max="5905" width="20.7109375" style="50" customWidth="1"/>
    <col min="5906" max="5906" width="16.140625" style="50" customWidth="1"/>
    <col min="5907" max="5918" width="18.140625" style="50" customWidth="1"/>
    <col min="5919" max="5919" width="22.7109375" style="50" customWidth="1"/>
    <col min="5920" max="5920" width="19" style="50" customWidth="1"/>
    <col min="5921" max="5921" width="19.42578125" style="50" customWidth="1"/>
    <col min="5922" max="5922" width="6.28515625" style="50" bestFit="1" customWidth="1"/>
    <col min="5923" max="5923" width="22.85546875" style="50" customWidth="1"/>
    <col min="5924" max="5924" width="18.42578125" style="50" bestFit="1" customWidth="1"/>
    <col min="5925" max="5925" width="8.42578125" style="50" customWidth="1"/>
    <col min="5926" max="5926" width="18.42578125" style="50" bestFit="1" customWidth="1"/>
    <col min="5927" max="5927" width="5.7109375" style="50" customWidth="1"/>
    <col min="5928" max="5928" width="18.42578125" style="50" bestFit="1" customWidth="1"/>
    <col min="5929" max="5929" width="4.7109375" style="50" customWidth="1"/>
    <col min="5930" max="5930" width="23" style="50" bestFit="1" customWidth="1"/>
    <col min="5931" max="5931" width="10.85546875" style="50"/>
    <col min="5932" max="5932" width="18.42578125" style="50" bestFit="1" customWidth="1"/>
    <col min="5933" max="5933" width="16.140625" style="50" customWidth="1"/>
    <col min="5934" max="6147" width="10.85546875" style="50"/>
    <col min="6148" max="6148" width="42" style="50" customWidth="1"/>
    <col min="6149" max="6149" width="21.7109375" style="50" customWidth="1"/>
    <col min="6150" max="6161" width="20.7109375" style="50" customWidth="1"/>
    <col min="6162" max="6162" width="16.140625" style="50" customWidth="1"/>
    <col min="6163" max="6174" width="18.140625" style="50" customWidth="1"/>
    <col min="6175" max="6175" width="22.7109375" style="50" customWidth="1"/>
    <col min="6176" max="6176" width="19" style="50" customWidth="1"/>
    <col min="6177" max="6177" width="19.42578125" style="50" customWidth="1"/>
    <col min="6178" max="6178" width="6.28515625" style="50" bestFit="1" customWidth="1"/>
    <col min="6179" max="6179" width="22.85546875" style="50" customWidth="1"/>
    <col min="6180" max="6180" width="18.42578125" style="50" bestFit="1" customWidth="1"/>
    <col min="6181" max="6181" width="8.42578125" style="50" customWidth="1"/>
    <col min="6182" max="6182" width="18.42578125" style="50" bestFit="1" customWidth="1"/>
    <col min="6183" max="6183" width="5.7109375" style="50" customWidth="1"/>
    <col min="6184" max="6184" width="18.42578125" style="50" bestFit="1" customWidth="1"/>
    <col min="6185" max="6185" width="4.7109375" style="50" customWidth="1"/>
    <col min="6186" max="6186" width="23" style="50" bestFit="1" customWidth="1"/>
    <col min="6187" max="6187" width="10.85546875" style="50"/>
    <col min="6188" max="6188" width="18.42578125" style="50" bestFit="1" customWidth="1"/>
    <col min="6189" max="6189" width="16.140625" style="50" customWidth="1"/>
    <col min="6190" max="6403" width="10.85546875" style="50"/>
    <col min="6404" max="6404" width="42" style="50" customWidth="1"/>
    <col min="6405" max="6405" width="21.7109375" style="50" customWidth="1"/>
    <col min="6406" max="6417" width="20.7109375" style="50" customWidth="1"/>
    <col min="6418" max="6418" width="16.140625" style="50" customWidth="1"/>
    <col min="6419" max="6430" width="18.140625" style="50" customWidth="1"/>
    <col min="6431" max="6431" width="22.7109375" style="50" customWidth="1"/>
    <col min="6432" max="6432" width="19" style="50" customWidth="1"/>
    <col min="6433" max="6433" width="19.42578125" style="50" customWidth="1"/>
    <col min="6434" max="6434" width="6.28515625" style="50" bestFit="1" customWidth="1"/>
    <col min="6435" max="6435" width="22.85546875" style="50" customWidth="1"/>
    <col min="6436" max="6436" width="18.42578125" style="50" bestFit="1" customWidth="1"/>
    <col min="6437" max="6437" width="8.42578125" style="50" customWidth="1"/>
    <col min="6438" max="6438" width="18.42578125" style="50" bestFit="1" customWidth="1"/>
    <col min="6439" max="6439" width="5.7109375" style="50" customWidth="1"/>
    <col min="6440" max="6440" width="18.42578125" style="50" bestFit="1" customWidth="1"/>
    <col min="6441" max="6441" width="4.7109375" style="50" customWidth="1"/>
    <col min="6442" max="6442" width="23" style="50" bestFit="1" customWidth="1"/>
    <col min="6443" max="6443" width="10.85546875" style="50"/>
    <col min="6444" max="6444" width="18.42578125" style="50" bestFit="1" customWidth="1"/>
    <col min="6445" max="6445" width="16.140625" style="50" customWidth="1"/>
    <col min="6446" max="6659" width="10.85546875" style="50"/>
    <col min="6660" max="6660" width="42" style="50" customWidth="1"/>
    <col min="6661" max="6661" width="21.7109375" style="50" customWidth="1"/>
    <col min="6662" max="6673" width="20.7109375" style="50" customWidth="1"/>
    <col min="6674" max="6674" width="16.140625" style="50" customWidth="1"/>
    <col min="6675" max="6686" width="18.140625" style="50" customWidth="1"/>
    <col min="6687" max="6687" width="22.7109375" style="50" customWidth="1"/>
    <col min="6688" max="6688" width="19" style="50" customWidth="1"/>
    <col min="6689" max="6689" width="19.42578125" style="50" customWidth="1"/>
    <col min="6690" max="6690" width="6.28515625" style="50" bestFit="1" customWidth="1"/>
    <col min="6691" max="6691" width="22.85546875" style="50" customWidth="1"/>
    <col min="6692" max="6692" width="18.42578125" style="50" bestFit="1" customWidth="1"/>
    <col min="6693" max="6693" width="8.42578125" style="50" customWidth="1"/>
    <col min="6694" max="6694" width="18.42578125" style="50" bestFit="1" customWidth="1"/>
    <col min="6695" max="6695" width="5.7109375" style="50" customWidth="1"/>
    <col min="6696" max="6696" width="18.42578125" style="50" bestFit="1" customWidth="1"/>
    <col min="6697" max="6697" width="4.7109375" style="50" customWidth="1"/>
    <col min="6698" max="6698" width="23" style="50" bestFit="1" customWidth="1"/>
    <col min="6699" max="6699" width="10.85546875" style="50"/>
    <col min="6700" max="6700" width="18.42578125" style="50" bestFit="1" customWidth="1"/>
    <col min="6701" max="6701" width="16.140625" style="50" customWidth="1"/>
    <col min="6702" max="6915" width="10.85546875" style="50"/>
    <col min="6916" max="6916" width="42" style="50" customWidth="1"/>
    <col min="6917" max="6917" width="21.7109375" style="50" customWidth="1"/>
    <col min="6918" max="6929" width="20.7109375" style="50" customWidth="1"/>
    <col min="6930" max="6930" width="16.140625" style="50" customWidth="1"/>
    <col min="6931" max="6942" width="18.140625" style="50" customWidth="1"/>
    <col min="6943" max="6943" width="22.7109375" style="50" customWidth="1"/>
    <col min="6944" max="6944" width="19" style="50" customWidth="1"/>
    <col min="6945" max="6945" width="19.42578125" style="50" customWidth="1"/>
    <col min="6946" max="6946" width="6.28515625" style="50" bestFit="1" customWidth="1"/>
    <col min="6947" max="6947" width="22.85546875" style="50" customWidth="1"/>
    <col min="6948" max="6948" width="18.42578125" style="50" bestFit="1" customWidth="1"/>
    <col min="6949" max="6949" width="8.42578125" style="50" customWidth="1"/>
    <col min="6950" max="6950" width="18.42578125" style="50" bestFit="1" customWidth="1"/>
    <col min="6951" max="6951" width="5.7109375" style="50" customWidth="1"/>
    <col min="6952" max="6952" width="18.42578125" style="50" bestFit="1" customWidth="1"/>
    <col min="6953" max="6953" width="4.7109375" style="50" customWidth="1"/>
    <col min="6954" max="6954" width="23" style="50" bestFit="1" customWidth="1"/>
    <col min="6955" max="6955" width="10.85546875" style="50"/>
    <col min="6956" max="6956" width="18.42578125" style="50" bestFit="1" customWidth="1"/>
    <col min="6957" max="6957" width="16.140625" style="50" customWidth="1"/>
    <col min="6958" max="7171" width="10.85546875" style="50"/>
    <col min="7172" max="7172" width="42" style="50" customWidth="1"/>
    <col min="7173" max="7173" width="21.7109375" style="50" customWidth="1"/>
    <col min="7174" max="7185" width="20.7109375" style="50" customWidth="1"/>
    <col min="7186" max="7186" width="16.140625" style="50" customWidth="1"/>
    <col min="7187" max="7198" width="18.140625" style="50" customWidth="1"/>
    <col min="7199" max="7199" width="22.7109375" style="50" customWidth="1"/>
    <col min="7200" max="7200" width="19" style="50" customWidth="1"/>
    <col min="7201" max="7201" width="19.42578125" style="50" customWidth="1"/>
    <col min="7202" max="7202" width="6.28515625" style="50" bestFit="1" customWidth="1"/>
    <col min="7203" max="7203" width="22.85546875" style="50" customWidth="1"/>
    <col min="7204" max="7204" width="18.42578125" style="50" bestFit="1" customWidth="1"/>
    <col min="7205" max="7205" width="8.42578125" style="50" customWidth="1"/>
    <col min="7206" max="7206" width="18.42578125" style="50" bestFit="1" customWidth="1"/>
    <col min="7207" max="7207" width="5.7109375" style="50" customWidth="1"/>
    <col min="7208" max="7208" width="18.42578125" style="50" bestFit="1" customWidth="1"/>
    <col min="7209" max="7209" width="4.7109375" style="50" customWidth="1"/>
    <col min="7210" max="7210" width="23" style="50" bestFit="1" customWidth="1"/>
    <col min="7211" max="7211" width="10.85546875" style="50"/>
    <col min="7212" max="7212" width="18.42578125" style="50" bestFit="1" customWidth="1"/>
    <col min="7213" max="7213" width="16.140625" style="50" customWidth="1"/>
    <col min="7214" max="7427" width="10.85546875" style="50"/>
    <col min="7428" max="7428" width="42" style="50" customWidth="1"/>
    <col min="7429" max="7429" width="21.7109375" style="50" customWidth="1"/>
    <col min="7430" max="7441" width="20.7109375" style="50" customWidth="1"/>
    <col min="7442" max="7442" width="16.140625" style="50" customWidth="1"/>
    <col min="7443" max="7454" width="18.140625" style="50" customWidth="1"/>
    <col min="7455" max="7455" width="22.7109375" style="50" customWidth="1"/>
    <col min="7456" max="7456" width="19" style="50" customWidth="1"/>
    <col min="7457" max="7457" width="19.42578125" style="50" customWidth="1"/>
    <col min="7458" max="7458" width="6.28515625" style="50" bestFit="1" customWidth="1"/>
    <col min="7459" max="7459" width="22.85546875" style="50" customWidth="1"/>
    <col min="7460" max="7460" width="18.42578125" style="50" bestFit="1" customWidth="1"/>
    <col min="7461" max="7461" width="8.42578125" style="50" customWidth="1"/>
    <col min="7462" max="7462" width="18.42578125" style="50" bestFit="1" customWidth="1"/>
    <col min="7463" max="7463" width="5.7109375" style="50" customWidth="1"/>
    <col min="7464" max="7464" width="18.42578125" style="50" bestFit="1" customWidth="1"/>
    <col min="7465" max="7465" width="4.7109375" style="50" customWidth="1"/>
    <col min="7466" max="7466" width="23" style="50" bestFit="1" customWidth="1"/>
    <col min="7467" max="7467" width="10.85546875" style="50"/>
    <col min="7468" max="7468" width="18.42578125" style="50" bestFit="1" customWidth="1"/>
    <col min="7469" max="7469" width="16.140625" style="50" customWidth="1"/>
    <col min="7470" max="7683" width="10.85546875" style="50"/>
    <col min="7684" max="7684" width="42" style="50" customWidth="1"/>
    <col min="7685" max="7685" width="21.7109375" style="50" customWidth="1"/>
    <col min="7686" max="7697" width="20.7109375" style="50" customWidth="1"/>
    <col min="7698" max="7698" width="16.140625" style="50" customWidth="1"/>
    <col min="7699" max="7710" width="18.140625" style="50" customWidth="1"/>
    <col min="7711" max="7711" width="22.7109375" style="50" customWidth="1"/>
    <col min="7712" max="7712" width="19" style="50" customWidth="1"/>
    <col min="7713" max="7713" width="19.42578125" style="50" customWidth="1"/>
    <col min="7714" max="7714" width="6.28515625" style="50" bestFit="1" customWidth="1"/>
    <col min="7715" max="7715" width="22.85546875" style="50" customWidth="1"/>
    <col min="7716" max="7716" width="18.42578125" style="50" bestFit="1" customWidth="1"/>
    <col min="7717" max="7717" width="8.42578125" style="50" customWidth="1"/>
    <col min="7718" max="7718" width="18.42578125" style="50" bestFit="1" customWidth="1"/>
    <col min="7719" max="7719" width="5.7109375" style="50" customWidth="1"/>
    <col min="7720" max="7720" width="18.42578125" style="50" bestFit="1" customWidth="1"/>
    <col min="7721" max="7721" width="4.7109375" style="50" customWidth="1"/>
    <col min="7722" max="7722" width="23" style="50" bestFit="1" customWidth="1"/>
    <col min="7723" max="7723" width="10.85546875" style="50"/>
    <col min="7724" max="7724" width="18.42578125" style="50" bestFit="1" customWidth="1"/>
    <col min="7725" max="7725" width="16.140625" style="50" customWidth="1"/>
    <col min="7726" max="7939" width="10.85546875" style="50"/>
    <col min="7940" max="7940" width="42" style="50" customWidth="1"/>
    <col min="7941" max="7941" width="21.7109375" style="50" customWidth="1"/>
    <col min="7942" max="7953" width="20.7109375" style="50" customWidth="1"/>
    <col min="7954" max="7954" width="16.140625" style="50" customWidth="1"/>
    <col min="7955" max="7966" width="18.140625" style="50" customWidth="1"/>
    <col min="7967" max="7967" width="22.7109375" style="50" customWidth="1"/>
    <col min="7968" max="7968" width="19" style="50" customWidth="1"/>
    <col min="7969" max="7969" width="19.42578125" style="50" customWidth="1"/>
    <col min="7970" max="7970" width="6.28515625" style="50" bestFit="1" customWidth="1"/>
    <col min="7971" max="7971" width="22.85546875" style="50" customWidth="1"/>
    <col min="7972" max="7972" width="18.42578125" style="50" bestFit="1" customWidth="1"/>
    <col min="7973" max="7973" width="8.42578125" style="50" customWidth="1"/>
    <col min="7974" max="7974" width="18.42578125" style="50" bestFit="1" customWidth="1"/>
    <col min="7975" max="7975" width="5.7109375" style="50" customWidth="1"/>
    <col min="7976" max="7976" width="18.42578125" style="50" bestFit="1" customWidth="1"/>
    <col min="7977" max="7977" width="4.7109375" style="50" customWidth="1"/>
    <col min="7978" max="7978" width="23" style="50" bestFit="1" customWidth="1"/>
    <col min="7979" max="7979" width="10.85546875" style="50"/>
    <col min="7980" max="7980" width="18.42578125" style="50" bestFit="1" customWidth="1"/>
    <col min="7981" max="7981" width="16.140625" style="50" customWidth="1"/>
    <col min="7982" max="8195" width="10.85546875" style="50"/>
    <col min="8196" max="8196" width="42" style="50" customWidth="1"/>
    <col min="8197" max="8197" width="21.7109375" style="50" customWidth="1"/>
    <col min="8198" max="8209" width="20.7109375" style="50" customWidth="1"/>
    <col min="8210" max="8210" width="16.140625" style="50" customWidth="1"/>
    <col min="8211" max="8222" width="18.140625" style="50" customWidth="1"/>
    <col min="8223" max="8223" width="22.7109375" style="50" customWidth="1"/>
    <col min="8224" max="8224" width="19" style="50" customWidth="1"/>
    <col min="8225" max="8225" width="19.42578125" style="50" customWidth="1"/>
    <col min="8226" max="8226" width="6.28515625" style="50" bestFit="1" customWidth="1"/>
    <col min="8227" max="8227" width="22.85546875" style="50" customWidth="1"/>
    <col min="8228" max="8228" width="18.42578125" style="50" bestFit="1" customWidth="1"/>
    <col min="8229" max="8229" width="8.42578125" style="50" customWidth="1"/>
    <col min="8230" max="8230" width="18.42578125" style="50" bestFit="1" customWidth="1"/>
    <col min="8231" max="8231" width="5.7109375" style="50" customWidth="1"/>
    <col min="8232" max="8232" width="18.42578125" style="50" bestFit="1" customWidth="1"/>
    <col min="8233" max="8233" width="4.7109375" style="50" customWidth="1"/>
    <col min="8234" max="8234" width="23" style="50" bestFit="1" customWidth="1"/>
    <col min="8235" max="8235" width="10.85546875" style="50"/>
    <col min="8236" max="8236" width="18.42578125" style="50" bestFit="1" customWidth="1"/>
    <col min="8237" max="8237" width="16.140625" style="50" customWidth="1"/>
    <col min="8238" max="8451" width="10.85546875" style="50"/>
    <col min="8452" max="8452" width="42" style="50" customWidth="1"/>
    <col min="8453" max="8453" width="21.7109375" style="50" customWidth="1"/>
    <col min="8454" max="8465" width="20.7109375" style="50" customWidth="1"/>
    <col min="8466" max="8466" width="16.140625" style="50" customWidth="1"/>
    <col min="8467" max="8478" width="18.140625" style="50" customWidth="1"/>
    <col min="8479" max="8479" width="22.7109375" style="50" customWidth="1"/>
    <col min="8480" max="8480" width="19" style="50" customWidth="1"/>
    <col min="8481" max="8481" width="19.42578125" style="50" customWidth="1"/>
    <col min="8482" max="8482" width="6.28515625" style="50" bestFit="1" customWidth="1"/>
    <col min="8483" max="8483" width="22.85546875" style="50" customWidth="1"/>
    <col min="8484" max="8484" width="18.42578125" style="50" bestFit="1" customWidth="1"/>
    <col min="8485" max="8485" width="8.42578125" style="50" customWidth="1"/>
    <col min="8486" max="8486" width="18.42578125" style="50" bestFit="1" customWidth="1"/>
    <col min="8487" max="8487" width="5.7109375" style="50" customWidth="1"/>
    <col min="8488" max="8488" width="18.42578125" style="50" bestFit="1" customWidth="1"/>
    <col min="8489" max="8489" width="4.7109375" style="50" customWidth="1"/>
    <col min="8490" max="8490" width="23" style="50" bestFit="1" customWidth="1"/>
    <col min="8491" max="8491" width="10.85546875" style="50"/>
    <col min="8492" max="8492" width="18.42578125" style="50" bestFit="1" customWidth="1"/>
    <col min="8493" max="8493" width="16.140625" style="50" customWidth="1"/>
    <col min="8494" max="8707" width="10.85546875" style="50"/>
    <col min="8708" max="8708" width="42" style="50" customWidth="1"/>
    <col min="8709" max="8709" width="21.7109375" style="50" customWidth="1"/>
    <col min="8710" max="8721" width="20.7109375" style="50" customWidth="1"/>
    <col min="8722" max="8722" width="16.140625" style="50" customWidth="1"/>
    <col min="8723" max="8734" width="18.140625" style="50" customWidth="1"/>
    <col min="8735" max="8735" width="22.7109375" style="50" customWidth="1"/>
    <col min="8736" max="8736" width="19" style="50" customWidth="1"/>
    <col min="8737" max="8737" width="19.42578125" style="50" customWidth="1"/>
    <col min="8738" max="8738" width="6.28515625" style="50" bestFit="1" customWidth="1"/>
    <col min="8739" max="8739" width="22.85546875" style="50" customWidth="1"/>
    <col min="8740" max="8740" width="18.42578125" style="50" bestFit="1" customWidth="1"/>
    <col min="8741" max="8741" width="8.42578125" style="50" customWidth="1"/>
    <col min="8742" max="8742" width="18.42578125" style="50" bestFit="1" customWidth="1"/>
    <col min="8743" max="8743" width="5.7109375" style="50" customWidth="1"/>
    <col min="8744" max="8744" width="18.42578125" style="50" bestFit="1" customWidth="1"/>
    <col min="8745" max="8745" width="4.7109375" style="50" customWidth="1"/>
    <col min="8746" max="8746" width="23" style="50" bestFit="1" customWidth="1"/>
    <col min="8747" max="8747" width="10.85546875" style="50"/>
    <col min="8748" max="8748" width="18.42578125" style="50" bestFit="1" customWidth="1"/>
    <col min="8749" max="8749" width="16.140625" style="50" customWidth="1"/>
    <col min="8750" max="8963" width="10.85546875" style="50"/>
    <col min="8964" max="8964" width="42" style="50" customWidth="1"/>
    <col min="8965" max="8965" width="21.7109375" style="50" customWidth="1"/>
    <col min="8966" max="8977" width="20.7109375" style="50" customWidth="1"/>
    <col min="8978" max="8978" width="16.140625" style="50" customWidth="1"/>
    <col min="8979" max="8990" width="18.140625" style="50" customWidth="1"/>
    <col min="8991" max="8991" width="22.7109375" style="50" customWidth="1"/>
    <col min="8992" max="8992" width="19" style="50" customWidth="1"/>
    <col min="8993" max="8993" width="19.42578125" style="50" customWidth="1"/>
    <col min="8994" max="8994" width="6.28515625" style="50" bestFit="1" customWidth="1"/>
    <col min="8995" max="8995" width="22.85546875" style="50" customWidth="1"/>
    <col min="8996" max="8996" width="18.42578125" style="50" bestFit="1" customWidth="1"/>
    <col min="8997" max="8997" width="8.42578125" style="50" customWidth="1"/>
    <col min="8998" max="8998" width="18.42578125" style="50" bestFit="1" customWidth="1"/>
    <col min="8999" max="8999" width="5.7109375" style="50" customWidth="1"/>
    <col min="9000" max="9000" width="18.42578125" style="50" bestFit="1" customWidth="1"/>
    <col min="9001" max="9001" width="4.7109375" style="50" customWidth="1"/>
    <col min="9002" max="9002" width="23" style="50" bestFit="1" customWidth="1"/>
    <col min="9003" max="9003" width="10.85546875" style="50"/>
    <col min="9004" max="9004" width="18.42578125" style="50" bestFit="1" customWidth="1"/>
    <col min="9005" max="9005" width="16.140625" style="50" customWidth="1"/>
    <col min="9006" max="9219" width="10.85546875" style="50"/>
    <col min="9220" max="9220" width="42" style="50" customWidth="1"/>
    <col min="9221" max="9221" width="21.7109375" style="50" customWidth="1"/>
    <col min="9222" max="9233" width="20.7109375" style="50" customWidth="1"/>
    <col min="9234" max="9234" width="16.140625" style="50" customWidth="1"/>
    <col min="9235" max="9246" width="18.140625" style="50" customWidth="1"/>
    <col min="9247" max="9247" width="22.7109375" style="50" customWidth="1"/>
    <col min="9248" max="9248" width="19" style="50" customWidth="1"/>
    <col min="9249" max="9249" width="19.42578125" style="50" customWidth="1"/>
    <col min="9250" max="9250" width="6.28515625" style="50" bestFit="1" customWidth="1"/>
    <col min="9251" max="9251" width="22.85546875" style="50" customWidth="1"/>
    <col min="9252" max="9252" width="18.42578125" style="50" bestFit="1" customWidth="1"/>
    <col min="9253" max="9253" width="8.42578125" style="50" customWidth="1"/>
    <col min="9254" max="9254" width="18.42578125" style="50" bestFit="1" customWidth="1"/>
    <col min="9255" max="9255" width="5.7109375" style="50" customWidth="1"/>
    <col min="9256" max="9256" width="18.42578125" style="50" bestFit="1" customWidth="1"/>
    <col min="9257" max="9257" width="4.7109375" style="50" customWidth="1"/>
    <col min="9258" max="9258" width="23" style="50" bestFit="1" customWidth="1"/>
    <col min="9259" max="9259" width="10.85546875" style="50"/>
    <col min="9260" max="9260" width="18.42578125" style="50" bestFit="1" customWidth="1"/>
    <col min="9261" max="9261" width="16.140625" style="50" customWidth="1"/>
    <col min="9262" max="9475" width="10.85546875" style="50"/>
    <col min="9476" max="9476" width="42" style="50" customWidth="1"/>
    <col min="9477" max="9477" width="21.7109375" style="50" customWidth="1"/>
    <col min="9478" max="9489" width="20.7109375" style="50" customWidth="1"/>
    <col min="9490" max="9490" width="16.140625" style="50" customWidth="1"/>
    <col min="9491" max="9502" width="18.140625" style="50" customWidth="1"/>
    <col min="9503" max="9503" width="22.7109375" style="50" customWidth="1"/>
    <col min="9504" max="9504" width="19" style="50" customWidth="1"/>
    <col min="9505" max="9505" width="19.42578125" style="50" customWidth="1"/>
    <col min="9506" max="9506" width="6.28515625" style="50" bestFit="1" customWidth="1"/>
    <col min="9507" max="9507" width="22.85546875" style="50" customWidth="1"/>
    <col min="9508" max="9508" width="18.42578125" style="50" bestFit="1" customWidth="1"/>
    <col min="9509" max="9509" width="8.42578125" style="50" customWidth="1"/>
    <col min="9510" max="9510" width="18.42578125" style="50" bestFit="1" customWidth="1"/>
    <col min="9511" max="9511" width="5.7109375" style="50" customWidth="1"/>
    <col min="9512" max="9512" width="18.42578125" style="50" bestFit="1" customWidth="1"/>
    <col min="9513" max="9513" width="4.7109375" style="50" customWidth="1"/>
    <col min="9514" max="9514" width="23" style="50" bestFit="1" customWidth="1"/>
    <col min="9515" max="9515" width="10.85546875" style="50"/>
    <col min="9516" max="9516" width="18.42578125" style="50" bestFit="1" customWidth="1"/>
    <col min="9517" max="9517" width="16.140625" style="50" customWidth="1"/>
    <col min="9518" max="9731" width="10.85546875" style="50"/>
    <col min="9732" max="9732" width="42" style="50" customWidth="1"/>
    <col min="9733" max="9733" width="21.7109375" style="50" customWidth="1"/>
    <col min="9734" max="9745" width="20.7109375" style="50" customWidth="1"/>
    <col min="9746" max="9746" width="16.140625" style="50" customWidth="1"/>
    <col min="9747" max="9758" width="18.140625" style="50" customWidth="1"/>
    <col min="9759" max="9759" width="22.7109375" style="50" customWidth="1"/>
    <col min="9760" max="9760" width="19" style="50" customWidth="1"/>
    <col min="9761" max="9761" width="19.42578125" style="50" customWidth="1"/>
    <col min="9762" max="9762" width="6.28515625" style="50" bestFit="1" customWidth="1"/>
    <col min="9763" max="9763" width="22.85546875" style="50" customWidth="1"/>
    <col min="9764" max="9764" width="18.42578125" style="50" bestFit="1" customWidth="1"/>
    <col min="9765" max="9765" width="8.42578125" style="50" customWidth="1"/>
    <col min="9766" max="9766" width="18.42578125" style="50" bestFit="1" customWidth="1"/>
    <col min="9767" max="9767" width="5.7109375" style="50" customWidth="1"/>
    <col min="9768" max="9768" width="18.42578125" style="50" bestFit="1" customWidth="1"/>
    <col min="9769" max="9769" width="4.7109375" style="50" customWidth="1"/>
    <col min="9770" max="9770" width="23" style="50" bestFit="1" customWidth="1"/>
    <col min="9771" max="9771" width="10.85546875" style="50"/>
    <col min="9772" max="9772" width="18.42578125" style="50" bestFit="1" customWidth="1"/>
    <col min="9773" max="9773" width="16.140625" style="50" customWidth="1"/>
    <col min="9774" max="9987" width="10.85546875" style="50"/>
    <col min="9988" max="9988" width="42" style="50" customWidth="1"/>
    <col min="9989" max="9989" width="21.7109375" style="50" customWidth="1"/>
    <col min="9990" max="10001" width="20.7109375" style="50" customWidth="1"/>
    <col min="10002" max="10002" width="16.140625" style="50" customWidth="1"/>
    <col min="10003" max="10014" width="18.140625" style="50" customWidth="1"/>
    <col min="10015" max="10015" width="22.7109375" style="50" customWidth="1"/>
    <col min="10016" max="10016" width="19" style="50" customWidth="1"/>
    <col min="10017" max="10017" width="19.42578125" style="50" customWidth="1"/>
    <col min="10018" max="10018" width="6.28515625" style="50" bestFit="1" customWidth="1"/>
    <col min="10019" max="10019" width="22.85546875" style="50" customWidth="1"/>
    <col min="10020" max="10020" width="18.42578125" style="50" bestFit="1" customWidth="1"/>
    <col min="10021" max="10021" width="8.42578125" style="50" customWidth="1"/>
    <col min="10022" max="10022" width="18.42578125" style="50" bestFit="1" customWidth="1"/>
    <col min="10023" max="10023" width="5.7109375" style="50" customWidth="1"/>
    <col min="10024" max="10024" width="18.42578125" style="50" bestFit="1" customWidth="1"/>
    <col min="10025" max="10025" width="4.7109375" style="50" customWidth="1"/>
    <col min="10026" max="10026" width="23" style="50" bestFit="1" customWidth="1"/>
    <col min="10027" max="10027" width="10.85546875" style="50"/>
    <col min="10028" max="10028" width="18.42578125" style="50" bestFit="1" customWidth="1"/>
    <col min="10029" max="10029" width="16.140625" style="50" customWidth="1"/>
    <col min="10030" max="10243" width="10.85546875" style="50"/>
    <col min="10244" max="10244" width="42" style="50" customWidth="1"/>
    <col min="10245" max="10245" width="21.7109375" style="50" customWidth="1"/>
    <col min="10246" max="10257" width="20.7109375" style="50" customWidth="1"/>
    <col min="10258" max="10258" width="16.140625" style="50" customWidth="1"/>
    <col min="10259" max="10270" width="18.140625" style="50" customWidth="1"/>
    <col min="10271" max="10271" width="22.7109375" style="50" customWidth="1"/>
    <col min="10272" max="10272" width="19" style="50" customWidth="1"/>
    <col min="10273" max="10273" width="19.42578125" style="50" customWidth="1"/>
    <col min="10274" max="10274" width="6.28515625" style="50" bestFit="1" customWidth="1"/>
    <col min="10275" max="10275" width="22.85546875" style="50" customWidth="1"/>
    <col min="10276" max="10276" width="18.42578125" style="50" bestFit="1" customWidth="1"/>
    <col min="10277" max="10277" width="8.42578125" style="50" customWidth="1"/>
    <col min="10278" max="10278" width="18.42578125" style="50" bestFit="1" customWidth="1"/>
    <col min="10279" max="10279" width="5.7109375" style="50" customWidth="1"/>
    <col min="10280" max="10280" width="18.42578125" style="50" bestFit="1" customWidth="1"/>
    <col min="10281" max="10281" width="4.7109375" style="50" customWidth="1"/>
    <col min="10282" max="10282" width="23" style="50" bestFit="1" customWidth="1"/>
    <col min="10283" max="10283" width="10.85546875" style="50"/>
    <col min="10284" max="10284" width="18.42578125" style="50" bestFit="1" customWidth="1"/>
    <col min="10285" max="10285" width="16.140625" style="50" customWidth="1"/>
    <col min="10286" max="10499" width="10.85546875" style="50"/>
    <col min="10500" max="10500" width="42" style="50" customWidth="1"/>
    <col min="10501" max="10501" width="21.7109375" style="50" customWidth="1"/>
    <col min="10502" max="10513" width="20.7109375" style="50" customWidth="1"/>
    <col min="10514" max="10514" width="16.140625" style="50" customWidth="1"/>
    <col min="10515" max="10526" width="18.140625" style="50" customWidth="1"/>
    <col min="10527" max="10527" width="22.7109375" style="50" customWidth="1"/>
    <col min="10528" max="10528" width="19" style="50" customWidth="1"/>
    <col min="10529" max="10529" width="19.42578125" style="50" customWidth="1"/>
    <col min="10530" max="10530" width="6.28515625" style="50" bestFit="1" customWidth="1"/>
    <col min="10531" max="10531" width="22.85546875" style="50" customWidth="1"/>
    <col min="10532" max="10532" width="18.42578125" style="50" bestFit="1" customWidth="1"/>
    <col min="10533" max="10533" width="8.42578125" style="50" customWidth="1"/>
    <col min="10534" max="10534" width="18.42578125" style="50" bestFit="1" customWidth="1"/>
    <col min="10535" max="10535" width="5.7109375" style="50" customWidth="1"/>
    <col min="10536" max="10536" width="18.42578125" style="50" bestFit="1" customWidth="1"/>
    <col min="10537" max="10537" width="4.7109375" style="50" customWidth="1"/>
    <col min="10538" max="10538" width="23" style="50" bestFit="1" customWidth="1"/>
    <col min="10539" max="10539" width="10.85546875" style="50"/>
    <col min="10540" max="10540" width="18.42578125" style="50" bestFit="1" customWidth="1"/>
    <col min="10541" max="10541" width="16.140625" style="50" customWidth="1"/>
    <col min="10542" max="10755" width="10.85546875" style="50"/>
    <col min="10756" max="10756" width="42" style="50" customWidth="1"/>
    <col min="10757" max="10757" width="21.7109375" style="50" customWidth="1"/>
    <col min="10758" max="10769" width="20.7109375" style="50" customWidth="1"/>
    <col min="10770" max="10770" width="16.140625" style="50" customWidth="1"/>
    <col min="10771" max="10782" width="18.140625" style="50" customWidth="1"/>
    <col min="10783" max="10783" width="22.7109375" style="50" customWidth="1"/>
    <col min="10784" max="10784" width="19" style="50" customWidth="1"/>
    <col min="10785" max="10785" width="19.42578125" style="50" customWidth="1"/>
    <col min="10786" max="10786" width="6.28515625" style="50" bestFit="1" customWidth="1"/>
    <col min="10787" max="10787" width="22.85546875" style="50" customWidth="1"/>
    <col min="10788" max="10788" width="18.42578125" style="50" bestFit="1" customWidth="1"/>
    <col min="10789" max="10789" width="8.42578125" style="50" customWidth="1"/>
    <col min="10790" max="10790" width="18.42578125" style="50" bestFit="1" customWidth="1"/>
    <col min="10791" max="10791" width="5.7109375" style="50" customWidth="1"/>
    <col min="10792" max="10792" width="18.42578125" style="50" bestFit="1" customWidth="1"/>
    <col min="10793" max="10793" width="4.7109375" style="50" customWidth="1"/>
    <col min="10794" max="10794" width="23" style="50" bestFit="1" customWidth="1"/>
    <col min="10795" max="10795" width="10.85546875" style="50"/>
    <col min="10796" max="10796" width="18.42578125" style="50" bestFit="1" customWidth="1"/>
    <col min="10797" max="10797" width="16.140625" style="50" customWidth="1"/>
    <col min="10798" max="11011" width="10.85546875" style="50"/>
    <col min="11012" max="11012" width="42" style="50" customWidth="1"/>
    <col min="11013" max="11013" width="21.7109375" style="50" customWidth="1"/>
    <col min="11014" max="11025" width="20.7109375" style="50" customWidth="1"/>
    <col min="11026" max="11026" width="16.140625" style="50" customWidth="1"/>
    <col min="11027" max="11038" width="18.140625" style="50" customWidth="1"/>
    <col min="11039" max="11039" width="22.7109375" style="50" customWidth="1"/>
    <col min="11040" max="11040" width="19" style="50" customWidth="1"/>
    <col min="11041" max="11041" width="19.42578125" style="50" customWidth="1"/>
    <col min="11042" max="11042" width="6.28515625" style="50" bestFit="1" customWidth="1"/>
    <col min="11043" max="11043" width="22.85546875" style="50" customWidth="1"/>
    <col min="11044" max="11044" width="18.42578125" style="50" bestFit="1" customWidth="1"/>
    <col min="11045" max="11045" width="8.42578125" style="50" customWidth="1"/>
    <col min="11046" max="11046" width="18.42578125" style="50" bestFit="1" customWidth="1"/>
    <col min="11047" max="11047" width="5.7109375" style="50" customWidth="1"/>
    <col min="11048" max="11048" width="18.42578125" style="50" bestFit="1" customWidth="1"/>
    <col min="11049" max="11049" width="4.7109375" style="50" customWidth="1"/>
    <col min="11050" max="11050" width="23" style="50" bestFit="1" customWidth="1"/>
    <col min="11051" max="11051" width="10.85546875" style="50"/>
    <col min="11052" max="11052" width="18.42578125" style="50" bestFit="1" customWidth="1"/>
    <col min="11053" max="11053" width="16.140625" style="50" customWidth="1"/>
    <col min="11054" max="11267" width="10.85546875" style="50"/>
    <col min="11268" max="11268" width="42" style="50" customWidth="1"/>
    <col min="11269" max="11269" width="21.7109375" style="50" customWidth="1"/>
    <col min="11270" max="11281" width="20.7109375" style="50" customWidth="1"/>
    <col min="11282" max="11282" width="16.140625" style="50" customWidth="1"/>
    <col min="11283" max="11294" width="18.140625" style="50" customWidth="1"/>
    <col min="11295" max="11295" width="22.7109375" style="50" customWidth="1"/>
    <col min="11296" max="11296" width="19" style="50" customWidth="1"/>
    <col min="11297" max="11297" width="19.42578125" style="50" customWidth="1"/>
    <col min="11298" max="11298" width="6.28515625" style="50" bestFit="1" customWidth="1"/>
    <col min="11299" max="11299" width="22.85546875" style="50" customWidth="1"/>
    <col min="11300" max="11300" width="18.42578125" style="50" bestFit="1" customWidth="1"/>
    <col min="11301" max="11301" width="8.42578125" style="50" customWidth="1"/>
    <col min="11302" max="11302" width="18.42578125" style="50" bestFit="1" customWidth="1"/>
    <col min="11303" max="11303" width="5.7109375" style="50" customWidth="1"/>
    <col min="11304" max="11304" width="18.42578125" style="50" bestFit="1" customWidth="1"/>
    <col min="11305" max="11305" width="4.7109375" style="50" customWidth="1"/>
    <col min="11306" max="11306" width="23" style="50" bestFit="1" customWidth="1"/>
    <col min="11307" max="11307" width="10.85546875" style="50"/>
    <col min="11308" max="11308" width="18.42578125" style="50" bestFit="1" customWidth="1"/>
    <col min="11309" max="11309" width="16.140625" style="50" customWidth="1"/>
    <col min="11310" max="11523" width="10.85546875" style="50"/>
    <col min="11524" max="11524" width="42" style="50" customWidth="1"/>
    <col min="11525" max="11525" width="21.7109375" style="50" customWidth="1"/>
    <col min="11526" max="11537" width="20.7109375" style="50" customWidth="1"/>
    <col min="11538" max="11538" width="16.140625" style="50" customWidth="1"/>
    <col min="11539" max="11550" width="18.140625" style="50" customWidth="1"/>
    <col min="11551" max="11551" width="22.7109375" style="50" customWidth="1"/>
    <col min="11552" max="11552" width="19" style="50" customWidth="1"/>
    <col min="11553" max="11553" width="19.42578125" style="50" customWidth="1"/>
    <col min="11554" max="11554" width="6.28515625" style="50" bestFit="1" customWidth="1"/>
    <col min="11555" max="11555" width="22.85546875" style="50" customWidth="1"/>
    <col min="11556" max="11556" width="18.42578125" style="50" bestFit="1" customWidth="1"/>
    <col min="11557" max="11557" width="8.42578125" style="50" customWidth="1"/>
    <col min="11558" max="11558" width="18.42578125" style="50" bestFit="1" customWidth="1"/>
    <col min="11559" max="11559" width="5.7109375" style="50" customWidth="1"/>
    <col min="11560" max="11560" width="18.42578125" style="50" bestFit="1" customWidth="1"/>
    <col min="11561" max="11561" width="4.7109375" style="50" customWidth="1"/>
    <col min="11562" max="11562" width="23" style="50" bestFit="1" customWidth="1"/>
    <col min="11563" max="11563" width="10.85546875" style="50"/>
    <col min="11564" max="11564" width="18.42578125" style="50" bestFit="1" customWidth="1"/>
    <col min="11565" max="11565" width="16.140625" style="50" customWidth="1"/>
    <col min="11566" max="11779" width="10.85546875" style="50"/>
    <col min="11780" max="11780" width="42" style="50" customWidth="1"/>
    <col min="11781" max="11781" width="21.7109375" style="50" customWidth="1"/>
    <col min="11782" max="11793" width="20.7109375" style="50" customWidth="1"/>
    <col min="11794" max="11794" width="16.140625" style="50" customWidth="1"/>
    <col min="11795" max="11806" width="18.140625" style="50" customWidth="1"/>
    <col min="11807" max="11807" width="22.7109375" style="50" customWidth="1"/>
    <col min="11808" max="11808" width="19" style="50" customWidth="1"/>
    <col min="11809" max="11809" width="19.42578125" style="50" customWidth="1"/>
    <col min="11810" max="11810" width="6.28515625" style="50" bestFit="1" customWidth="1"/>
    <col min="11811" max="11811" width="22.85546875" style="50" customWidth="1"/>
    <col min="11812" max="11812" width="18.42578125" style="50" bestFit="1" customWidth="1"/>
    <col min="11813" max="11813" width="8.42578125" style="50" customWidth="1"/>
    <col min="11814" max="11814" width="18.42578125" style="50" bestFit="1" customWidth="1"/>
    <col min="11815" max="11815" width="5.7109375" style="50" customWidth="1"/>
    <col min="11816" max="11816" width="18.42578125" style="50" bestFit="1" customWidth="1"/>
    <col min="11817" max="11817" width="4.7109375" style="50" customWidth="1"/>
    <col min="11818" max="11818" width="23" style="50" bestFit="1" customWidth="1"/>
    <col min="11819" max="11819" width="10.85546875" style="50"/>
    <col min="11820" max="11820" width="18.42578125" style="50" bestFit="1" customWidth="1"/>
    <col min="11821" max="11821" width="16.140625" style="50" customWidth="1"/>
    <col min="11822" max="12035" width="10.85546875" style="50"/>
    <col min="12036" max="12036" width="42" style="50" customWidth="1"/>
    <col min="12037" max="12037" width="21.7109375" style="50" customWidth="1"/>
    <col min="12038" max="12049" width="20.7109375" style="50" customWidth="1"/>
    <col min="12050" max="12050" width="16.140625" style="50" customWidth="1"/>
    <col min="12051" max="12062" width="18.140625" style="50" customWidth="1"/>
    <col min="12063" max="12063" width="22.7109375" style="50" customWidth="1"/>
    <col min="12064" max="12064" width="19" style="50" customWidth="1"/>
    <col min="12065" max="12065" width="19.42578125" style="50" customWidth="1"/>
    <col min="12066" max="12066" width="6.28515625" style="50" bestFit="1" customWidth="1"/>
    <col min="12067" max="12067" width="22.85546875" style="50" customWidth="1"/>
    <col min="12068" max="12068" width="18.42578125" style="50" bestFit="1" customWidth="1"/>
    <col min="12069" max="12069" width="8.42578125" style="50" customWidth="1"/>
    <col min="12070" max="12070" width="18.42578125" style="50" bestFit="1" customWidth="1"/>
    <col min="12071" max="12071" width="5.7109375" style="50" customWidth="1"/>
    <col min="12072" max="12072" width="18.42578125" style="50" bestFit="1" customWidth="1"/>
    <col min="12073" max="12073" width="4.7109375" style="50" customWidth="1"/>
    <col min="12074" max="12074" width="23" style="50" bestFit="1" customWidth="1"/>
    <col min="12075" max="12075" width="10.85546875" style="50"/>
    <col min="12076" max="12076" width="18.42578125" style="50" bestFit="1" customWidth="1"/>
    <col min="12077" max="12077" width="16.140625" style="50" customWidth="1"/>
    <col min="12078" max="12291" width="10.85546875" style="50"/>
    <col min="12292" max="12292" width="42" style="50" customWidth="1"/>
    <col min="12293" max="12293" width="21.7109375" style="50" customWidth="1"/>
    <col min="12294" max="12305" width="20.7109375" style="50" customWidth="1"/>
    <col min="12306" max="12306" width="16.140625" style="50" customWidth="1"/>
    <col min="12307" max="12318" width="18.140625" style="50" customWidth="1"/>
    <col min="12319" max="12319" width="22.7109375" style="50" customWidth="1"/>
    <col min="12320" max="12320" width="19" style="50" customWidth="1"/>
    <col min="12321" max="12321" width="19.42578125" style="50" customWidth="1"/>
    <col min="12322" max="12322" width="6.28515625" style="50" bestFit="1" customWidth="1"/>
    <col min="12323" max="12323" width="22.85546875" style="50" customWidth="1"/>
    <col min="12324" max="12324" width="18.42578125" style="50" bestFit="1" customWidth="1"/>
    <col min="12325" max="12325" width="8.42578125" style="50" customWidth="1"/>
    <col min="12326" max="12326" width="18.42578125" style="50" bestFit="1" customWidth="1"/>
    <col min="12327" max="12327" width="5.7109375" style="50" customWidth="1"/>
    <col min="12328" max="12328" width="18.42578125" style="50" bestFit="1" customWidth="1"/>
    <col min="12329" max="12329" width="4.7109375" style="50" customWidth="1"/>
    <col min="12330" max="12330" width="23" style="50" bestFit="1" customWidth="1"/>
    <col min="12331" max="12331" width="10.85546875" style="50"/>
    <col min="12332" max="12332" width="18.42578125" style="50" bestFit="1" customWidth="1"/>
    <col min="12333" max="12333" width="16.140625" style="50" customWidth="1"/>
    <col min="12334" max="12547" width="10.85546875" style="50"/>
    <col min="12548" max="12548" width="42" style="50" customWidth="1"/>
    <col min="12549" max="12549" width="21.7109375" style="50" customWidth="1"/>
    <col min="12550" max="12561" width="20.7109375" style="50" customWidth="1"/>
    <col min="12562" max="12562" width="16.140625" style="50" customWidth="1"/>
    <col min="12563" max="12574" width="18.140625" style="50" customWidth="1"/>
    <col min="12575" max="12575" width="22.7109375" style="50" customWidth="1"/>
    <col min="12576" max="12576" width="19" style="50" customWidth="1"/>
    <col min="12577" max="12577" width="19.42578125" style="50" customWidth="1"/>
    <col min="12578" max="12578" width="6.28515625" style="50" bestFit="1" customWidth="1"/>
    <col min="12579" max="12579" width="22.85546875" style="50" customWidth="1"/>
    <col min="12580" max="12580" width="18.42578125" style="50" bestFit="1" customWidth="1"/>
    <col min="12581" max="12581" width="8.42578125" style="50" customWidth="1"/>
    <col min="12582" max="12582" width="18.42578125" style="50" bestFit="1" customWidth="1"/>
    <col min="12583" max="12583" width="5.7109375" style="50" customWidth="1"/>
    <col min="12584" max="12584" width="18.42578125" style="50" bestFit="1" customWidth="1"/>
    <col min="12585" max="12585" width="4.7109375" style="50" customWidth="1"/>
    <col min="12586" max="12586" width="23" style="50" bestFit="1" customWidth="1"/>
    <col min="12587" max="12587" width="10.85546875" style="50"/>
    <col min="12588" max="12588" width="18.42578125" style="50" bestFit="1" customWidth="1"/>
    <col min="12589" max="12589" width="16.140625" style="50" customWidth="1"/>
    <col min="12590" max="12803" width="10.85546875" style="50"/>
    <col min="12804" max="12804" width="42" style="50" customWidth="1"/>
    <col min="12805" max="12805" width="21.7109375" style="50" customWidth="1"/>
    <col min="12806" max="12817" width="20.7109375" style="50" customWidth="1"/>
    <col min="12818" max="12818" width="16.140625" style="50" customWidth="1"/>
    <col min="12819" max="12830" width="18.140625" style="50" customWidth="1"/>
    <col min="12831" max="12831" width="22.7109375" style="50" customWidth="1"/>
    <col min="12832" max="12832" width="19" style="50" customWidth="1"/>
    <col min="12833" max="12833" width="19.42578125" style="50" customWidth="1"/>
    <col min="12834" max="12834" width="6.28515625" style="50" bestFit="1" customWidth="1"/>
    <col min="12835" max="12835" width="22.85546875" style="50" customWidth="1"/>
    <col min="12836" max="12836" width="18.42578125" style="50" bestFit="1" customWidth="1"/>
    <col min="12837" max="12837" width="8.42578125" style="50" customWidth="1"/>
    <col min="12838" max="12838" width="18.42578125" style="50" bestFit="1" customWidth="1"/>
    <col min="12839" max="12839" width="5.7109375" style="50" customWidth="1"/>
    <col min="12840" max="12840" width="18.42578125" style="50" bestFit="1" customWidth="1"/>
    <col min="12841" max="12841" width="4.7109375" style="50" customWidth="1"/>
    <col min="12842" max="12842" width="23" style="50" bestFit="1" customWidth="1"/>
    <col min="12843" max="12843" width="10.85546875" style="50"/>
    <col min="12844" max="12844" width="18.42578125" style="50" bestFit="1" customWidth="1"/>
    <col min="12845" max="12845" width="16.140625" style="50" customWidth="1"/>
    <col min="12846" max="13059" width="10.85546875" style="50"/>
    <col min="13060" max="13060" width="42" style="50" customWidth="1"/>
    <col min="13061" max="13061" width="21.7109375" style="50" customWidth="1"/>
    <col min="13062" max="13073" width="20.7109375" style="50" customWidth="1"/>
    <col min="13074" max="13074" width="16.140625" style="50" customWidth="1"/>
    <col min="13075" max="13086" width="18.140625" style="50" customWidth="1"/>
    <col min="13087" max="13087" width="22.7109375" style="50" customWidth="1"/>
    <col min="13088" max="13088" width="19" style="50" customWidth="1"/>
    <col min="13089" max="13089" width="19.42578125" style="50" customWidth="1"/>
    <col min="13090" max="13090" width="6.28515625" style="50" bestFit="1" customWidth="1"/>
    <col min="13091" max="13091" width="22.85546875" style="50" customWidth="1"/>
    <col min="13092" max="13092" width="18.42578125" style="50" bestFit="1" customWidth="1"/>
    <col min="13093" max="13093" width="8.42578125" style="50" customWidth="1"/>
    <col min="13094" max="13094" width="18.42578125" style="50" bestFit="1" customWidth="1"/>
    <col min="13095" max="13095" width="5.7109375" style="50" customWidth="1"/>
    <col min="13096" max="13096" width="18.42578125" style="50" bestFit="1" customWidth="1"/>
    <col min="13097" max="13097" width="4.7109375" style="50" customWidth="1"/>
    <col min="13098" max="13098" width="23" style="50" bestFit="1" customWidth="1"/>
    <col min="13099" max="13099" width="10.85546875" style="50"/>
    <col min="13100" max="13100" width="18.42578125" style="50" bestFit="1" customWidth="1"/>
    <col min="13101" max="13101" width="16.140625" style="50" customWidth="1"/>
    <col min="13102" max="13315" width="10.85546875" style="50"/>
    <col min="13316" max="13316" width="42" style="50" customWidth="1"/>
    <col min="13317" max="13317" width="21.7109375" style="50" customWidth="1"/>
    <col min="13318" max="13329" width="20.7109375" style="50" customWidth="1"/>
    <col min="13330" max="13330" width="16.140625" style="50" customWidth="1"/>
    <col min="13331" max="13342" width="18.140625" style="50" customWidth="1"/>
    <col min="13343" max="13343" width="22.7109375" style="50" customWidth="1"/>
    <col min="13344" max="13344" width="19" style="50" customWidth="1"/>
    <col min="13345" max="13345" width="19.42578125" style="50" customWidth="1"/>
    <col min="13346" max="13346" width="6.28515625" style="50" bestFit="1" customWidth="1"/>
    <col min="13347" max="13347" width="22.85546875" style="50" customWidth="1"/>
    <col min="13348" max="13348" width="18.42578125" style="50" bestFit="1" customWidth="1"/>
    <col min="13349" max="13349" width="8.42578125" style="50" customWidth="1"/>
    <col min="13350" max="13350" width="18.42578125" style="50" bestFit="1" customWidth="1"/>
    <col min="13351" max="13351" width="5.7109375" style="50" customWidth="1"/>
    <col min="13352" max="13352" width="18.42578125" style="50" bestFit="1" customWidth="1"/>
    <col min="13353" max="13353" width="4.7109375" style="50" customWidth="1"/>
    <col min="13354" max="13354" width="23" style="50" bestFit="1" customWidth="1"/>
    <col min="13355" max="13355" width="10.85546875" style="50"/>
    <col min="13356" max="13356" width="18.42578125" style="50" bestFit="1" customWidth="1"/>
    <col min="13357" max="13357" width="16.140625" style="50" customWidth="1"/>
    <col min="13358" max="13571" width="10.85546875" style="50"/>
    <col min="13572" max="13572" width="42" style="50" customWidth="1"/>
    <col min="13573" max="13573" width="21.7109375" style="50" customWidth="1"/>
    <col min="13574" max="13585" width="20.7109375" style="50" customWidth="1"/>
    <col min="13586" max="13586" width="16.140625" style="50" customWidth="1"/>
    <col min="13587" max="13598" width="18.140625" style="50" customWidth="1"/>
    <col min="13599" max="13599" width="22.7109375" style="50" customWidth="1"/>
    <col min="13600" max="13600" width="19" style="50" customWidth="1"/>
    <col min="13601" max="13601" width="19.42578125" style="50" customWidth="1"/>
    <col min="13602" max="13602" width="6.28515625" style="50" bestFit="1" customWidth="1"/>
    <col min="13603" max="13603" width="22.85546875" style="50" customWidth="1"/>
    <col min="13604" max="13604" width="18.42578125" style="50" bestFit="1" customWidth="1"/>
    <col min="13605" max="13605" width="8.42578125" style="50" customWidth="1"/>
    <col min="13606" max="13606" width="18.42578125" style="50" bestFit="1" customWidth="1"/>
    <col min="13607" max="13607" width="5.7109375" style="50" customWidth="1"/>
    <col min="13608" max="13608" width="18.42578125" style="50" bestFit="1" customWidth="1"/>
    <col min="13609" max="13609" width="4.7109375" style="50" customWidth="1"/>
    <col min="13610" max="13610" width="23" style="50" bestFit="1" customWidth="1"/>
    <col min="13611" max="13611" width="10.85546875" style="50"/>
    <col min="13612" max="13612" width="18.42578125" style="50" bestFit="1" customWidth="1"/>
    <col min="13613" max="13613" width="16.140625" style="50" customWidth="1"/>
    <col min="13614" max="13827" width="10.85546875" style="50"/>
    <col min="13828" max="13828" width="42" style="50" customWidth="1"/>
    <col min="13829" max="13829" width="21.7109375" style="50" customWidth="1"/>
    <col min="13830" max="13841" width="20.7109375" style="50" customWidth="1"/>
    <col min="13842" max="13842" width="16.140625" style="50" customWidth="1"/>
    <col min="13843" max="13854" width="18.140625" style="50" customWidth="1"/>
    <col min="13855" max="13855" width="22.7109375" style="50" customWidth="1"/>
    <col min="13856" max="13856" width="19" style="50" customWidth="1"/>
    <col min="13857" max="13857" width="19.42578125" style="50" customWidth="1"/>
    <col min="13858" max="13858" width="6.28515625" style="50" bestFit="1" customWidth="1"/>
    <col min="13859" max="13859" width="22.85546875" style="50" customWidth="1"/>
    <col min="13860" max="13860" width="18.42578125" style="50" bestFit="1" customWidth="1"/>
    <col min="13861" max="13861" width="8.42578125" style="50" customWidth="1"/>
    <col min="13862" max="13862" width="18.42578125" style="50" bestFit="1" customWidth="1"/>
    <col min="13863" max="13863" width="5.7109375" style="50" customWidth="1"/>
    <col min="13864" max="13864" width="18.42578125" style="50" bestFit="1" customWidth="1"/>
    <col min="13865" max="13865" width="4.7109375" style="50" customWidth="1"/>
    <col min="13866" max="13866" width="23" style="50" bestFit="1" customWidth="1"/>
    <col min="13867" max="13867" width="10.85546875" style="50"/>
    <col min="13868" max="13868" width="18.42578125" style="50" bestFit="1" customWidth="1"/>
    <col min="13869" max="13869" width="16.140625" style="50" customWidth="1"/>
    <col min="13870" max="14083" width="10.85546875" style="50"/>
    <col min="14084" max="14084" width="42" style="50" customWidth="1"/>
    <col min="14085" max="14085" width="21.7109375" style="50" customWidth="1"/>
    <col min="14086" max="14097" width="20.7109375" style="50" customWidth="1"/>
    <col min="14098" max="14098" width="16.140625" style="50" customWidth="1"/>
    <col min="14099" max="14110" width="18.140625" style="50" customWidth="1"/>
    <col min="14111" max="14111" width="22.7109375" style="50" customWidth="1"/>
    <col min="14112" max="14112" width="19" style="50" customWidth="1"/>
    <col min="14113" max="14113" width="19.42578125" style="50" customWidth="1"/>
    <col min="14114" max="14114" width="6.28515625" style="50" bestFit="1" customWidth="1"/>
    <col min="14115" max="14115" width="22.85546875" style="50" customWidth="1"/>
    <col min="14116" max="14116" width="18.42578125" style="50" bestFit="1" customWidth="1"/>
    <col min="14117" max="14117" width="8.42578125" style="50" customWidth="1"/>
    <col min="14118" max="14118" width="18.42578125" style="50" bestFit="1" customWidth="1"/>
    <col min="14119" max="14119" width="5.7109375" style="50" customWidth="1"/>
    <col min="14120" max="14120" width="18.42578125" style="50" bestFit="1" customWidth="1"/>
    <col min="14121" max="14121" width="4.7109375" style="50" customWidth="1"/>
    <col min="14122" max="14122" width="23" style="50" bestFit="1" customWidth="1"/>
    <col min="14123" max="14123" width="10.85546875" style="50"/>
    <col min="14124" max="14124" width="18.42578125" style="50" bestFit="1" customWidth="1"/>
    <col min="14125" max="14125" width="16.140625" style="50" customWidth="1"/>
    <col min="14126" max="14339" width="10.85546875" style="50"/>
    <col min="14340" max="14340" width="42" style="50" customWidth="1"/>
    <col min="14341" max="14341" width="21.7109375" style="50" customWidth="1"/>
    <col min="14342" max="14353" width="20.7109375" style="50" customWidth="1"/>
    <col min="14354" max="14354" width="16.140625" style="50" customWidth="1"/>
    <col min="14355" max="14366" width="18.140625" style="50" customWidth="1"/>
    <col min="14367" max="14367" width="22.7109375" style="50" customWidth="1"/>
    <col min="14368" max="14368" width="19" style="50" customWidth="1"/>
    <col min="14369" max="14369" width="19.42578125" style="50" customWidth="1"/>
    <col min="14370" max="14370" width="6.28515625" style="50" bestFit="1" customWidth="1"/>
    <col min="14371" max="14371" width="22.85546875" style="50" customWidth="1"/>
    <col min="14372" max="14372" width="18.42578125" style="50" bestFit="1" customWidth="1"/>
    <col min="14373" max="14373" width="8.42578125" style="50" customWidth="1"/>
    <col min="14374" max="14374" width="18.42578125" style="50" bestFit="1" customWidth="1"/>
    <col min="14375" max="14375" width="5.7109375" style="50" customWidth="1"/>
    <col min="14376" max="14376" width="18.42578125" style="50" bestFit="1" customWidth="1"/>
    <col min="14377" max="14377" width="4.7109375" style="50" customWidth="1"/>
    <col min="14378" max="14378" width="23" style="50" bestFit="1" customWidth="1"/>
    <col min="14379" max="14379" width="10.85546875" style="50"/>
    <col min="14380" max="14380" width="18.42578125" style="50" bestFit="1" customWidth="1"/>
    <col min="14381" max="14381" width="16.140625" style="50" customWidth="1"/>
    <col min="14382" max="14595" width="10.85546875" style="50"/>
    <col min="14596" max="14596" width="42" style="50" customWidth="1"/>
    <col min="14597" max="14597" width="21.7109375" style="50" customWidth="1"/>
    <col min="14598" max="14609" width="20.7109375" style="50" customWidth="1"/>
    <col min="14610" max="14610" width="16.140625" style="50" customWidth="1"/>
    <col min="14611" max="14622" width="18.140625" style="50" customWidth="1"/>
    <col min="14623" max="14623" width="22.7109375" style="50" customWidth="1"/>
    <col min="14624" max="14624" width="19" style="50" customWidth="1"/>
    <col min="14625" max="14625" width="19.42578125" style="50" customWidth="1"/>
    <col min="14626" max="14626" width="6.28515625" style="50" bestFit="1" customWidth="1"/>
    <col min="14627" max="14627" width="22.85546875" style="50" customWidth="1"/>
    <col min="14628" max="14628" width="18.42578125" style="50" bestFit="1" customWidth="1"/>
    <col min="14629" max="14629" width="8.42578125" style="50" customWidth="1"/>
    <col min="14630" max="14630" width="18.42578125" style="50" bestFit="1" customWidth="1"/>
    <col min="14631" max="14631" width="5.7109375" style="50" customWidth="1"/>
    <col min="14632" max="14632" width="18.42578125" style="50" bestFit="1" customWidth="1"/>
    <col min="14633" max="14633" width="4.7109375" style="50" customWidth="1"/>
    <col min="14634" max="14634" width="23" style="50" bestFit="1" customWidth="1"/>
    <col min="14635" max="14635" width="10.85546875" style="50"/>
    <col min="14636" max="14636" width="18.42578125" style="50" bestFit="1" customWidth="1"/>
    <col min="14637" max="14637" width="16.140625" style="50" customWidth="1"/>
    <col min="14638" max="14851" width="10.85546875" style="50"/>
    <col min="14852" max="14852" width="42" style="50" customWidth="1"/>
    <col min="14853" max="14853" width="21.7109375" style="50" customWidth="1"/>
    <col min="14854" max="14865" width="20.7109375" style="50" customWidth="1"/>
    <col min="14866" max="14866" width="16.140625" style="50" customWidth="1"/>
    <col min="14867" max="14878" width="18.140625" style="50" customWidth="1"/>
    <col min="14879" max="14879" width="22.7109375" style="50" customWidth="1"/>
    <col min="14880" max="14880" width="19" style="50" customWidth="1"/>
    <col min="14881" max="14881" width="19.42578125" style="50" customWidth="1"/>
    <col min="14882" max="14882" width="6.28515625" style="50" bestFit="1" customWidth="1"/>
    <col min="14883" max="14883" width="22.85546875" style="50" customWidth="1"/>
    <col min="14884" max="14884" width="18.42578125" style="50" bestFit="1" customWidth="1"/>
    <col min="14885" max="14885" width="8.42578125" style="50" customWidth="1"/>
    <col min="14886" max="14886" width="18.42578125" style="50" bestFit="1" customWidth="1"/>
    <col min="14887" max="14887" width="5.7109375" style="50" customWidth="1"/>
    <col min="14888" max="14888" width="18.42578125" style="50" bestFit="1" customWidth="1"/>
    <col min="14889" max="14889" width="4.7109375" style="50" customWidth="1"/>
    <col min="14890" max="14890" width="23" style="50" bestFit="1" customWidth="1"/>
    <col min="14891" max="14891" width="10.85546875" style="50"/>
    <col min="14892" max="14892" width="18.42578125" style="50" bestFit="1" customWidth="1"/>
    <col min="14893" max="14893" width="16.140625" style="50" customWidth="1"/>
    <col min="14894" max="15107" width="10.85546875" style="50"/>
    <col min="15108" max="15108" width="42" style="50" customWidth="1"/>
    <col min="15109" max="15109" width="21.7109375" style="50" customWidth="1"/>
    <col min="15110" max="15121" width="20.7109375" style="50" customWidth="1"/>
    <col min="15122" max="15122" width="16.140625" style="50" customWidth="1"/>
    <col min="15123" max="15134" width="18.140625" style="50" customWidth="1"/>
    <col min="15135" max="15135" width="22.7109375" style="50" customWidth="1"/>
    <col min="15136" max="15136" width="19" style="50" customWidth="1"/>
    <col min="15137" max="15137" width="19.42578125" style="50" customWidth="1"/>
    <col min="15138" max="15138" width="6.28515625" style="50" bestFit="1" customWidth="1"/>
    <col min="15139" max="15139" width="22.85546875" style="50" customWidth="1"/>
    <col min="15140" max="15140" width="18.42578125" style="50" bestFit="1" customWidth="1"/>
    <col min="15141" max="15141" width="8.42578125" style="50" customWidth="1"/>
    <col min="15142" max="15142" width="18.42578125" style="50" bestFit="1" customWidth="1"/>
    <col min="15143" max="15143" width="5.7109375" style="50" customWidth="1"/>
    <col min="15144" max="15144" width="18.42578125" style="50" bestFit="1" customWidth="1"/>
    <col min="15145" max="15145" width="4.7109375" style="50" customWidth="1"/>
    <col min="15146" max="15146" width="23" style="50" bestFit="1" customWidth="1"/>
    <col min="15147" max="15147" width="10.85546875" style="50"/>
    <col min="15148" max="15148" width="18.42578125" style="50" bestFit="1" customWidth="1"/>
    <col min="15149" max="15149" width="16.140625" style="50" customWidth="1"/>
    <col min="15150" max="15363" width="10.85546875" style="50"/>
    <col min="15364" max="15364" width="42" style="50" customWidth="1"/>
    <col min="15365" max="15365" width="21.7109375" style="50" customWidth="1"/>
    <col min="15366" max="15377" width="20.7109375" style="50" customWidth="1"/>
    <col min="15378" max="15378" width="16.140625" style="50" customWidth="1"/>
    <col min="15379" max="15390" width="18.140625" style="50" customWidth="1"/>
    <col min="15391" max="15391" width="22.7109375" style="50" customWidth="1"/>
    <col min="15392" max="15392" width="19" style="50" customWidth="1"/>
    <col min="15393" max="15393" width="19.42578125" style="50" customWidth="1"/>
    <col min="15394" max="15394" width="6.28515625" style="50" bestFit="1" customWidth="1"/>
    <col min="15395" max="15395" width="22.85546875" style="50" customWidth="1"/>
    <col min="15396" max="15396" width="18.42578125" style="50" bestFit="1" customWidth="1"/>
    <col min="15397" max="15397" width="8.42578125" style="50" customWidth="1"/>
    <col min="15398" max="15398" width="18.42578125" style="50" bestFit="1" customWidth="1"/>
    <col min="15399" max="15399" width="5.7109375" style="50" customWidth="1"/>
    <col min="15400" max="15400" width="18.42578125" style="50" bestFit="1" customWidth="1"/>
    <col min="15401" max="15401" width="4.7109375" style="50" customWidth="1"/>
    <col min="15402" max="15402" width="23" style="50" bestFit="1" customWidth="1"/>
    <col min="15403" max="15403" width="10.85546875" style="50"/>
    <col min="15404" max="15404" width="18.42578125" style="50" bestFit="1" customWidth="1"/>
    <col min="15405" max="15405" width="16.140625" style="50" customWidth="1"/>
    <col min="15406" max="15619" width="10.85546875" style="50"/>
    <col min="15620" max="15620" width="42" style="50" customWidth="1"/>
    <col min="15621" max="15621" width="21.7109375" style="50" customWidth="1"/>
    <col min="15622" max="15633" width="20.7109375" style="50" customWidth="1"/>
    <col min="15634" max="15634" width="16.140625" style="50" customWidth="1"/>
    <col min="15635" max="15646" width="18.140625" style="50" customWidth="1"/>
    <col min="15647" max="15647" width="22.7109375" style="50" customWidth="1"/>
    <col min="15648" max="15648" width="19" style="50" customWidth="1"/>
    <col min="15649" max="15649" width="19.42578125" style="50" customWidth="1"/>
    <col min="15650" max="15650" width="6.28515625" style="50" bestFit="1" customWidth="1"/>
    <col min="15651" max="15651" width="22.85546875" style="50" customWidth="1"/>
    <col min="15652" max="15652" width="18.42578125" style="50" bestFit="1" customWidth="1"/>
    <col min="15653" max="15653" width="8.42578125" style="50" customWidth="1"/>
    <col min="15654" max="15654" width="18.42578125" style="50" bestFit="1" customWidth="1"/>
    <col min="15655" max="15655" width="5.7109375" style="50" customWidth="1"/>
    <col min="15656" max="15656" width="18.42578125" style="50" bestFit="1" customWidth="1"/>
    <col min="15657" max="15657" width="4.7109375" style="50" customWidth="1"/>
    <col min="15658" max="15658" width="23" style="50" bestFit="1" customWidth="1"/>
    <col min="15659" max="15659" width="10.85546875" style="50"/>
    <col min="15660" max="15660" width="18.42578125" style="50" bestFit="1" customWidth="1"/>
    <col min="15661" max="15661" width="16.140625" style="50" customWidth="1"/>
    <col min="15662" max="15875" width="10.85546875" style="50"/>
    <col min="15876" max="15876" width="42" style="50" customWidth="1"/>
    <col min="15877" max="15877" width="21.7109375" style="50" customWidth="1"/>
    <col min="15878" max="15889" width="20.7109375" style="50" customWidth="1"/>
    <col min="15890" max="15890" width="16.140625" style="50" customWidth="1"/>
    <col min="15891" max="15902" width="18.140625" style="50" customWidth="1"/>
    <col min="15903" max="15903" width="22.7109375" style="50" customWidth="1"/>
    <col min="15904" max="15904" width="19" style="50" customWidth="1"/>
    <col min="15905" max="15905" width="19.42578125" style="50" customWidth="1"/>
    <col min="15906" max="15906" width="6.28515625" style="50" bestFit="1" customWidth="1"/>
    <col min="15907" max="15907" width="22.85546875" style="50" customWidth="1"/>
    <col min="15908" max="15908" width="18.42578125" style="50" bestFit="1" customWidth="1"/>
    <col min="15909" max="15909" width="8.42578125" style="50" customWidth="1"/>
    <col min="15910" max="15910" width="18.42578125" style="50" bestFit="1" customWidth="1"/>
    <col min="15911" max="15911" width="5.7109375" style="50" customWidth="1"/>
    <col min="15912" max="15912" width="18.42578125" style="50" bestFit="1" customWidth="1"/>
    <col min="15913" max="15913" width="4.7109375" style="50" customWidth="1"/>
    <col min="15914" max="15914" width="23" style="50" bestFit="1" customWidth="1"/>
    <col min="15915" max="15915" width="10.85546875" style="50"/>
    <col min="15916" max="15916" width="18.42578125" style="50" bestFit="1" customWidth="1"/>
    <col min="15917" max="15917" width="16.140625" style="50" customWidth="1"/>
    <col min="15918" max="16131" width="10.85546875" style="50"/>
    <col min="16132" max="16132" width="42" style="50" customWidth="1"/>
    <col min="16133" max="16133" width="21.7109375" style="50" customWidth="1"/>
    <col min="16134" max="16145" width="20.7109375" style="50" customWidth="1"/>
    <col min="16146" max="16146" width="16.140625" style="50" customWidth="1"/>
    <col min="16147" max="16158" width="18.140625" style="50" customWidth="1"/>
    <col min="16159" max="16159" width="22.7109375" style="50" customWidth="1"/>
    <col min="16160" max="16160" width="19" style="50" customWidth="1"/>
    <col min="16161" max="16161" width="19.42578125" style="50" customWidth="1"/>
    <col min="16162" max="16162" width="6.28515625" style="50" bestFit="1" customWidth="1"/>
    <col min="16163" max="16163" width="22.85546875" style="50" customWidth="1"/>
    <col min="16164" max="16164" width="18.42578125" style="50" bestFit="1" customWidth="1"/>
    <col min="16165" max="16165" width="8.42578125" style="50" customWidth="1"/>
    <col min="16166" max="16166" width="18.42578125" style="50" bestFit="1" customWidth="1"/>
    <col min="16167" max="16167" width="5.7109375" style="50" customWidth="1"/>
    <col min="16168" max="16168" width="18.42578125" style="50" bestFit="1" customWidth="1"/>
    <col min="16169" max="16169" width="4.7109375" style="50" customWidth="1"/>
    <col min="16170" max="16170" width="23" style="50" bestFit="1" customWidth="1"/>
    <col min="16171" max="16171" width="10.85546875" style="50"/>
    <col min="16172" max="16172" width="18.42578125" style="50" bestFit="1" customWidth="1"/>
    <col min="16173" max="16173" width="16.140625" style="50" customWidth="1"/>
    <col min="16174" max="16384" width="10.85546875" style="50"/>
  </cols>
  <sheetData>
    <row r="1" spans="1:44" ht="32.25" customHeight="1">
      <c r="A1" s="781"/>
      <c r="B1" s="784" t="s">
        <v>0</v>
      </c>
      <c r="C1" s="785"/>
      <c r="D1" s="785"/>
      <c r="E1" s="785"/>
      <c r="F1" s="785"/>
      <c r="G1" s="785"/>
      <c r="H1" s="785"/>
      <c r="I1" s="785"/>
      <c r="J1" s="785"/>
      <c r="K1" s="785"/>
      <c r="L1" s="785"/>
      <c r="M1" s="785"/>
      <c r="N1" s="785"/>
      <c r="O1" s="785"/>
      <c r="P1" s="785"/>
      <c r="Q1" s="785"/>
      <c r="R1" s="785"/>
      <c r="S1" s="785"/>
      <c r="T1" s="785"/>
      <c r="U1" s="785"/>
      <c r="V1" s="785"/>
      <c r="W1" s="785"/>
      <c r="X1" s="785"/>
      <c r="Y1" s="785"/>
      <c r="Z1" s="785"/>
      <c r="AA1" s="786"/>
      <c r="AB1" s="787" t="s">
        <v>1</v>
      </c>
      <c r="AC1" s="788"/>
      <c r="AD1" s="789"/>
      <c r="AH1" s="512"/>
      <c r="AI1" s="50"/>
      <c r="AM1" s="531"/>
      <c r="AR1" s="512"/>
    </row>
    <row r="2" spans="1:44" ht="30.75" customHeight="1">
      <c r="A2" s="782"/>
      <c r="B2" s="790" t="s">
        <v>2</v>
      </c>
      <c r="C2" s="791"/>
      <c r="D2" s="791"/>
      <c r="E2" s="791"/>
      <c r="F2" s="791"/>
      <c r="G2" s="791"/>
      <c r="H2" s="791"/>
      <c r="I2" s="791"/>
      <c r="J2" s="791"/>
      <c r="K2" s="791"/>
      <c r="L2" s="791"/>
      <c r="M2" s="791"/>
      <c r="N2" s="791"/>
      <c r="O2" s="791"/>
      <c r="P2" s="791"/>
      <c r="Q2" s="791"/>
      <c r="R2" s="791"/>
      <c r="S2" s="791"/>
      <c r="T2" s="791"/>
      <c r="U2" s="791"/>
      <c r="V2" s="791"/>
      <c r="W2" s="791"/>
      <c r="X2" s="791"/>
      <c r="Y2" s="791"/>
      <c r="Z2" s="791"/>
      <c r="AA2" s="792"/>
      <c r="AB2" s="793" t="s">
        <v>3</v>
      </c>
      <c r="AC2" s="794"/>
      <c r="AD2" s="795"/>
    </row>
    <row r="3" spans="1:44" ht="24" customHeight="1">
      <c r="A3" s="782"/>
      <c r="B3" s="796" t="s">
        <v>4</v>
      </c>
      <c r="C3" s="797"/>
      <c r="D3" s="797"/>
      <c r="E3" s="797"/>
      <c r="F3" s="797"/>
      <c r="G3" s="797"/>
      <c r="H3" s="797"/>
      <c r="I3" s="797"/>
      <c r="J3" s="797"/>
      <c r="K3" s="797"/>
      <c r="L3" s="797"/>
      <c r="M3" s="797"/>
      <c r="N3" s="797"/>
      <c r="O3" s="797"/>
      <c r="P3" s="797"/>
      <c r="Q3" s="797"/>
      <c r="R3" s="797"/>
      <c r="S3" s="797"/>
      <c r="T3" s="797"/>
      <c r="U3" s="797"/>
      <c r="V3" s="797"/>
      <c r="W3" s="797"/>
      <c r="X3" s="797"/>
      <c r="Y3" s="797"/>
      <c r="Z3" s="797"/>
      <c r="AA3" s="798"/>
      <c r="AB3" s="793" t="s">
        <v>5</v>
      </c>
      <c r="AC3" s="794"/>
      <c r="AD3" s="795"/>
    </row>
    <row r="4" spans="1:44" ht="21.95" customHeight="1" thickBot="1">
      <c r="A4" s="783"/>
      <c r="B4" s="799"/>
      <c r="C4" s="800"/>
      <c r="D4" s="800"/>
      <c r="E4" s="800"/>
      <c r="F4" s="800"/>
      <c r="G4" s="800"/>
      <c r="H4" s="800"/>
      <c r="I4" s="800"/>
      <c r="J4" s="800"/>
      <c r="K4" s="800"/>
      <c r="L4" s="800"/>
      <c r="M4" s="800"/>
      <c r="N4" s="800"/>
      <c r="O4" s="800"/>
      <c r="P4" s="800"/>
      <c r="Q4" s="800"/>
      <c r="R4" s="800"/>
      <c r="S4" s="800"/>
      <c r="T4" s="800"/>
      <c r="U4" s="800"/>
      <c r="V4" s="800"/>
      <c r="W4" s="800"/>
      <c r="X4" s="800"/>
      <c r="Y4" s="800"/>
      <c r="Z4" s="800"/>
      <c r="AA4" s="801"/>
      <c r="AB4" s="802" t="s">
        <v>6</v>
      </c>
      <c r="AC4" s="803"/>
      <c r="AD4" s="804"/>
    </row>
    <row r="5" spans="1:44"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44"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44" ht="15" customHeight="1">
      <c r="A7" s="805" t="s">
        <v>7</v>
      </c>
      <c r="B7" s="806"/>
      <c r="C7" s="814" t="s">
        <v>8</v>
      </c>
      <c r="D7" s="805" t="s">
        <v>9</v>
      </c>
      <c r="E7" s="817"/>
      <c r="F7" s="817"/>
      <c r="G7" s="817"/>
      <c r="H7" s="806"/>
      <c r="I7" s="820">
        <v>44806</v>
      </c>
      <c r="J7" s="821"/>
      <c r="K7" s="805" t="s">
        <v>10</v>
      </c>
      <c r="L7" s="806"/>
      <c r="M7" s="826" t="s">
        <v>11</v>
      </c>
      <c r="N7" s="827"/>
      <c r="O7" s="831"/>
      <c r="P7" s="832"/>
      <c r="Q7" s="54"/>
      <c r="R7" s="54"/>
      <c r="S7" s="54"/>
      <c r="T7" s="54"/>
      <c r="U7" s="54"/>
      <c r="V7" s="54"/>
      <c r="W7" s="54"/>
      <c r="X7" s="54"/>
      <c r="Y7" s="54"/>
      <c r="Z7" s="55"/>
      <c r="AA7" s="54"/>
      <c r="AB7" s="54"/>
      <c r="AC7" s="60"/>
      <c r="AD7" s="61"/>
    </row>
    <row r="8" spans="1:44" ht="15" customHeight="1">
      <c r="A8" s="807"/>
      <c r="B8" s="808"/>
      <c r="C8" s="815"/>
      <c r="D8" s="807"/>
      <c r="E8" s="818"/>
      <c r="F8" s="818"/>
      <c r="G8" s="818"/>
      <c r="H8" s="808"/>
      <c r="I8" s="822"/>
      <c r="J8" s="823"/>
      <c r="K8" s="807"/>
      <c r="L8" s="808"/>
      <c r="M8" s="833" t="s">
        <v>12</v>
      </c>
      <c r="N8" s="834"/>
      <c r="O8" s="835"/>
      <c r="P8" s="836"/>
      <c r="Q8" s="54"/>
      <c r="R8" s="54"/>
      <c r="S8" s="54"/>
      <c r="T8" s="54"/>
      <c r="U8" s="54"/>
      <c r="V8" s="54"/>
      <c r="W8" s="54"/>
      <c r="X8" s="54"/>
      <c r="Y8" s="54"/>
      <c r="Z8" s="55"/>
      <c r="AA8" s="54"/>
      <c r="AB8" s="54"/>
      <c r="AC8" s="60"/>
      <c r="AD8" s="61"/>
    </row>
    <row r="9" spans="1:44" ht="15.75" customHeight="1" thickBot="1">
      <c r="A9" s="809"/>
      <c r="B9" s="810"/>
      <c r="C9" s="816"/>
      <c r="D9" s="809"/>
      <c r="E9" s="819"/>
      <c r="F9" s="819"/>
      <c r="G9" s="819"/>
      <c r="H9" s="810"/>
      <c r="I9" s="824"/>
      <c r="J9" s="825"/>
      <c r="K9" s="809"/>
      <c r="L9" s="810"/>
      <c r="M9" s="837" t="s">
        <v>13</v>
      </c>
      <c r="N9" s="838"/>
      <c r="O9" s="839" t="s">
        <v>14</v>
      </c>
      <c r="P9" s="840"/>
      <c r="Q9" s="54"/>
      <c r="R9" s="54"/>
      <c r="S9" s="54"/>
      <c r="T9" s="54"/>
      <c r="U9" s="54"/>
      <c r="V9" s="54"/>
      <c r="W9" s="54"/>
      <c r="X9" s="54"/>
      <c r="Y9" s="54"/>
      <c r="Z9" s="55"/>
      <c r="AA9" s="54"/>
      <c r="AB9" s="54"/>
      <c r="AC9" s="60"/>
      <c r="AD9" s="61"/>
    </row>
    <row r="10" spans="1:44" ht="15" customHeight="1" thickBot="1">
      <c r="A10" s="158"/>
      <c r="B10" s="382"/>
      <c r="C10" s="382"/>
      <c r="D10" s="65"/>
      <c r="E10" s="65"/>
      <c r="F10" s="65"/>
      <c r="G10" s="65"/>
      <c r="H10" s="65"/>
      <c r="I10" s="383"/>
      <c r="J10" s="383"/>
      <c r="K10" s="65"/>
      <c r="L10" s="65"/>
      <c r="M10" s="156"/>
      <c r="N10" s="156"/>
      <c r="O10" s="157"/>
      <c r="P10" s="157"/>
      <c r="Q10" s="382"/>
      <c r="R10" s="382"/>
      <c r="S10" s="382"/>
      <c r="T10" s="382"/>
      <c r="U10" s="382"/>
      <c r="V10" s="382"/>
      <c r="W10" s="382"/>
      <c r="X10" s="382"/>
      <c r="Y10" s="382"/>
      <c r="Z10" s="384"/>
      <c r="AA10" s="382"/>
      <c r="AB10" s="382"/>
      <c r="AC10" s="385"/>
      <c r="AD10" s="159"/>
    </row>
    <row r="11" spans="1:44" ht="15" customHeight="1">
      <c r="A11" s="805" t="s">
        <v>15</v>
      </c>
      <c r="B11" s="806"/>
      <c r="C11" s="811" t="s">
        <v>16</v>
      </c>
      <c r="D11" s="812"/>
      <c r="E11" s="812"/>
      <c r="F11" s="812"/>
      <c r="G11" s="812"/>
      <c r="H11" s="812"/>
      <c r="I11" s="812"/>
      <c r="J11" s="812"/>
      <c r="K11" s="812"/>
      <c r="L11" s="812"/>
      <c r="M11" s="812"/>
      <c r="N11" s="812"/>
      <c r="O11" s="812"/>
      <c r="P11" s="812"/>
      <c r="Q11" s="812"/>
      <c r="R11" s="812"/>
      <c r="S11" s="812"/>
      <c r="T11" s="812"/>
      <c r="U11" s="812"/>
      <c r="V11" s="812"/>
      <c r="W11" s="812"/>
      <c r="X11" s="812"/>
      <c r="Y11" s="812"/>
      <c r="Z11" s="812"/>
      <c r="AA11" s="812"/>
      <c r="AB11" s="812"/>
      <c r="AC11" s="812"/>
      <c r="AD11" s="813"/>
    </row>
    <row r="12" spans="1:44" ht="15" customHeight="1">
      <c r="A12" s="807"/>
      <c r="B12" s="808"/>
      <c r="C12" s="796"/>
      <c r="D12" s="797"/>
      <c r="E12" s="797"/>
      <c r="F12" s="797"/>
      <c r="G12" s="797"/>
      <c r="H12" s="797"/>
      <c r="I12" s="797"/>
      <c r="J12" s="797"/>
      <c r="K12" s="797"/>
      <c r="L12" s="797"/>
      <c r="M12" s="797"/>
      <c r="N12" s="797"/>
      <c r="O12" s="797"/>
      <c r="P12" s="797"/>
      <c r="Q12" s="797"/>
      <c r="R12" s="797"/>
      <c r="S12" s="797"/>
      <c r="T12" s="797"/>
      <c r="U12" s="797"/>
      <c r="V12" s="797"/>
      <c r="W12" s="797"/>
      <c r="X12" s="797"/>
      <c r="Y12" s="797"/>
      <c r="Z12" s="797"/>
      <c r="AA12" s="797"/>
      <c r="AB12" s="797"/>
      <c r="AC12" s="797"/>
      <c r="AD12" s="798"/>
    </row>
    <row r="13" spans="1:44" ht="15" customHeight="1" thickBot="1">
      <c r="A13" s="809"/>
      <c r="B13" s="810"/>
      <c r="C13" s="799"/>
      <c r="D13" s="800"/>
      <c r="E13" s="800"/>
      <c r="F13" s="800"/>
      <c r="G13" s="800"/>
      <c r="H13" s="800"/>
      <c r="I13" s="800"/>
      <c r="J13" s="800"/>
      <c r="K13" s="800"/>
      <c r="L13" s="800"/>
      <c r="M13" s="800"/>
      <c r="N13" s="800"/>
      <c r="O13" s="800"/>
      <c r="P13" s="800"/>
      <c r="Q13" s="800"/>
      <c r="R13" s="800"/>
      <c r="S13" s="800"/>
      <c r="T13" s="800"/>
      <c r="U13" s="800"/>
      <c r="V13" s="800"/>
      <c r="W13" s="800"/>
      <c r="X13" s="800"/>
      <c r="Y13" s="800"/>
      <c r="Z13" s="800"/>
      <c r="AA13" s="800"/>
      <c r="AB13" s="800"/>
      <c r="AC13" s="800"/>
      <c r="AD13" s="801"/>
    </row>
    <row r="14" spans="1:44"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44" ht="39" customHeight="1" thickBot="1">
      <c r="A15" s="841" t="s">
        <v>17</v>
      </c>
      <c r="B15" s="842"/>
      <c r="C15" s="828" t="s">
        <v>18</v>
      </c>
      <c r="D15" s="829"/>
      <c r="E15" s="829"/>
      <c r="F15" s="829"/>
      <c r="G15" s="829"/>
      <c r="H15" s="829"/>
      <c r="I15" s="829"/>
      <c r="J15" s="829"/>
      <c r="K15" s="830"/>
      <c r="L15" s="843" t="s">
        <v>19</v>
      </c>
      <c r="M15" s="844"/>
      <c r="N15" s="844"/>
      <c r="O15" s="844"/>
      <c r="P15" s="844"/>
      <c r="Q15" s="845"/>
      <c r="R15" s="846" t="s">
        <v>20</v>
      </c>
      <c r="S15" s="847"/>
      <c r="T15" s="847"/>
      <c r="U15" s="847"/>
      <c r="V15" s="847"/>
      <c r="W15" s="847"/>
      <c r="X15" s="848"/>
      <c r="Y15" s="843" t="s">
        <v>21</v>
      </c>
      <c r="Z15" s="845"/>
      <c r="AA15" s="828" t="s">
        <v>22</v>
      </c>
      <c r="AB15" s="829"/>
      <c r="AC15" s="829"/>
      <c r="AD15" s="830"/>
    </row>
    <row r="16" spans="1:44" ht="9" customHeight="1" thickBot="1">
      <c r="A16" s="59"/>
      <c r="B16" s="54"/>
      <c r="C16" s="851"/>
      <c r="D16" s="851"/>
      <c r="E16" s="851"/>
      <c r="F16" s="851"/>
      <c r="G16" s="851"/>
      <c r="H16" s="851"/>
      <c r="I16" s="851"/>
      <c r="J16" s="851"/>
      <c r="K16" s="851"/>
      <c r="L16" s="851"/>
      <c r="M16" s="851"/>
      <c r="N16" s="851"/>
      <c r="O16" s="851"/>
      <c r="P16" s="851"/>
      <c r="Q16" s="851"/>
      <c r="R16" s="851"/>
      <c r="S16" s="851"/>
      <c r="T16" s="851"/>
      <c r="U16" s="851"/>
      <c r="V16" s="851"/>
      <c r="W16" s="851"/>
      <c r="X16" s="851"/>
      <c r="Y16" s="851"/>
      <c r="Z16" s="851"/>
      <c r="AA16" s="851"/>
      <c r="AB16" s="851"/>
      <c r="AC16" s="73"/>
      <c r="AD16" s="74"/>
    </row>
    <row r="17" spans="1:46" s="76" customFormat="1" ht="37.5" customHeight="1" thickBot="1">
      <c r="A17" s="841" t="s">
        <v>23</v>
      </c>
      <c r="B17" s="842"/>
      <c r="C17" s="852" t="s">
        <v>24</v>
      </c>
      <c r="D17" s="853"/>
      <c r="E17" s="853"/>
      <c r="F17" s="853"/>
      <c r="G17" s="853"/>
      <c r="H17" s="853"/>
      <c r="I17" s="853"/>
      <c r="J17" s="853"/>
      <c r="K17" s="853"/>
      <c r="L17" s="853"/>
      <c r="M17" s="853"/>
      <c r="N17" s="853"/>
      <c r="O17" s="853"/>
      <c r="P17" s="853"/>
      <c r="Q17" s="854"/>
      <c r="R17" s="843" t="s">
        <v>25</v>
      </c>
      <c r="S17" s="844"/>
      <c r="T17" s="844"/>
      <c r="U17" s="844"/>
      <c r="V17" s="845"/>
      <c r="W17" s="855">
        <v>7000</v>
      </c>
      <c r="X17" s="856"/>
      <c r="Y17" s="844" t="s">
        <v>26</v>
      </c>
      <c r="Z17" s="844"/>
      <c r="AA17" s="844"/>
      <c r="AB17" s="845"/>
      <c r="AC17" s="857">
        <v>0.3</v>
      </c>
      <c r="AD17" s="858"/>
      <c r="AI17" s="532"/>
      <c r="AJ17" s="532"/>
      <c r="AK17" s="532"/>
      <c r="AL17" s="532"/>
      <c r="AM17" s="513"/>
      <c r="AN17" s="513"/>
      <c r="AO17" s="513"/>
      <c r="AP17" s="513"/>
      <c r="AQ17" s="513"/>
    </row>
    <row r="18" spans="1:46" ht="16.5" hidden="1"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6" ht="32.1" hidden="1" customHeight="1" thickBot="1">
      <c r="A19" s="843" t="s">
        <v>27</v>
      </c>
      <c r="B19" s="844"/>
      <c r="C19" s="844"/>
      <c r="D19" s="844"/>
      <c r="E19" s="844"/>
      <c r="F19" s="844"/>
      <c r="G19" s="844"/>
      <c r="H19" s="844"/>
      <c r="I19" s="844"/>
      <c r="J19" s="844"/>
      <c r="K19" s="844"/>
      <c r="L19" s="844"/>
      <c r="M19" s="844"/>
      <c r="N19" s="844"/>
      <c r="O19" s="844"/>
      <c r="P19" s="844"/>
      <c r="Q19" s="844"/>
      <c r="R19" s="844"/>
      <c r="S19" s="844"/>
      <c r="T19" s="844"/>
      <c r="U19" s="844"/>
      <c r="V19" s="844"/>
      <c r="W19" s="844"/>
      <c r="X19" s="844"/>
      <c r="Y19" s="844"/>
      <c r="Z19" s="844"/>
      <c r="AA19" s="844"/>
      <c r="AB19" s="844"/>
      <c r="AC19" s="844"/>
      <c r="AD19" s="845"/>
      <c r="AE19" s="83"/>
      <c r="AF19" s="83"/>
      <c r="AG19" s="83"/>
      <c r="AH19" s="83"/>
      <c r="AI19" s="533"/>
    </row>
    <row r="20" spans="1:46" ht="32.1" customHeight="1" thickBot="1">
      <c r="A20" s="82"/>
      <c r="B20" s="60"/>
      <c r="C20" s="859" t="s">
        <v>28</v>
      </c>
      <c r="D20" s="860"/>
      <c r="E20" s="860"/>
      <c r="F20" s="860"/>
      <c r="G20" s="860"/>
      <c r="H20" s="860"/>
      <c r="I20" s="860"/>
      <c r="J20" s="860"/>
      <c r="K20" s="860"/>
      <c r="L20" s="860"/>
      <c r="M20" s="860"/>
      <c r="N20" s="860"/>
      <c r="O20" s="860"/>
      <c r="P20" s="861"/>
      <c r="Q20" s="859" t="s">
        <v>29</v>
      </c>
      <c r="R20" s="860"/>
      <c r="S20" s="860"/>
      <c r="T20" s="860"/>
      <c r="U20" s="860"/>
      <c r="V20" s="860"/>
      <c r="W20" s="860"/>
      <c r="X20" s="860"/>
      <c r="Y20" s="860"/>
      <c r="Z20" s="860"/>
      <c r="AA20" s="860"/>
      <c r="AB20" s="860"/>
      <c r="AC20" s="860"/>
      <c r="AD20" s="861"/>
      <c r="AE20" s="83"/>
      <c r="AF20" s="83"/>
      <c r="AG20" s="83"/>
      <c r="AH20" s="83"/>
      <c r="AI20" s="533"/>
    </row>
    <row r="21" spans="1:46" ht="32.1" customHeight="1" thickBot="1">
      <c r="A21" s="359"/>
      <c r="B21" s="56"/>
      <c r="C21" s="378" t="s">
        <v>30</v>
      </c>
      <c r="D21" s="379" t="s">
        <v>31</v>
      </c>
      <c r="E21" s="379" t="s">
        <v>32</v>
      </c>
      <c r="F21" s="379" t="s">
        <v>33</v>
      </c>
      <c r="G21" s="379" t="s">
        <v>34</v>
      </c>
      <c r="H21" s="379" t="s">
        <v>35</v>
      </c>
      <c r="I21" s="379" t="s">
        <v>36</v>
      </c>
      <c r="J21" s="379" t="s">
        <v>8</v>
      </c>
      <c r="K21" s="379" t="s">
        <v>37</v>
      </c>
      <c r="L21" s="379" t="s">
        <v>38</v>
      </c>
      <c r="M21" s="379" t="s">
        <v>39</v>
      </c>
      <c r="N21" s="379" t="s">
        <v>40</v>
      </c>
      <c r="O21" s="379" t="s">
        <v>41</v>
      </c>
      <c r="P21" s="380" t="s">
        <v>42</v>
      </c>
      <c r="Q21" s="378" t="s">
        <v>30</v>
      </c>
      <c r="R21" s="379" t="s">
        <v>31</v>
      </c>
      <c r="S21" s="379" t="s">
        <v>32</v>
      </c>
      <c r="T21" s="379" t="s">
        <v>33</v>
      </c>
      <c r="U21" s="379" t="s">
        <v>34</v>
      </c>
      <c r="V21" s="379" t="s">
        <v>35</v>
      </c>
      <c r="W21" s="379" t="s">
        <v>36</v>
      </c>
      <c r="X21" s="379" t="s">
        <v>8</v>
      </c>
      <c r="Y21" s="379" t="s">
        <v>37</v>
      </c>
      <c r="Z21" s="379" t="s">
        <v>38</v>
      </c>
      <c r="AA21" s="379" t="s">
        <v>39</v>
      </c>
      <c r="AB21" s="379" t="s">
        <v>40</v>
      </c>
      <c r="AC21" s="379" t="s">
        <v>41</v>
      </c>
      <c r="AD21" s="380" t="s">
        <v>42</v>
      </c>
      <c r="AE21" s="3"/>
      <c r="AF21" s="3"/>
      <c r="AG21" s="3"/>
      <c r="AH21" s="3"/>
      <c r="AI21" s="534"/>
    </row>
    <row r="22" spans="1:46" ht="32.1" customHeight="1">
      <c r="A22" s="862" t="s">
        <v>43</v>
      </c>
      <c r="B22" s="863"/>
      <c r="C22" s="641">
        <v>0</v>
      </c>
      <c r="D22" s="642">
        <v>0</v>
      </c>
      <c r="E22" s="642">
        <v>0</v>
      </c>
      <c r="F22" s="642">
        <v>0</v>
      </c>
      <c r="G22" s="642">
        <v>0</v>
      </c>
      <c r="H22" s="642">
        <v>0</v>
      </c>
      <c r="I22" s="642">
        <v>0</v>
      </c>
      <c r="J22" s="642">
        <v>0</v>
      </c>
      <c r="K22" s="642">
        <v>0</v>
      </c>
      <c r="L22" s="642">
        <v>0</v>
      </c>
      <c r="M22" s="642">
        <v>0</v>
      </c>
      <c r="N22" s="642">
        <v>0</v>
      </c>
      <c r="O22" s="642">
        <f>SUM(C22:N22)</f>
        <v>0</v>
      </c>
      <c r="P22" s="643"/>
      <c r="Q22" s="758">
        <v>1390832000</v>
      </c>
      <c r="R22" s="759">
        <v>0</v>
      </c>
      <c r="S22" s="760">
        <v>5539000</v>
      </c>
      <c r="T22" s="760">
        <f>(5500000*91%)+3360000+(150000000*33%)</f>
        <v>57865000</v>
      </c>
      <c r="U22" s="760">
        <f>(471340694*95%)+14783248</f>
        <v>462556907.29999995</v>
      </c>
      <c r="V22" s="760">
        <f>(58000000*86%)+(5117000*71%)+20000000+(71651306*81%)</f>
        <v>131550627.86000001</v>
      </c>
      <c r="W22" s="760">
        <f>157760500+92608376+92608376-61226236-6423637</f>
        <v>275327379</v>
      </c>
      <c r="X22" s="759">
        <v>0</v>
      </c>
      <c r="Y22" s="760">
        <v>10550000</v>
      </c>
      <c r="Z22" s="759">
        <v>0</v>
      </c>
      <c r="AA22" s="759">
        <v>0</v>
      </c>
      <c r="AB22" s="759">
        <v>0</v>
      </c>
      <c r="AC22" s="761">
        <f>SUM(Q22:AB22)</f>
        <v>2334220914.1599998</v>
      </c>
      <c r="AD22" s="762"/>
      <c r="AE22" s="3"/>
      <c r="AF22" s="3"/>
      <c r="AG22" s="3"/>
      <c r="AH22" s="3"/>
      <c r="AI22" s="534"/>
      <c r="AJ22" s="535"/>
    </row>
    <row r="23" spans="1:46" ht="32.1" customHeight="1">
      <c r="A23" s="849" t="s">
        <v>44</v>
      </c>
      <c r="B23" s="850"/>
      <c r="C23" s="644">
        <v>0</v>
      </c>
      <c r="D23" s="645">
        <v>0</v>
      </c>
      <c r="E23" s="645">
        <v>0</v>
      </c>
      <c r="F23" s="645">
        <v>0</v>
      </c>
      <c r="G23" s="645">
        <v>0</v>
      </c>
      <c r="H23" s="645">
        <v>0</v>
      </c>
      <c r="I23" s="645">
        <v>0</v>
      </c>
      <c r="J23" s="645">
        <v>0</v>
      </c>
      <c r="K23" s="645">
        <v>0</v>
      </c>
      <c r="L23" s="645">
        <v>0</v>
      </c>
      <c r="M23" s="645">
        <v>0</v>
      </c>
      <c r="N23" s="645">
        <v>0</v>
      </c>
      <c r="O23" s="642">
        <f>SUM(C23:N23)</f>
        <v>0</v>
      </c>
      <c r="P23" s="646" t="str">
        <f>IFERROR(O23/(SUMIF(C23:N23,"&gt;0",C22:N22))," ")</f>
        <v xml:space="preserve"> </v>
      </c>
      <c r="Q23" s="758">
        <v>1351177000</v>
      </c>
      <c r="R23" s="759">
        <v>0</v>
      </c>
      <c r="S23" s="760">
        <v>41519667</v>
      </c>
      <c r="T23" s="763">
        <v>-360500</v>
      </c>
      <c r="U23" s="763">
        <v>103130142</v>
      </c>
      <c r="V23" s="763">
        <v>84937295</v>
      </c>
      <c r="W23" s="763">
        <v>21630000</v>
      </c>
      <c r="X23" s="759">
        <v>0</v>
      </c>
      <c r="Y23" s="759">
        <v>0</v>
      </c>
      <c r="Z23" s="759">
        <v>0</v>
      </c>
      <c r="AA23" s="759">
        <v>0</v>
      </c>
      <c r="AB23" s="759">
        <v>0</v>
      </c>
      <c r="AC23" s="764">
        <f>SUM(Q23:AB23)</f>
        <v>1602033604</v>
      </c>
      <c r="AD23" s="765">
        <f>AC23/AC22</f>
        <v>0.68632475798740455</v>
      </c>
      <c r="AE23" s="536" t="s">
        <v>45</v>
      </c>
      <c r="AF23" s="3"/>
      <c r="AG23" s="3"/>
      <c r="AH23" s="627"/>
      <c r="AJ23" s="535"/>
    </row>
    <row r="24" spans="1:46" ht="32.1" customHeight="1">
      <c r="A24" s="849" t="s">
        <v>46</v>
      </c>
      <c r="B24" s="850"/>
      <c r="C24" s="644">
        <v>0</v>
      </c>
      <c r="D24" s="647">
        <v>101788233</v>
      </c>
      <c r="E24" s="647">
        <v>124895643</v>
      </c>
      <c r="F24" s="648">
        <f>277514964+10440572-4759996</f>
        <v>283195540</v>
      </c>
      <c r="G24" s="648">
        <v>-4167765</v>
      </c>
      <c r="H24" s="645">
        <v>0</v>
      </c>
      <c r="I24" s="645">
        <v>0</v>
      </c>
      <c r="J24" s="645">
        <v>0</v>
      </c>
      <c r="K24" s="645">
        <v>0</v>
      </c>
      <c r="L24" s="645">
        <v>0</v>
      </c>
      <c r="M24" s="645">
        <v>0</v>
      </c>
      <c r="N24" s="645">
        <v>0</v>
      </c>
      <c r="O24" s="701">
        <f>SUM(C24:N24)</f>
        <v>505711651</v>
      </c>
      <c r="P24" s="650"/>
      <c r="Q24" s="758">
        <v>0</v>
      </c>
      <c r="R24" s="760">
        <v>93098268.096666679</v>
      </c>
      <c r="S24" s="760">
        <v>167652934.76333335</v>
      </c>
      <c r="T24" s="760">
        <v>167652934.76333335</v>
      </c>
      <c r="U24" s="763">
        <v>167652934.76333299</v>
      </c>
      <c r="V24" s="763">
        <v>168278559.76333335</v>
      </c>
      <c r="W24" s="763">
        <v>213550774.04904768</v>
      </c>
      <c r="X24" s="763">
        <v>202142440.71571437</v>
      </c>
      <c r="Y24" s="763">
        <v>218642440.71571437</v>
      </c>
      <c r="Z24" s="763">
        <v>216925688.71571437</v>
      </c>
      <c r="AA24" s="763">
        <v>311250816.71571434</v>
      </c>
      <c r="AB24" s="763">
        <f>300289816.715714+174733177.382381-61226236-6423637</f>
        <v>407373121.09809494</v>
      </c>
      <c r="AC24" s="764">
        <f>SUM(Q24:AB24)</f>
        <v>2334220914.1599998</v>
      </c>
      <c r="AD24" s="765"/>
      <c r="AE24" s="3"/>
      <c r="AF24" s="3"/>
      <c r="AG24" s="3"/>
      <c r="AH24" s="627"/>
      <c r="AI24" s="534"/>
      <c r="AJ24" s="535"/>
    </row>
    <row r="25" spans="1:46" ht="32.1" customHeight="1">
      <c r="A25" s="864" t="s">
        <v>47</v>
      </c>
      <c r="B25" s="865"/>
      <c r="C25" s="651">
        <v>26967057.460000001</v>
      </c>
      <c r="D25" s="652">
        <v>9406242.5399999991</v>
      </c>
      <c r="E25" s="652">
        <v>180802209.08000001</v>
      </c>
      <c r="F25" s="652">
        <f>31500000</f>
        <v>31500000</v>
      </c>
      <c r="G25" s="652">
        <f>3500000+2946700+53646371.52</f>
        <v>60093071.520000003</v>
      </c>
      <c r="H25" s="652">
        <f>1750000+(29338503*94%)</f>
        <v>29328192.82</v>
      </c>
      <c r="I25" s="652">
        <f>35681367*94%</f>
        <v>33540484.979999997</v>
      </c>
      <c r="J25" s="766">
        <f>26958669*94%</f>
        <v>25341148.859999999</v>
      </c>
      <c r="K25" s="653">
        <v>0</v>
      </c>
      <c r="L25" s="653">
        <v>0</v>
      </c>
      <c r="M25" s="653">
        <v>0</v>
      </c>
      <c r="N25" s="653">
        <v>0</v>
      </c>
      <c r="O25" s="704">
        <f>SUM(C25:N25)</f>
        <v>396978407.26000005</v>
      </c>
      <c r="P25" s="470">
        <f>O25/O24</f>
        <v>0.7849896407864253</v>
      </c>
      <c r="Q25" s="767">
        <v>0</v>
      </c>
      <c r="R25" s="767">
        <v>30987234</v>
      </c>
      <c r="S25" s="767">
        <v>121617000</v>
      </c>
      <c r="T25" s="767">
        <v>107712000</v>
      </c>
      <c r="U25" s="767">
        <v>139342000</v>
      </c>
      <c r="V25" s="767">
        <v>207524257</v>
      </c>
      <c r="W25" s="767">
        <v>134775385</v>
      </c>
      <c r="X25" s="768">
        <v>133729594</v>
      </c>
      <c r="Y25" s="769">
        <v>0</v>
      </c>
      <c r="Z25" s="769">
        <v>0</v>
      </c>
      <c r="AA25" s="769">
        <v>0</v>
      </c>
      <c r="AB25" s="769">
        <v>0</v>
      </c>
      <c r="AC25" s="770">
        <f>SUM(Q25:AB25)</f>
        <v>875687470</v>
      </c>
      <c r="AD25" s="771">
        <f>AC25/AC24</f>
        <v>0.37515192529029656</v>
      </c>
      <c r="AE25" s="484"/>
      <c r="AF25" s="484">
        <v>741957876</v>
      </c>
      <c r="AG25" s="3"/>
      <c r="AH25" s="627"/>
      <c r="AI25" s="537"/>
      <c r="AJ25" s="535"/>
    </row>
    <row r="26" spans="1:46" ht="32.1" customHeight="1">
      <c r="A26" s="59"/>
      <c r="B26" s="54"/>
      <c r="C26" s="80"/>
      <c r="D26" s="543"/>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59"/>
      <c r="AE26" s="484"/>
      <c r="AF26" s="484"/>
      <c r="AI26" s="535"/>
      <c r="AK26" s="535"/>
    </row>
    <row r="27" spans="1:46" ht="33.950000000000003" customHeight="1">
      <c r="A27" s="866" t="s">
        <v>48</v>
      </c>
      <c r="B27" s="867"/>
      <c r="C27" s="868"/>
      <c r="D27" s="868"/>
      <c r="E27" s="868"/>
      <c r="F27" s="868"/>
      <c r="G27" s="868"/>
      <c r="H27" s="868"/>
      <c r="I27" s="868"/>
      <c r="J27" s="868"/>
      <c r="K27" s="868"/>
      <c r="L27" s="868"/>
      <c r="M27" s="868"/>
      <c r="N27" s="868"/>
      <c r="O27" s="868"/>
      <c r="P27" s="868"/>
      <c r="Q27" s="868"/>
      <c r="R27" s="868"/>
      <c r="S27" s="868"/>
      <c r="T27" s="868"/>
      <c r="U27" s="868"/>
      <c r="V27" s="868"/>
      <c r="W27" s="868"/>
      <c r="X27" s="868"/>
      <c r="Y27" s="868"/>
      <c r="Z27" s="868"/>
      <c r="AA27" s="868"/>
      <c r="AB27" s="868"/>
      <c r="AC27" s="868"/>
      <c r="AD27" s="869"/>
    </row>
    <row r="28" spans="1:46" ht="15" customHeight="1">
      <c r="A28" s="870" t="s">
        <v>49</v>
      </c>
      <c r="B28" s="872" t="s">
        <v>50</v>
      </c>
      <c r="C28" s="873"/>
      <c r="D28" s="876" t="s">
        <v>51</v>
      </c>
      <c r="E28" s="877"/>
      <c r="F28" s="877"/>
      <c r="G28" s="877"/>
      <c r="H28" s="877"/>
      <c r="I28" s="877"/>
      <c r="J28" s="877"/>
      <c r="K28" s="877"/>
      <c r="L28" s="877"/>
      <c r="M28" s="877"/>
      <c r="N28" s="877"/>
      <c r="O28" s="878"/>
      <c r="P28" s="879" t="s">
        <v>41</v>
      </c>
      <c r="Q28" s="879" t="s">
        <v>52</v>
      </c>
      <c r="R28" s="879"/>
      <c r="S28" s="879"/>
      <c r="T28" s="879"/>
      <c r="U28" s="879"/>
      <c r="V28" s="879"/>
      <c r="W28" s="879"/>
      <c r="X28" s="879"/>
      <c r="Y28" s="879"/>
      <c r="Z28" s="879"/>
      <c r="AA28" s="879"/>
      <c r="AB28" s="879"/>
      <c r="AC28" s="879"/>
      <c r="AD28" s="850"/>
    </row>
    <row r="29" spans="1:46" ht="27" customHeight="1">
      <c r="A29" s="871"/>
      <c r="B29" s="874"/>
      <c r="C29" s="875"/>
      <c r="D29" s="88" t="s">
        <v>30</v>
      </c>
      <c r="E29" s="88" t="s">
        <v>31</v>
      </c>
      <c r="F29" s="88" t="s">
        <v>32</v>
      </c>
      <c r="G29" s="88" t="s">
        <v>33</v>
      </c>
      <c r="H29" s="88" t="s">
        <v>34</v>
      </c>
      <c r="I29" s="88" t="s">
        <v>35</v>
      </c>
      <c r="J29" s="88" t="s">
        <v>36</v>
      </c>
      <c r="K29" s="88" t="s">
        <v>8</v>
      </c>
      <c r="L29" s="88" t="s">
        <v>37</v>
      </c>
      <c r="M29" s="88" t="s">
        <v>38</v>
      </c>
      <c r="N29" s="88" t="s">
        <v>39</v>
      </c>
      <c r="O29" s="88" t="s">
        <v>40</v>
      </c>
      <c r="P29" s="878"/>
      <c r="Q29" s="879"/>
      <c r="R29" s="879"/>
      <c r="S29" s="879"/>
      <c r="T29" s="879"/>
      <c r="U29" s="879"/>
      <c r="V29" s="879"/>
      <c r="W29" s="879"/>
      <c r="X29" s="879"/>
      <c r="Y29" s="879"/>
      <c r="Z29" s="879"/>
      <c r="AA29" s="879"/>
      <c r="AB29" s="879"/>
      <c r="AC29" s="879"/>
      <c r="AD29" s="850"/>
      <c r="AF29" s="50" t="s">
        <v>53</v>
      </c>
    </row>
    <row r="30" spans="1:46" ht="154.5" customHeight="1" thickBot="1">
      <c r="A30" s="622" t="str">
        <f>C17</f>
        <v>Formar 26.100 mujeres en sus derechos a través de procesos de desarrollo de capacidades en el uso TIC</v>
      </c>
      <c r="B30" s="880"/>
      <c r="C30" s="881"/>
      <c r="D30" s="167"/>
      <c r="E30" s="89"/>
      <c r="F30" s="89"/>
      <c r="G30" s="89"/>
      <c r="H30" s="89"/>
      <c r="I30" s="89"/>
      <c r="J30" s="89"/>
      <c r="K30" s="89"/>
      <c r="L30" s="89"/>
      <c r="M30" s="89"/>
      <c r="N30" s="89"/>
      <c r="O30" s="89"/>
      <c r="P30" s="86">
        <f>SUM(D30:O30)</f>
        <v>0</v>
      </c>
      <c r="Q30" s="882" t="s">
        <v>54</v>
      </c>
      <c r="R30" s="883"/>
      <c r="S30" s="883"/>
      <c r="T30" s="883"/>
      <c r="U30" s="883"/>
      <c r="V30" s="883"/>
      <c r="W30" s="883"/>
      <c r="X30" s="883"/>
      <c r="Y30" s="883"/>
      <c r="Z30" s="883"/>
      <c r="AA30" s="883"/>
      <c r="AB30" s="883"/>
      <c r="AC30" s="883"/>
      <c r="AD30" s="884"/>
      <c r="AF30" s="625" t="s">
        <v>55</v>
      </c>
    </row>
    <row r="31" spans="1:46" ht="45" customHeight="1">
      <c r="A31" s="885" t="s">
        <v>56</v>
      </c>
      <c r="B31" s="886"/>
      <c r="C31" s="886"/>
      <c r="D31" s="886"/>
      <c r="E31" s="886"/>
      <c r="F31" s="886"/>
      <c r="G31" s="886"/>
      <c r="H31" s="886"/>
      <c r="I31" s="886"/>
      <c r="J31" s="886"/>
      <c r="K31" s="886"/>
      <c r="L31" s="886"/>
      <c r="M31" s="886"/>
      <c r="N31" s="886"/>
      <c r="O31" s="886"/>
      <c r="P31" s="886"/>
      <c r="Q31" s="886"/>
      <c r="R31" s="886"/>
      <c r="S31" s="886"/>
      <c r="T31" s="886"/>
      <c r="U31" s="886"/>
      <c r="V31" s="886"/>
      <c r="W31" s="886"/>
      <c r="X31" s="886"/>
      <c r="Y31" s="886"/>
      <c r="Z31" s="886"/>
      <c r="AA31" s="886"/>
      <c r="AB31" s="886"/>
      <c r="AC31" s="886"/>
      <c r="AD31" s="887"/>
    </row>
    <row r="32" spans="1:46" ht="23.1" customHeight="1">
      <c r="A32" s="849" t="s">
        <v>57</v>
      </c>
      <c r="B32" s="879" t="s">
        <v>58</v>
      </c>
      <c r="C32" s="879" t="s">
        <v>50</v>
      </c>
      <c r="D32" s="879" t="s">
        <v>59</v>
      </c>
      <c r="E32" s="879"/>
      <c r="F32" s="879"/>
      <c r="G32" s="879"/>
      <c r="H32" s="879"/>
      <c r="I32" s="879"/>
      <c r="J32" s="879"/>
      <c r="K32" s="879"/>
      <c r="L32" s="879"/>
      <c r="M32" s="879"/>
      <c r="N32" s="879"/>
      <c r="O32" s="879"/>
      <c r="P32" s="879"/>
      <c r="Q32" s="879" t="s">
        <v>60</v>
      </c>
      <c r="R32" s="879"/>
      <c r="S32" s="879"/>
      <c r="T32" s="879"/>
      <c r="U32" s="879"/>
      <c r="V32" s="879"/>
      <c r="W32" s="879"/>
      <c r="X32" s="879"/>
      <c r="Y32" s="879"/>
      <c r="Z32" s="879"/>
      <c r="AA32" s="879"/>
      <c r="AB32" s="879"/>
      <c r="AC32" s="879"/>
      <c r="AD32" s="850"/>
      <c r="AI32" s="538"/>
      <c r="AJ32" s="538"/>
      <c r="AK32" s="538"/>
      <c r="AL32" s="539"/>
      <c r="AR32" s="157"/>
      <c r="AS32" s="157"/>
      <c r="AT32" s="511"/>
    </row>
    <row r="33" spans="1:44" ht="23.1" customHeight="1">
      <c r="A33" s="849"/>
      <c r="B33" s="879"/>
      <c r="C33" s="888"/>
      <c r="D33" s="88" t="s">
        <v>30</v>
      </c>
      <c r="E33" s="88" t="s">
        <v>31</v>
      </c>
      <c r="F33" s="88" t="s">
        <v>32</v>
      </c>
      <c r="G33" s="88" t="s">
        <v>33</v>
      </c>
      <c r="H33" s="88" t="s">
        <v>34</v>
      </c>
      <c r="I33" s="88" t="s">
        <v>35</v>
      </c>
      <c r="J33" s="88" t="s">
        <v>36</v>
      </c>
      <c r="K33" s="88" t="s">
        <v>8</v>
      </c>
      <c r="L33" s="88" t="s">
        <v>37</v>
      </c>
      <c r="M33" s="88" t="s">
        <v>38</v>
      </c>
      <c r="N33" s="88" t="s">
        <v>39</v>
      </c>
      <c r="O33" s="88" t="s">
        <v>40</v>
      </c>
      <c r="P33" s="88" t="s">
        <v>41</v>
      </c>
      <c r="Q33" s="874" t="s">
        <v>61</v>
      </c>
      <c r="R33" s="889"/>
      <c r="S33" s="889"/>
      <c r="T33" s="889"/>
      <c r="U33" s="889"/>
      <c r="V33" s="875"/>
      <c r="W33" s="874" t="s">
        <v>62</v>
      </c>
      <c r="X33" s="889"/>
      <c r="Y33" s="889"/>
      <c r="Z33" s="875"/>
      <c r="AA33" s="874" t="s">
        <v>63</v>
      </c>
      <c r="AB33" s="889"/>
      <c r="AC33" s="889"/>
      <c r="AD33" s="898"/>
      <c r="AI33" s="540" t="s">
        <v>64</v>
      </c>
      <c r="AJ33" s="541" t="s">
        <v>65</v>
      </c>
      <c r="AK33" s="541" t="s">
        <v>66</v>
      </c>
      <c r="AL33" s="541" t="s">
        <v>67</v>
      </c>
      <c r="AM33" s="541" t="s">
        <v>68</v>
      </c>
      <c r="AN33" s="541" t="s">
        <v>69</v>
      </c>
      <c r="AO33" s="541" t="s">
        <v>70</v>
      </c>
      <c r="AP33" s="732" t="s">
        <v>71</v>
      </c>
      <c r="AQ33" s="436"/>
      <c r="AR33" s="87"/>
    </row>
    <row r="34" spans="1:44" ht="180.75" customHeight="1">
      <c r="A34" s="899" t="str">
        <f>A30</f>
        <v>Formar 26.100 mujeres en sus derechos a través de procesos de desarrollo de capacidades en el uso TIC</v>
      </c>
      <c r="B34" s="901">
        <f>B38+B40+B42+B44+B46+B48</f>
        <v>0.3</v>
      </c>
      <c r="C34" s="90" t="s">
        <v>72</v>
      </c>
      <c r="D34" s="167">
        <v>0</v>
      </c>
      <c r="E34" s="89">
        <v>500</v>
      </c>
      <c r="F34" s="89">
        <v>700</v>
      </c>
      <c r="G34" s="89">
        <v>700</v>
      </c>
      <c r="H34" s="89">
        <v>700</v>
      </c>
      <c r="I34" s="89">
        <v>700</v>
      </c>
      <c r="J34" s="89">
        <v>700</v>
      </c>
      <c r="K34" s="89">
        <v>700</v>
      </c>
      <c r="L34" s="89">
        <v>700</v>
      </c>
      <c r="M34" s="89">
        <v>700</v>
      </c>
      <c r="N34" s="89">
        <v>700</v>
      </c>
      <c r="O34" s="89">
        <v>200</v>
      </c>
      <c r="P34" s="89">
        <f>SUM(D34:O34)</f>
        <v>7000</v>
      </c>
      <c r="Q34" s="903" t="s">
        <v>73</v>
      </c>
      <c r="R34" s="904"/>
      <c r="S34" s="904"/>
      <c r="T34" s="904"/>
      <c r="U34" s="904"/>
      <c r="V34" s="905"/>
      <c r="W34" s="903" t="s">
        <v>74</v>
      </c>
      <c r="X34" s="904"/>
      <c r="Y34" s="904"/>
      <c r="Z34" s="905"/>
      <c r="AA34" s="892" t="s">
        <v>75</v>
      </c>
      <c r="AB34" s="893"/>
      <c r="AC34" s="893"/>
      <c r="AD34" s="893"/>
      <c r="AI34" s="531" t="s">
        <v>76</v>
      </c>
      <c r="AJ34" s="531" t="s">
        <v>77</v>
      </c>
      <c r="AK34" s="531" t="s">
        <v>78</v>
      </c>
      <c r="AL34" s="531" t="s">
        <v>79</v>
      </c>
      <c r="AM34" s="531" t="s">
        <v>80</v>
      </c>
      <c r="AN34" s="531" t="s">
        <v>81</v>
      </c>
      <c r="AO34" s="531" t="s">
        <v>82</v>
      </c>
      <c r="AP34" s="531" t="s">
        <v>83</v>
      </c>
      <c r="AQ34" s="518"/>
      <c r="AR34" s="87"/>
    </row>
    <row r="35" spans="1:44" ht="180.75" customHeight="1">
      <c r="A35" s="900"/>
      <c r="B35" s="902"/>
      <c r="C35" s="168" t="s">
        <v>84</v>
      </c>
      <c r="D35" s="415">
        <v>0</v>
      </c>
      <c r="E35" s="416">
        <v>531</v>
      </c>
      <c r="F35" s="416">
        <v>950</v>
      </c>
      <c r="G35" s="416">
        <v>740</v>
      </c>
      <c r="H35" s="416">
        <v>922</v>
      </c>
      <c r="I35" s="416">
        <v>701</v>
      </c>
      <c r="J35" s="416">
        <v>738</v>
      </c>
      <c r="K35" s="416">
        <v>729</v>
      </c>
      <c r="L35" s="417"/>
      <c r="M35" s="417"/>
      <c r="N35" s="417"/>
      <c r="O35" s="417"/>
      <c r="P35" s="665">
        <f>SUM(D35:O35)</f>
        <v>5311</v>
      </c>
      <c r="Q35" s="906"/>
      <c r="R35" s="907"/>
      <c r="S35" s="907"/>
      <c r="T35" s="907"/>
      <c r="U35" s="907"/>
      <c r="V35" s="908"/>
      <c r="W35" s="906"/>
      <c r="X35" s="907"/>
      <c r="Y35" s="907"/>
      <c r="Z35" s="908"/>
      <c r="AA35" s="909"/>
      <c r="AB35" s="910"/>
      <c r="AC35" s="910"/>
      <c r="AD35" s="910"/>
      <c r="AE35" s="49"/>
      <c r="AF35" s="49"/>
      <c r="AG35" s="49"/>
      <c r="AH35" s="49"/>
      <c r="AI35" s="542">
        <f t="shared" ref="AI35:AP35" si="0">LEN(AI34)</f>
        <v>294</v>
      </c>
      <c r="AJ35" s="542">
        <f t="shared" si="0"/>
        <v>296</v>
      </c>
      <c r="AK35" s="542">
        <f t="shared" si="0"/>
        <v>295</v>
      </c>
      <c r="AL35" s="542">
        <f t="shared" si="0"/>
        <v>300</v>
      </c>
      <c r="AM35" s="542">
        <f t="shared" si="0"/>
        <v>297</v>
      </c>
      <c r="AN35" s="542">
        <f t="shared" si="0"/>
        <v>293</v>
      </c>
      <c r="AO35" s="542">
        <f t="shared" si="0"/>
        <v>256</v>
      </c>
      <c r="AP35" s="542">
        <f t="shared" si="0"/>
        <v>299</v>
      </c>
      <c r="AQ35" s="518"/>
      <c r="AR35" s="87"/>
    </row>
    <row r="36" spans="1:44" ht="26.1" customHeight="1">
      <c r="A36" s="879" t="s">
        <v>85</v>
      </c>
      <c r="B36" s="879" t="s">
        <v>86</v>
      </c>
      <c r="C36" s="879" t="s">
        <v>87</v>
      </c>
      <c r="D36" s="879"/>
      <c r="E36" s="879"/>
      <c r="F36" s="879"/>
      <c r="G36" s="879"/>
      <c r="H36" s="879"/>
      <c r="I36" s="879"/>
      <c r="J36" s="879"/>
      <c r="K36" s="879"/>
      <c r="L36" s="879"/>
      <c r="M36" s="879"/>
      <c r="N36" s="879"/>
      <c r="O36" s="879"/>
      <c r="P36" s="879"/>
      <c r="Q36" s="879" t="s">
        <v>88</v>
      </c>
      <c r="R36" s="879"/>
      <c r="S36" s="879"/>
      <c r="T36" s="879"/>
      <c r="U36" s="879"/>
      <c r="V36" s="879"/>
      <c r="W36" s="879"/>
      <c r="X36" s="879"/>
      <c r="Y36" s="879"/>
      <c r="Z36" s="879"/>
      <c r="AA36" s="879"/>
      <c r="AB36" s="879"/>
      <c r="AC36" s="879"/>
      <c r="AD36" s="879"/>
      <c r="AJ36" s="538"/>
      <c r="AK36" s="538"/>
      <c r="AL36" s="538"/>
      <c r="AM36" s="518"/>
      <c r="AN36" s="518"/>
      <c r="AO36" s="518"/>
      <c r="AP36" s="518"/>
      <c r="AQ36" s="518"/>
      <c r="AR36" s="87"/>
    </row>
    <row r="37" spans="1:44" ht="26.1" customHeight="1">
      <c r="A37" s="879"/>
      <c r="B37" s="879"/>
      <c r="C37" s="88" t="s">
        <v>89</v>
      </c>
      <c r="D37" s="88" t="s">
        <v>90</v>
      </c>
      <c r="E37" s="88" t="s">
        <v>91</v>
      </c>
      <c r="F37" s="88" t="s">
        <v>92</v>
      </c>
      <c r="G37" s="88" t="s">
        <v>93</v>
      </c>
      <c r="H37" s="88" t="s">
        <v>94</v>
      </c>
      <c r="I37" s="88" t="s">
        <v>95</v>
      </c>
      <c r="J37" s="88" t="s">
        <v>96</v>
      </c>
      <c r="K37" s="88" t="s">
        <v>97</v>
      </c>
      <c r="L37" s="88" t="s">
        <v>98</v>
      </c>
      <c r="M37" s="88" t="s">
        <v>99</v>
      </c>
      <c r="N37" s="88" t="s">
        <v>100</v>
      </c>
      <c r="O37" s="88" t="s">
        <v>101</v>
      </c>
      <c r="P37" s="88" t="s">
        <v>102</v>
      </c>
      <c r="Q37" s="879" t="s">
        <v>103</v>
      </c>
      <c r="R37" s="879"/>
      <c r="S37" s="879"/>
      <c r="T37" s="879"/>
      <c r="U37" s="879"/>
      <c r="V37" s="879"/>
      <c r="W37" s="879"/>
      <c r="X37" s="879"/>
      <c r="Y37" s="879"/>
      <c r="Z37" s="879"/>
      <c r="AA37" s="879"/>
      <c r="AB37" s="879"/>
      <c r="AC37" s="879"/>
      <c r="AD37" s="879"/>
      <c r="AJ37" s="539"/>
      <c r="AK37" s="539"/>
      <c r="AL37" s="539"/>
      <c r="AM37" s="519"/>
      <c r="AN37" s="519"/>
      <c r="AO37" s="519"/>
      <c r="AP37" s="519"/>
      <c r="AQ37" s="519"/>
      <c r="AR37" s="94"/>
    </row>
    <row r="38" spans="1:44" ht="163.5" customHeight="1">
      <c r="A38" s="890" t="s">
        <v>104</v>
      </c>
      <c r="B38" s="891">
        <v>0.05</v>
      </c>
      <c r="C38" s="102" t="s">
        <v>72</v>
      </c>
      <c r="D38" s="103">
        <v>0</v>
      </c>
      <c r="E38" s="103">
        <v>0.05</v>
      </c>
      <c r="F38" s="103">
        <v>0.1</v>
      </c>
      <c r="G38" s="103">
        <v>0.1</v>
      </c>
      <c r="H38" s="103">
        <v>0.1</v>
      </c>
      <c r="I38" s="103">
        <v>0.1</v>
      </c>
      <c r="J38" s="103">
        <v>0.1</v>
      </c>
      <c r="K38" s="710">
        <v>0.1</v>
      </c>
      <c r="L38" s="103">
        <v>0.1</v>
      </c>
      <c r="M38" s="103">
        <v>0.1</v>
      </c>
      <c r="N38" s="103">
        <v>0.1</v>
      </c>
      <c r="O38" s="103">
        <v>0.05</v>
      </c>
      <c r="P38" s="169">
        <f t="shared" ref="P38:P49" si="1">SUM(D38:O38)</f>
        <v>0.99999999999999989</v>
      </c>
      <c r="Q38" s="892" t="s">
        <v>105</v>
      </c>
      <c r="R38" s="893"/>
      <c r="S38" s="893"/>
      <c r="T38" s="893"/>
      <c r="U38" s="893"/>
      <c r="V38" s="893"/>
      <c r="W38" s="893"/>
      <c r="X38" s="893"/>
      <c r="Y38" s="893"/>
      <c r="Z38" s="893"/>
      <c r="AA38" s="893"/>
      <c r="AB38" s="893"/>
      <c r="AC38" s="893"/>
      <c r="AD38" s="894"/>
      <c r="AE38" s="523">
        <f>LEN(Q38)</f>
        <v>1989</v>
      </c>
      <c r="AF38" s="523"/>
      <c r="AG38" s="523"/>
      <c r="AH38" s="523"/>
    </row>
    <row r="39" spans="1:44" ht="163.5" customHeight="1">
      <c r="A39" s="890"/>
      <c r="B39" s="891"/>
      <c r="C39" s="99" t="s">
        <v>84</v>
      </c>
      <c r="D39" s="100">
        <v>0</v>
      </c>
      <c r="E39" s="100">
        <v>0.05</v>
      </c>
      <c r="F39" s="100">
        <v>0.1</v>
      </c>
      <c r="G39" s="100">
        <v>0.1</v>
      </c>
      <c r="H39" s="100">
        <v>0.1</v>
      </c>
      <c r="I39" s="100">
        <v>0.1</v>
      </c>
      <c r="J39" s="100">
        <v>0.1</v>
      </c>
      <c r="K39" s="711">
        <v>0.1</v>
      </c>
      <c r="L39" s="100"/>
      <c r="M39" s="100"/>
      <c r="N39" s="100"/>
      <c r="O39" s="100"/>
      <c r="P39" s="169">
        <f t="shared" si="1"/>
        <v>0.64999999999999991</v>
      </c>
      <c r="Q39" s="895"/>
      <c r="R39" s="896"/>
      <c r="S39" s="896"/>
      <c r="T39" s="896"/>
      <c r="U39" s="896"/>
      <c r="V39" s="896"/>
      <c r="W39" s="896"/>
      <c r="X39" s="896"/>
      <c r="Y39" s="896"/>
      <c r="Z39" s="896"/>
      <c r="AA39" s="896"/>
      <c r="AB39" s="896"/>
      <c r="AC39" s="896"/>
      <c r="AD39" s="897"/>
      <c r="AE39" s="97"/>
      <c r="AF39" s="97"/>
      <c r="AG39" s="97"/>
      <c r="AH39" s="97"/>
    </row>
    <row r="40" spans="1:44" ht="129.75" customHeight="1">
      <c r="A40" s="890" t="s">
        <v>106</v>
      </c>
      <c r="B40" s="891">
        <v>0.05</v>
      </c>
      <c r="C40" s="102" t="s">
        <v>72</v>
      </c>
      <c r="D40" s="103">
        <v>0</v>
      </c>
      <c r="E40" s="103">
        <v>0.05</v>
      </c>
      <c r="F40" s="103">
        <v>0.2</v>
      </c>
      <c r="G40" s="103">
        <v>0.2</v>
      </c>
      <c r="H40" s="103">
        <v>0.2</v>
      </c>
      <c r="I40" s="103">
        <v>0.1</v>
      </c>
      <c r="J40" s="103">
        <v>0.05</v>
      </c>
      <c r="K40" s="712">
        <v>0.05</v>
      </c>
      <c r="L40" s="103">
        <v>0.05</v>
      </c>
      <c r="M40" s="103">
        <v>0.05</v>
      </c>
      <c r="N40" s="103">
        <v>0.05</v>
      </c>
      <c r="O40" s="103">
        <v>0</v>
      </c>
      <c r="P40" s="169">
        <f t="shared" si="1"/>
        <v>1.0000000000000002</v>
      </c>
      <c r="Q40" s="911" t="s">
        <v>107</v>
      </c>
      <c r="R40" s="904"/>
      <c r="S40" s="904"/>
      <c r="T40" s="904"/>
      <c r="U40" s="904"/>
      <c r="V40" s="904"/>
      <c r="W40" s="904"/>
      <c r="X40" s="904"/>
      <c r="Y40" s="904"/>
      <c r="Z40" s="904"/>
      <c r="AA40" s="904"/>
      <c r="AB40" s="904"/>
      <c r="AC40" s="904"/>
      <c r="AD40" s="912"/>
      <c r="AE40" s="523">
        <f>LEN(Q40)</f>
        <v>1291</v>
      </c>
      <c r="AF40" s="523"/>
      <c r="AG40" s="523"/>
      <c r="AH40" s="523"/>
    </row>
    <row r="41" spans="1:44" ht="129.75" customHeight="1">
      <c r="A41" s="890"/>
      <c r="B41" s="891"/>
      <c r="C41" s="99" t="s">
        <v>84</v>
      </c>
      <c r="D41" s="100">
        <v>0</v>
      </c>
      <c r="E41" s="100">
        <v>0.05</v>
      </c>
      <c r="F41" s="100">
        <v>0.2</v>
      </c>
      <c r="G41" s="100">
        <v>0.2</v>
      </c>
      <c r="H41" s="100">
        <v>0.2</v>
      </c>
      <c r="I41" s="100">
        <v>0.1</v>
      </c>
      <c r="J41" s="100">
        <v>0.05</v>
      </c>
      <c r="K41" s="711">
        <v>0.05</v>
      </c>
      <c r="L41" s="100"/>
      <c r="M41" s="100"/>
      <c r="N41" s="100"/>
      <c r="O41" s="100"/>
      <c r="P41" s="169">
        <f t="shared" si="1"/>
        <v>0.85000000000000009</v>
      </c>
      <c r="Q41" s="913"/>
      <c r="R41" s="914"/>
      <c r="S41" s="914"/>
      <c r="T41" s="914"/>
      <c r="U41" s="914"/>
      <c r="V41" s="914"/>
      <c r="W41" s="914"/>
      <c r="X41" s="914"/>
      <c r="Y41" s="914"/>
      <c r="Z41" s="914"/>
      <c r="AA41" s="914"/>
      <c r="AB41" s="914"/>
      <c r="AC41" s="914"/>
      <c r="AD41" s="915"/>
      <c r="AE41" s="97"/>
      <c r="AF41" s="97"/>
      <c r="AG41" s="97"/>
      <c r="AH41" s="97"/>
    </row>
    <row r="42" spans="1:44" ht="225.75" customHeight="1">
      <c r="A42" s="890" t="s">
        <v>108</v>
      </c>
      <c r="B42" s="891">
        <v>0.05</v>
      </c>
      <c r="C42" s="102" t="s">
        <v>72</v>
      </c>
      <c r="D42" s="103">
        <v>0</v>
      </c>
      <c r="E42" s="103">
        <v>9.0999999999999998E-2</v>
      </c>
      <c r="F42" s="103">
        <v>9.0999999999999998E-2</v>
      </c>
      <c r="G42" s="103">
        <v>9.0999999999999998E-2</v>
      </c>
      <c r="H42" s="103">
        <v>9.0999999999999998E-2</v>
      </c>
      <c r="I42" s="103">
        <v>9.0999999999999998E-2</v>
      </c>
      <c r="J42" s="103">
        <v>9.0999999999999998E-2</v>
      </c>
      <c r="K42" s="712">
        <v>0.09</v>
      </c>
      <c r="L42" s="103">
        <v>9.0999999999999998E-2</v>
      </c>
      <c r="M42" s="103">
        <v>9.0999999999999998E-2</v>
      </c>
      <c r="N42" s="103">
        <v>9.0999999999999998E-2</v>
      </c>
      <c r="O42" s="103">
        <v>9.0999999999999998E-2</v>
      </c>
      <c r="P42" s="169">
        <f t="shared" si="1"/>
        <v>0.99999999999999978</v>
      </c>
      <c r="Q42" s="892" t="s">
        <v>109</v>
      </c>
      <c r="R42" s="893"/>
      <c r="S42" s="893"/>
      <c r="T42" s="893"/>
      <c r="U42" s="893"/>
      <c r="V42" s="893"/>
      <c r="W42" s="893"/>
      <c r="X42" s="893"/>
      <c r="Y42" s="893"/>
      <c r="Z42" s="893"/>
      <c r="AA42" s="893"/>
      <c r="AB42" s="893"/>
      <c r="AC42" s="893"/>
      <c r="AD42" s="894"/>
      <c r="AE42" s="523">
        <f>LEN(Q42)</f>
        <v>1834</v>
      </c>
      <c r="AF42" s="523"/>
      <c r="AG42" s="523"/>
      <c r="AH42" s="523"/>
    </row>
    <row r="43" spans="1:44" ht="225.75" customHeight="1">
      <c r="A43" s="890"/>
      <c r="B43" s="891"/>
      <c r="C43" s="99" t="s">
        <v>84</v>
      </c>
      <c r="D43" s="100">
        <v>0</v>
      </c>
      <c r="E43" s="100">
        <v>9.0999999999999998E-2</v>
      </c>
      <c r="F43" s="100">
        <v>0.09</v>
      </c>
      <c r="G43" s="100">
        <v>0.09</v>
      </c>
      <c r="H43" s="100">
        <v>0.09</v>
      </c>
      <c r="I43" s="100">
        <v>0.09</v>
      </c>
      <c r="J43" s="100">
        <v>0.09</v>
      </c>
      <c r="K43" s="711">
        <v>0.09</v>
      </c>
      <c r="L43" s="100"/>
      <c r="M43" s="100"/>
      <c r="N43" s="100"/>
      <c r="O43" s="100"/>
      <c r="P43" s="169">
        <f t="shared" si="1"/>
        <v>0.63099999999999989</v>
      </c>
      <c r="Q43" s="895"/>
      <c r="R43" s="896"/>
      <c r="S43" s="896"/>
      <c r="T43" s="896"/>
      <c r="U43" s="896"/>
      <c r="V43" s="896"/>
      <c r="W43" s="896"/>
      <c r="X43" s="896"/>
      <c r="Y43" s="896"/>
      <c r="Z43" s="896"/>
      <c r="AA43" s="896"/>
      <c r="AB43" s="896"/>
      <c r="AC43" s="896"/>
      <c r="AD43" s="897"/>
      <c r="AE43" s="97"/>
      <c r="AF43" s="97"/>
      <c r="AG43" s="97"/>
      <c r="AH43" s="97"/>
    </row>
    <row r="44" spans="1:44" ht="153" customHeight="1">
      <c r="A44" s="890" t="s">
        <v>110</v>
      </c>
      <c r="B44" s="891">
        <v>0.05</v>
      </c>
      <c r="C44" s="102" t="s">
        <v>72</v>
      </c>
      <c r="D44" s="103">
        <v>0</v>
      </c>
      <c r="E44" s="103">
        <v>0</v>
      </c>
      <c r="F44" s="103">
        <v>0.25</v>
      </c>
      <c r="G44" s="103">
        <v>0</v>
      </c>
      <c r="H44" s="103">
        <v>0</v>
      </c>
      <c r="I44" s="103">
        <v>0.25</v>
      </c>
      <c r="J44" s="103">
        <v>0</v>
      </c>
      <c r="K44" s="712">
        <v>0</v>
      </c>
      <c r="L44" s="103">
        <v>0.25</v>
      </c>
      <c r="M44" s="103">
        <v>0</v>
      </c>
      <c r="N44" s="103">
        <v>0</v>
      </c>
      <c r="O44" s="103">
        <v>0.25</v>
      </c>
      <c r="P44" s="169">
        <f>SUM(D44:O44)</f>
        <v>1</v>
      </c>
      <c r="Q44" s="892" t="s">
        <v>111</v>
      </c>
      <c r="R44" s="893"/>
      <c r="S44" s="893"/>
      <c r="T44" s="893"/>
      <c r="U44" s="893"/>
      <c r="V44" s="893"/>
      <c r="W44" s="893"/>
      <c r="X44" s="893"/>
      <c r="Y44" s="893"/>
      <c r="Z44" s="893"/>
      <c r="AA44" s="893"/>
      <c r="AB44" s="893"/>
      <c r="AC44" s="893"/>
      <c r="AD44" s="894"/>
      <c r="AE44" s="523">
        <f>LEN(Q44)</f>
        <v>1452</v>
      </c>
      <c r="AF44" s="523"/>
      <c r="AG44" s="523"/>
      <c r="AH44" s="523"/>
    </row>
    <row r="45" spans="1:44" ht="153" customHeight="1">
      <c r="A45" s="890"/>
      <c r="B45" s="891"/>
      <c r="C45" s="99" t="s">
        <v>84</v>
      </c>
      <c r="D45" s="100">
        <v>0</v>
      </c>
      <c r="E45" s="100">
        <v>0</v>
      </c>
      <c r="F45" s="100">
        <v>0.1</v>
      </c>
      <c r="G45" s="100">
        <v>0.15</v>
      </c>
      <c r="H45" s="100">
        <v>0</v>
      </c>
      <c r="I45" s="100">
        <v>0.25</v>
      </c>
      <c r="J45" s="100">
        <v>0</v>
      </c>
      <c r="K45" s="711">
        <v>0.25</v>
      </c>
      <c r="L45" s="100"/>
      <c r="M45" s="100"/>
      <c r="N45" s="100"/>
      <c r="O45" s="100"/>
      <c r="P45" s="169">
        <f t="shared" si="1"/>
        <v>0.75</v>
      </c>
      <c r="Q45" s="895"/>
      <c r="R45" s="896"/>
      <c r="S45" s="896"/>
      <c r="T45" s="896"/>
      <c r="U45" s="896"/>
      <c r="V45" s="896"/>
      <c r="W45" s="896"/>
      <c r="X45" s="896"/>
      <c r="Y45" s="896"/>
      <c r="Z45" s="896"/>
      <c r="AA45" s="896"/>
      <c r="AB45" s="896"/>
      <c r="AC45" s="896"/>
      <c r="AD45" s="897"/>
      <c r="AE45" s="97"/>
      <c r="AF45" s="97"/>
      <c r="AG45" s="97"/>
      <c r="AH45" s="97"/>
      <c r="AN45" s="520"/>
    </row>
    <row r="46" spans="1:44" ht="196.5" customHeight="1">
      <c r="A46" s="890" t="s">
        <v>112</v>
      </c>
      <c r="B46" s="891">
        <v>0.05</v>
      </c>
      <c r="C46" s="102" t="s">
        <v>72</v>
      </c>
      <c r="D46" s="103">
        <v>0</v>
      </c>
      <c r="E46" s="103">
        <v>0.2</v>
      </c>
      <c r="F46" s="103">
        <v>0.2</v>
      </c>
      <c r="G46" s="103">
        <v>0.2</v>
      </c>
      <c r="H46" s="103">
        <v>0.2</v>
      </c>
      <c r="I46" s="103">
        <v>0.1</v>
      </c>
      <c r="J46" s="103">
        <v>0.1</v>
      </c>
      <c r="K46" s="712">
        <v>0</v>
      </c>
      <c r="L46" s="103">
        <v>0</v>
      </c>
      <c r="M46" s="103">
        <v>0</v>
      </c>
      <c r="N46" s="103">
        <v>0</v>
      </c>
      <c r="O46" s="103">
        <v>0</v>
      </c>
      <c r="P46" s="169">
        <f>SUM(D46:O46)</f>
        <v>1</v>
      </c>
      <c r="Q46" s="892" t="s">
        <v>113</v>
      </c>
      <c r="R46" s="893"/>
      <c r="S46" s="893"/>
      <c r="T46" s="893"/>
      <c r="U46" s="893"/>
      <c r="V46" s="893"/>
      <c r="W46" s="893"/>
      <c r="X46" s="893"/>
      <c r="Y46" s="893"/>
      <c r="Z46" s="893"/>
      <c r="AA46" s="893"/>
      <c r="AB46" s="893"/>
      <c r="AC46" s="893"/>
      <c r="AD46" s="894"/>
      <c r="AE46" s="523">
        <f>LEN(Q46)</f>
        <v>1975</v>
      </c>
      <c r="AF46" s="523"/>
      <c r="AG46" s="523"/>
      <c r="AH46" s="523"/>
    </row>
    <row r="47" spans="1:44" ht="196.5" customHeight="1">
      <c r="A47" s="890"/>
      <c r="B47" s="891"/>
      <c r="C47" s="99" t="s">
        <v>84</v>
      </c>
      <c r="D47" s="100">
        <v>0</v>
      </c>
      <c r="E47" s="100">
        <v>0.2</v>
      </c>
      <c r="F47" s="100">
        <v>0.05</v>
      </c>
      <c r="G47" s="100">
        <v>0.2</v>
      </c>
      <c r="H47" s="100">
        <v>0.2</v>
      </c>
      <c r="I47" s="100">
        <v>0.1</v>
      </c>
      <c r="J47" s="100">
        <v>0.1</v>
      </c>
      <c r="K47" s="711">
        <v>0.05</v>
      </c>
      <c r="L47" s="100"/>
      <c r="M47" s="100"/>
      <c r="N47" s="100"/>
      <c r="O47" s="100"/>
      <c r="P47" s="169">
        <f t="shared" si="1"/>
        <v>0.9</v>
      </c>
      <c r="Q47" s="895"/>
      <c r="R47" s="896"/>
      <c r="S47" s="896"/>
      <c r="T47" s="896"/>
      <c r="U47" s="896"/>
      <c r="V47" s="896"/>
      <c r="W47" s="896"/>
      <c r="X47" s="896"/>
      <c r="Y47" s="896"/>
      <c r="Z47" s="896"/>
      <c r="AA47" s="896"/>
      <c r="AB47" s="896"/>
      <c r="AC47" s="896"/>
      <c r="AD47" s="897"/>
      <c r="AE47" s="97"/>
      <c r="AF47" s="97"/>
      <c r="AG47" s="97"/>
      <c r="AH47" s="97"/>
    </row>
    <row r="48" spans="1:44" ht="72.75" customHeight="1">
      <c r="A48" s="890" t="s">
        <v>114</v>
      </c>
      <c r="B48" s="891">
        <v>0.05</v>
      </c>
      <c r="C48" s="102" t="s">
        <v>72</v>
      </c>
      <c r="D48" s="103">
        <v>0</v>
      </c>
      <c r="E48" s="103">
        <v>0</v>
      </c>
      <c r="F48" s="103">
        <v>0</v>
      </c>
      <c r="G48" s="103">
        <v>0</v>
      </c>
      <c r="H48" s="103">
        <v>0</v>
      </c>
      <c r="I48" s="103">
        <v>0</v>
      </c>
      <c r="J48" s="103">
        <v>0.2</v>
      </c>
      <c r="K48" s="712">
        <v>0.2</v>
      </c>
      <c r="L48" s="103">
        <v>0.2</v>
      </c>
      <c r="M48" s="103">
        <v>0.2</v>
      </c>
      <c r="N48" s="103">
        <v>0.1</v>
      </c>
      <c r="O48" s="103">
        <v>0.1</v>
      </c>
      <c r="P48" s="169">
        <f t="shared" si="1"/>
        <v>1</v>
      </c>
      <c r="Q48" s="916" t="s">
        <v>115</v>
      </c>
      <c r="R48" s="893"/>
      <c r="S48" s="893"/>
      <c r="T48" s="893"/>
      <c r="U48" s="893"/>
      <c r="V48" s="893"/>
      <c r="W48" s="893"/>
      <c r="X48" s="893"/>
      <c r="Y48" s="893"/>
      <c r="Z48" s="893"/>
      <c r="AA48" s="893"/>
      <c r="AB48" s="893"/>
      <c r="AC48" s="893"/>
      <c r="AD48" s="894"/>
      <c r="AE48" s="523">
        <f>LEN(Q48)</f>
        <v>817</v>
      </c>
      <c r="AF48" s="523"/>
      <c r="AG48" s="523"/>
      <c r="AH48" s="523"/>
    </row>
    <row r="49" spans="1:34" ht="72.75" customHeight="1">
      <c r="A49" s="890"/>
      <c r="B49" s="891"/>
      <c r="C49" s="99" t="s">
        <v>84</v>
      </c>
      <c r="D49" s="100">
        <v>0</v>
      </c>
      <c r="E49" s="100">
        <v>0</v>
      </c>
      <c r="F49" s="100">
        <v>0</v>
      </c>
      <c r="G49" s="100">
        <v>0</v>
      </c>
      <c r="H49" s="100">
        <v>0</v>
      </c>
      <c r="I49" s="100">
        <v>0</v>
      </c>
      <c r="J49" s="100">
        <v>0.2</v>
      </c>
      <c r="K49" s="711">
        <v>0.2</v>
      </c>
      <c r="L49" s="100"/>
      <c r="M49" s="100"/>
      <c r="N49" s="100"/>
      <c r="O49" s="100"/>
      <c r="P49" s="169">
        <f t="shared" si="1"/>
        <v>0.4</v>
      </c>
      <c r="Q49" s="895"/>
      <c r="R49" s="896"/>
      <c r="S49" s="896"/>
      <c r="T49" s="896"/>
      <c r="U49" s="896"/>
      <c r="V49" s="896"/>
      <c r="W49" s="896"/>
      <c r="X49" s="896"/>
      <c r="Y49" s="896"/>
      <c r="Z49" s="896"/>
      <c r="AA49" s="896"/>
      <c r="AB49" s="896"/>
      <c r="AC49" s="896"/>
      <c r="AD49" s="897"/>
      <c r="AE49" s="97"/>
      <c r="AF49" s="97"/>
      <c r="AG49" s="97"/>
      <c r="AH49" s="97"/>
    </row>
    <row r="50" spans="1:34">
      <c r="A50" s="50" t="s">
        <v>116</v>
      </c>
    </row>
    <row r="51" spans="1:34">
      <c r="B51" s="365">
        <f>SUM(B38:B50)</f>
        <v>0.3</v>
      </c>
    </row>
  </sheetData>
  <mergeCells count="86">
    <mergeCell ref="A48:A49"/>
    <mergeCell ref="B48:B49"/>
    <mergeCell ref="Q48:AD49"/>
    <mergeCell ref="B46:B47"/>
    <mergeCell ref="Q42:AD43"/>
    <mergeCell ref="Q44:AD45"/>
    <mergeCell ref="Q46:AD47"/>
    <mergeCell ref="A44:A45"/>
    <mergeCell ref="B44:B45"/>
    <mergeCell ref="A46:A47"/>
    <mergeCell ref="A40:A41"/>
    <mergeCell ref="B40:B41"/>
    <mergeCell ref="Q40:AD41"/>
    <mergeCell ref="A42:A43"/>
    <mergeCell ref="B42:B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7:P7"/>
    <mergeCell ref="M8:N8"/>
    <mergeCell ref="O8:P8"/>
    <mergeCell ref="M9:N9"/>
    <mergeCell ref="O9:P9"/>
    <mergeCell ref="A11:B13"/>
    <mergeCell ref="C11:AD13"/>
    <mergeCell ref="A7:B9"/>
    <mergeCell ref="C7:C9"/>
    <mergeCell ref="D7:H9"/>
    <mergeCell ref="I7:J9"/>
    <mergeCell ref="K7:L9"/>
    <mergeCell ref="M7:N7"/>
    <mergeCell ref="A1:A4"/>
    <mergeCell ref="B1:AA1"/>
    <mergeCell ref="AB1:AD1"/>
    <mergeCell ref="B2:AA2"/>
    <mergeCell ref="AB2:AD2"/>
    <mergeCell ref="B3:AA4"/>
    <mergeCell ref="AB3:AD3"/>
    <mergeCell ref="AB4:AD4"/>
  </mergeCells>
  <dataValidations count="3">
    <dataValidation type="list" allowBlank="1" showInputMessage="1" showErrorMessage="1" sqref="WVN983047:WVN983049 JB7:JB9 SX7:SX9 ACT7:ACT9 AMP7:AMP9 AWL7:AWL9 BGH7:BGH9 BQD7:BQD9 BZZ7:BZZ9 CJV7:CJV9 CTR7:CTR9 DDN7:DDN9 DNJ7:DNJ9 DXF7:DXF9 EHB7:EHB9 EQX7:EQX9 FAT7:FAT9 FKP7:FKP9 FUL7:FUL9 GEH7:GEH9 GOD7:GOD9 GXZ7:GXZ9 HHV7:HHV9 HRR7:HRR9 IBN7:IBN9 ILJ7:ILJ9 IVF7:IVF9 JFB7:JFB9 JOX7:JOX9 JYT7:JYT9 KIP7:KIP9 KSL7:KSL9 LCH7:LCH9 LMD7:LMD9 LVZ7:LVZ9 MFV7:MFV9 MPR7:MPR9 MZN7:MZN9 NJJ7:NJJ9 NTF7:NTF9 ODB7:ODB9 OMX7:OMX9 OWT7:OWT9 PGP7:PGP9 PQL7:PQL9 QAH7:QAH9 QKD7:QKD9 QTZ7:QTZ9 RDV7:RDV9 RNR7:RNR9 RXN7:RXN9 SHJ7:SHJ9 SRF7:SRF9 TBB7:TBB9 TKX7:TKX9 TUT7:TUT9 UEP7:UEP9 UOL7:UOL9 UYH7:UYH9 VID7:VID9 VRZ7:VRZ9 WBV7:WBV9 WLR7:WLR9 WVN7:WVN9 C65543:C65545 JB65543:JB65545 SX65543:SX65545 ACT65543:ACT65545 AMP65543:AMP65545 AWL65543:AWL65545 BGH65543:BGH65545 BQD65543:BQD65545 BZZ65543:BZZ65545 CJV65543:CJV65545 CTR65543:CTR65545 DDN65543:DDN65545 DNJ65543:DNJ65545 DXF65543:DXF65545 EHB65543:EHB65545 EQX65543:EQX65545 FAT65543:FAT65545 FKP65543:FKP65545 FUL65543:FUL65545 GEH65543:GEH65545 GOD65543:GOD65545 GXZ65543:GXZ65545 HHV65543:HHV65545 HRR65543:HRR65545 IBN65543:IBN65545 ILJ65543:ILJ65545 IVF65543:IVF65545 JFB65543:JFB65545 JOX65543:JOX65545 JYT65543:JYT65545 KIP65543:KIP65545 KSL65543:KSL65545 LCH65543:LCH65545 LMD65543:LMD65545 LVZ65543:LVZ65545 MFV65543:MFV65545 MPR65543:MPR65545 MZN65543:MZN65545 NJJ65543:NJJ65545 NTF65543:NTF65545 ODB65543:ODB65545 OMX65543:OMX65545 OWT65543:OWT65545 PGP65543:PGP65545 PQL65543:PQL65545 QAH65543:QAH65545 QKD65543:QKD65545 QTZ65543:QTZ65545 RDV65543:RDV65545 RNR65543:RNR65545 RXN65543:RXN65545 SHJ65543:SHJ65545 SRF65543:SRF65545 TBB65543:TBB65545 TKX65543:TKX65545 TUT65543:TUT65545 UEP65543:UEP65545 UOL65543:UOL65545 UYH65543:UYH65545 VID65543:VID65545 VRZ65543:VRZ65545 WBV65543:WBV65545 WLR65543:WLR65545 WVN65543:WVN65545 C131079:C131081 JB131079:JB131081 SX131079:SX131081 ACT131079:ACT131081 AMP131079:AMP131081 AWL131079:AWL131081 BGH131079:BGH131081 BQD131079:BQD131081 BZZ131079:BZZ131081 CJV131079:CJV131081 CTR131079:CTR131081 DDN131079:DDN131081 DNJ131079:DNJ131081 DXF131079:DXF131081 EHB131079:EHB131081 EQX131079:EQX131081 FAT131079:FAT131081 FKP131079:FKP131081 FUL131079:FUL131081 GEH131079:GEH131081 GOD131079:GOD131081 GXZ131079:GXZ131081 HHV131079:HHV131081 HRR131079:HRR131081 IBN131079:IBN131081 ILJ131079:ILJ131081 IVF131079:IVF131081 JFB131079:JFB131081 JOX131079:JOX131081 JYT131079:JYT131081 KIP131079:KIP131081 KSL131079:KSL131081 LCH131079:LCH131081 LMD131079:LMD131081 LVZ131079:LVZ131081 MFV131079:MFV131081 MPR131079:MPR131081 MZN131079:MZN131081 NJJ131079:NJJ131081 NTF131079:NTF131081 ODB131079:ODB131081 OMX131079:OMX131081 OWT131079:OWT131081 PGP131079:PGP131081 PQL131079:PQL131081 QAH131079:QAH131081 QKD131079:QKD131081 QTZ131079:QTZ131081 RDV131079:RDV131081 RNR131079:RNR131081 RXN131079:RXN131081 SHJ131079:SHJ131081 SRF131079:SRF131081 TBB131079:TBB131081 TKX131079:TKX131081 TUT131079:TUT131081 UEP131079:UEP131081 UOL131079:UOL131081 UYH131079:UYH131081 VID131079:VID131081 VRZ131079:VRZ131081 WBV131079:WBV131081 WLR131079:WLR131081 WVN131079:WVN131081 C196615:C196617 JB196615:JB196617 SX196615:SX196617 ACT196615:ACT196617 AMP196615:AMP196617 AWL196615:AWL196617 BGH196615:BGH196617 BQD196615:BQD196617 BZZ196615:BZZ196617 CJV196615:CJV196617 CTR196615:CTR196617 DDN196615:DDN196617 DNJ196615:DNJ196617 DXF196615:DXF196617 EHB196615:EHB196617 EQX196615:EQX196617 FAT196615:FAT196617 FKP196615:FKP196617 FUL196615:FUL196617 GEH196615:GEH196617 GOD196615:GOD196617 GXZ196615:GXZ196617 HHV196615:HHV196617 HRR196615:HRR196617 IBN196615:IBN196617 ILJ196615:ILJ196617 IVF196615:IVF196617 JFB196615:JFB196617 JOX196615:JOX196617 JYT196615:JYT196617 KIP196615:KIP196617 KSL196615:KSL196617 LCH196615:LCH196617 LMD196615:LMD196617 LVZ196615:LVZ196617 MFV196615:MFV196617 MPR196615:MPR196617 MZN196615:MZN196617 NJJ196615:NJJ196617 NTF196615:NTF196617 ODB196615:ODB196617 OMX196615:OMX196617 OWT196615:OWT196617 PGP196615:PGP196617 PQL196615:PQL196617 QAH196615:QAH196617 QKD196615:QKD196617 QTZ196615:QTZ196617 RDV196615:RDV196617 RNR196615:RNR196617 RXN196615:RXN196617 SHJ196615:SHJ196617 SRF196615:SRF196617 TBB196615:TBB196617 TKX196615:TKX196617 TUT196615:TUT196617 UEP196615:UEP196617 UOL196615:UOL196617 UYH196615:UYH196617 VID196615:VID196617 VRZ196615:VRZ196617 WBV196615:WBV196617 WLR196615:WLR196617 WVN196615:WVN196617 C262151:C262153 JB262151:JB262153 SX262151:SX262153 ACT262151:ACT262153 AMP262151:AMP262153 AWL262151:AWL262153 BGH262151:BGH262153 BQD262151:BQD262153 BZZ262151:BZZ262153 CJV262151:CJV262153 CTR262151:CTR262153 DDN262151:DDN262153 DNJ262151:DNJ262153 DXF262151:DXF262153 EHB262151:EHB262153 EQX262151:EQX262153 FAT262151:FAT262153 FKP262151:FKP262153 FUL262151:FUL262153 GEH262151:GEH262153 GOD262151:GOD262153 GXZ262151:GXZ262153 HHV262151:HHV262153 HRR262151:HRR262153 IBN262151:IBN262153 ILJ262151:ILJ262153 IVF262151:IVF262153 JFB262151:JFB262153 JOX262151:JOX262153 JYT262151:JYT262153 KIP262151:KIP262153 KSL262151:KSL262153 LCH262151:LCH262153 LMD262151:LMD262153 LVZ262151:LVZ262153 MFV262151:MFV262153 MPR262151:MPR262153 MZN262151:MZN262153 NJJ262151:NJJ262153 NTF262151:NTF262153 ODB262151:ODB262153 OMX262151:OMX262153 OWT262151:OWT262153 PGP262151:PGP262153 PQL262151:PQL262153 QAH262151:QAH262153 QKD262151:QKD262153 QTZ262151:QTZ262153 RDV262151:RDV262153 RNR262151:RNR262153 RXN262151:RXN262153 SHJ262151:SHJ262153 SRF262151:SRF262153 TBB262151:TBB262153 TKX262151:TKX262153 TUT262151:TUT262153 UEP262151:UEP262153 UOL262151:UOL262153 UYH262151:UYH262153 VID262151:VID262153 VRZ262151:VRZ262153 WBV262151:WBV262153 WLR262151:WLR262153 WVN262151:WVN262153 C327687:C327689 JB327687:JB327689 SX327687:SX327689 ACT327687:ACT327689 AMP327687:AMP327689 AWL327687:AWL327689 BGH327687:BGH327689 BQD327687:BQD327689 BZZ327687:BZZ327689 CJV327687:CJV327689 CTR327687:CTR327689 DDN327687:DDN327689 DNJ327687:DNJ327689 DXF327687:DXF327689 EHB327687:EHB327689 EQX327687:EQX327689 FAT327687:FAT327689 FKP327687:FKP327689 FUL327687:FUL327689 GEH327687:GEH327689 GOD327687:GOD327689 GXZ327687:GXZ327689 HHV327687:HHV327689 HRR327687:HRR327689 IBN327687:IBN327689 ILJ327687:ILJ327689 IVF327687:IVF327689 JFB327687:JFB327689 JOX327687:JOX327689 JYT327687:JYT327689 KIP327687:KIP327689 KSL327687:KSL327689 LCH327687:LCH327689 LMD327687:LMD327689 LVZ327687:LVZ327689 MFV327687:MFV327689 MPR327687:MPR327689 MZN327687:MZN327689 NJJ327687:NJJ327689 NTF327687:NTF327689 ODB327687:ODB327689 OMX327687:OMX327689 OWT327687:OWT327689 PGP327687:PGP327689 PQL327687:PQL327689 QAH327687:QAH327689 QKD327687:QKD327689 QTZ327687:QTZ327689 RDV327687:RDV327689 RNR327687:RNR327689 RXN327687:RXN327689 SHJ327687:SHJ327689 SRF327687:SRF327689 TBB327687:TBB327689 TKX327687:TKX327689 TUT327687:TUT327689 UEP327687:UEP327689 UOL327687:UOL327689 UYH327687:UYH327689 VID327687:VID327689 VRZ327687:VRZ327689 WBV327687:WBV327689 WLR327687:WLR327689 WVN327687:WVN327689 C393223:C393225 JB393223:JB393225 SX393223:SX393225 ACT393223:ACT393225 AMP393223:AMP393225 AWL393223:AWL393225 BGH393223:BGH393225 BQD393223:BQD393225 BZZ393223:BZZ393225 CJV393223:CJV393225 CTR393223:CTR393225 DDN393223:DDN393225 DNJ393223:DNJ393225 DXF393223:DXF393225 EHB393223:EHB393225 EQX393223:EQX393225 FAT393223:FAT393225 FKP393223:FKP393225 FUL393223:FUL393225 GEH393223:GEH393225 GOD393223:GOD393225 GXZ393223:GXZ393225 HHV393223:HHV393225 HRR393223:HRR393225 IBN393223:IBN393225 ILJ393223:ILJ393225 IVF393223:IVF393225 JFB393223:JFB393225 JOX393223:JOX393225 JYT393223:JYT393225 KIP393223:KIP393225 KSL393223:KSL393225 LCH393223:LCH393225 LMD393223:LMD393225 LVZ393223:LVZ393225 MFV393223:MFV393225 MPR393223:MPR393225 MZN393223:MZN393225 NJJ393223:NJJ393225 NTF393223:NTF393225 ODB393223:ODB393225 OMX393223:OMX393225 OWT393223:OWT393225 PGP393223:PGP393225 PQL393223:PQL393225 QAH393223:QAH393225 QKD393223:QKD393225 QTZ393223:QTZ393225 RDV393223:RDV393225 RNR393223:RNR393225 RXN393223:RXN393225 SHJ393223:SHJ393225 SRF393223:SRF393225 TBB393223:TBB393225 TKX393223:TKX393225 TUT393223:TUT393225 UEP393223:UEP393225 UOL393223:UOL393225 UYH393223:UYH393225 VID393223:VID393225 VRZ393223:VRZ393225 WBV393223:WBV393225 WLR393223:WLR393225 WVN393223:WVN393225 C458759:C458761 JB458759:JB458761 SX458759:SX458761 ACT458759:ACT458761 AMP458759:AMP458761 AWL458759:AWL458761 BGH458759:BGH458761 BQD458759:BQD458761 BZZ458759:BZZ458761 CJV458759:CJV458761 CTR458759:CTR458761 DDN458759:DDN458761 DNJ458759:DNJ458761 DXF458759:DXF458761 EHB458759:EHB458761 EQX458759:EQX458761 FAT458759:FAT458761 FKP458759:FKP458761 FUL458759:FUL458761 GEH458759:GEH458761 GOD458759:GOD458761 GXZ458759:GXZ458761 HHV458759:HHV458761 HRR458759:HRR458761 IBN458759:IBN458761 ILJ458759:ILJ458761 IVF458759:IVF458761 JFB458759:JFB458761 JOX458759:JOX458761 JYT458759:JYT458761 KIP458759:KIP458761 KSL458759:KSL458761 LCH458759:LCH458761 LMD458759:LMD458761 LVZ458759:LVZ458761 MFV458759:MFV458761 MPR458759:MPR458761 MZN458759:MZN458761 NJJ458759:NJJ458761 NTF458759:NTF458761 ODB458759:ODB458761 OMX458759:OMX458761 OWT458759:OWT458761 PGP458759:PGP458761 PQL458759:PQL458761 QAH458759:QAH458761 QKD458759:QKD458761 QTZ458759:QTZ458761 RDV458759:RDV458761 RNR458759:RNR458761 RXN458759:RXN458761 SHJ458759:SHJ458761 SRF458759:SRF458761 TBB458759:TBB458761 TKX458759:TKX458761 TUT458759:TUT458761 UEP458759:UEP458761 UOL458759:UOL458761 UYH458759:UYH458761 VID458759:VID458761 VRZ458759:VRZ458761 WBV458759:WBV458761 WLR458759:WLR458761 WVN458759:WVN458761 C524295:C524297 JB524295:JB524297 SX524295:SX524297 ACT524295:ACT524297 AMP524295:AMP524297 AWL524295:AWL524297 BGH524295:BGH524297 BQD524295:BQD524297 BZZ524295:BZZ524297 CJV524295:CJV524297 CTR524295:CTR524297 DDN524295:DDN524297 DNJ524295:DNJ524297 DXF524295:DXF524297 EHB524295:EHB524297 EQX524295:EQX524297 FAT524295:FAT524297 FKP524295:FKP524297 FUL524295:FUL524297 GEH524295:GEH524297 GOD524295:GOD524297 GXZ524295:GXZ524297 HHV524295:HHV524297 HRR524295:HRR524297 IBN524295:IBN524297 ILJ524295:ILJ524297 IVF524295:IVF524297 JFB524295:JFB524297 JOX524295:JOX524297 JYT524295:JYT524297 KIP524295:KIP524297 KSL524295:KSL524297 LCH524295:LCH524297 LMD524295:LMD524297 LVZ524295:LVZ524297 MFV524295:MFV524297 MPR524295:MPR524297 MZN524295:MZN524297 NJJ524295:NJJ524297 NTF524295:NTF524297 ODB524295:ODB524297 OMX524295:OMX524297 OWT524295:OWT524297 PGP524295:PGP524297 PQL524295:PQL524297 QAH524295:QAH524297 QKD524295:QKD524297 QTZ524295:QTZ524297 RDV524295:RDV524297 RNR524295:RNR524297 RXN524295:RXN524297 SHJ524295:SHJ524297 SRF524295:SRF524297 TBB524295:TBB524297 TKX524295:TKX524297 TUT524295:TUT524297 UEP524295:UEP524297 UOL524295:UOL524297 UYH524295:UYH524297 VID524295:VID524297 VRZ524295:VRZ524297 WBV524295:WBV524297 WLR524295:WLR524297 WVN524295:WVN524297 C589831:C589833 JB589831:JB589833 SX589831:SX589833 ACT589831:ACT589833 AMP589831:AMP589833 AWL589831:AWL589833 BGH589831:BGH589833 BQD589831:BQD589833 BZZ589831:BZZ589833 CJV589831:CJV589833 CTR589831:CTR589833 DDN589831:DDN589833 DNJ589831:DNJ589833 DXF589831:DXF589833 EHB589831:EHB589833 EQX589831:EQX589833 FAT589831:FAT589833 FKP589831:FKP589833 FUL589831:FUL589833 GEH589831:GEH589833 GOD589831:GOD589833 GXZ589831:GXZ589833 HHV589831:HHV589833 HRR589831:HRR589833 IBN589831:IBN589833 ILJ589831:ILJ589833 IVF589831:IVF589833 JFB589831:JFB589833 JOX589831:JOX589833 JYT589831:JYT589833 KIP589831:KIP589833 KSL589831:KSL589833 LCH589831:LCH589833 LMD589831:LMD589833 LVZ589831:LVZ589833 MFV589831:MFV589833 MPR589831:MPR589833 MZN589831:MZN589833 NJJ589831:NJJ589833 NTF589831:NTF589833 ODB589831:ODB589833 OMX589831:OMX589833 OWT589831:OWT589833 PGP589831:PGP589833 PQL589831:PQL589833 QAH589831:QAH589833 QKD589831:QKD589833 QTZ589831:QTZ589833 RDV589831:RDV589833 RNR589831:RNR589833 RXN589831:RXN589833 SHJ589831:SHJ589833 SRF589831:SRF589833 TBB589831:TBB589833 TKX589831:TKX589833 TUT589831:TUT589833 UEP589831:UEP589833 UOL589831:UOL589833 UYH589831:UYH589833 VID589831:VID589833 VRZ589831:VRZ589833 WBV589831:WBV589833 WLR589831:WLR589833 WVN589831:WVN589833 C655367:C655369 JB655367:JB655369 SX655367:SX655369 ACT655367:ACT655369 AMP655367:AMP655369 AWL655367:AWL655369 BGH655367:BGH655369 BQD655367:BQD655369 BZZ655367:BZZ655369 CJV655367:CJV655369 CTR655367:CTR655369 DDN655367:DDN655369 DNJ655367:DNJ655369 DXF655367:DXF655369 EHB655367:EHB655369 EQX655367:EQX655369 FAT655367:FAT655369 FKP655367:FKP655369 FUL655367:FUL655369 GEH655367:GEH655369 GOD655367:GOD655369 GXZ655367:GXZ655369 HHV655367:HHV655369 HRR655367:HRR655369 IBN655367:IBN655369 ILJ655367:ILJ655369 IVF655367:IVF655369 JFB655367:JFB655369 JOX655367:JOX655369 JYT655367:JYT655369 KIP655367:KIP655369 KSL655367:KSL655369 LCH655367:LCH655369 LMD655367:LMD655369 LVZ655367:LVZ655369 MFV655367:MFV655369 MPR655367:MPR655369 MZN655367:MZN655369 NJJ655367:NJJ655369 NTF655367:NTF655369 ODB655367:ODB655369 OMX655367:OMX655369 OWT655367:OWT655369 PGP655367:PGP655369 PQL655367:PQL655369 QAH655367:QAH655369 QKD655367:QKD655369 QTZ655367:QTZ655369 RDV655367:RDV655369 RNR655367:RNR655369 RXN655367:RXN655369 SHJ655367:SHJ655369 SRF655367:SRF655369 TBB655367:TBB655369 TKX655367:TKX655369 TUT655367:TUT655369 UEP655367:UEP655369 UOL655367:UOL655369 UYH655367:UYH655369 VID655367:VID655369 VRZ655367:VRZ655369 WBV655367:WBV655369 WLR655367:WLR655369 WVN655367:WVN655369 C720903:C720905 JB720903:JB720905 SX720903:SX720905 ACT720903:ACT720905 AMP720903:AMP720905 AWL720903:AWL720905 BGH720903:BGH720905 BQD720903:BQD720905 BZZ720903:BZZ720905 CJV720903:CJV720905 CTR720903:CTR720905 DDN720903:DDN720905 DNJ720903:DNJ720905 DXF720903:DXF720905 EHB720903:EHB720905 EQX720903:EQX720905 FAT720903:FAT720905 FKP720903:FKP720905 FUL720903:FUL720905 GEH720903:GEH720905 GOD720903:GOD720905 GXZ720903:GXZ720905 HHV720903:HHV720905 HRR720903:HRR720905 IBN720903:IBN720905 ILJ720903:ILJ720905 IVF720903:IVF720905 JFB720903:JFB720905 JOX720903:JOX720905 JYT720903:JYT720905 KIP720903:KIP720905 KSL720903:KSL720905 LCH720903:LCH720905 LMD720903:LMD720905 LVZ720903:LVZ720905 MFV720903:MFV720905 MPR720903:MPR720905 MZN720903:MZN720905 NJJ720903:NJJ720905 NTF720903:NTF720905 ODB720903:ODB720905 OMX720903:OMX720905 OWT720903:OWT720905 PGP720903:PGP720905 PQL720903:PQL720905 QAH720903:QAH720905 QKD720903:QKD720905 QTZ720903:QTZ720905 RDV720903:RDV720905 RNR720903:RNR720905 RXN720903:RXN720905 SHJ720903:SHJ720905 SRF720903:SRF720905 TBB720903:TBB720905 TKX720903:TKX720905 TUT720903:TUT720905 UEP720903:UEP720905 UOL720903:UOL720905 UYH720903:UYH720905 VID720903:VID720905 VRZ720903:VRZ720905 WBV720903:WBV720905 WLR720903:WLR720905 WVN720903:WVN720905 C786439:C786441 JB786439:JB786441 SX786439:SX786441 ACT786439:ACT786441 AMP786439:AMP786441 AWL786439:AWL786441 BGH786439:BGH786441 BQD786439:BQD786441 BZZ786439:BZZ786441 CJV786439:CJV786441 CTR786439:CTR786441 DDN786439:DDN786441 DNJ786439:DNJ786441 DXF786439:DXF786441 EHB786439:EHB786441 EQX786439:EQX786441 FAT786439:FAT786441 FKP786439:FKP786441 FUL786439:FUL786441 GEH786439:GEH786441 GOD786439:GOD786441 GXZ786439:GXZ786441 HHV786439:HHV786441 HRR786439:HRR786441 IBN786439:IBN786441 ILJ786439:ILJ786441 IVF786439:IVF786441 JFB786439:JFB786441 JOX786439:JOX786441 JYT786439:JYT786441 KIP786439:KIP786441 KSL786439:KSL786441 LCH786439:LCH786441 LMD786439:LMD786441 LVZ786439:LVZ786441 MFV786439:MFV786441 MPR786439:MPR786441 MZN786439:MZN786441 NJJ786439:NJJ786441 NTF786439:NTF786441 ODB786439:ODB786441 OMX786439:OMX786441 OWT786439:OWT786441 PGP786439:PGP786441 PQL786439:PQL786441 QAH786439:QAH786441 QKD786439:QKD786441 QTZ786439:QTZ786441 RDV786439:RDV786441 RNR786439:RNR786441 RXN786439:RXN786441 SHJ786439:SHJ786441 SRF786439:SRF786441 TBB786439:TBB786441 TKX786439:TKX786441 TUT786439:TUT786441 UEP786439:UEP786441 UOL786439:UOL786441 UYH786439:UYH786441 VID786439:VID786441 VRZ786439:VRZ786441 WBV786439:WBV786441 WLR786439:WLR786441 WVN786439:WVN786441 C851975:C851977 JB851975:JB851977 SX851975:SX851977 ACT851975:ACT851977 AMP851975:AMP851977 AWL851975:AWL851977 BGH851975:BGH851977 BQD851975:BQD851977 BZZ851975:BZZ851977 CJV851975:CJV851977 CTR851975:CTR851977 DDN851975:DDN851977 DNJ851975:DNJ851977 DXF851975:DXF851977 EHB851975:EHB851977 EQX851975:EQX851977 FAT851975:FAT851977 FKP851975:FKP851977 FUL851975:FUL851977 GEH851975:GEH851977 GOD851975:GOD851977 GXZ851975:GXZ851977 HHV851975:HHV851977 HRR851975:HRR851977 IBN851975:IBN851977 ILJ851975:ILJ851977 IVF851975:IVF851977 JFB851975:JFB851977 JOX851975:JOX851977 JYT851975:JYT851977 KIP851975:KIP851977 KSL851975:KSL851977 LCH851975:LCH851977 LMD851975:LMD851977 LVZ851975:LVZ851977 MFV851975:MFV851977 MPR851975:MPR851977 MZN851975:MZN851977 NJJ851975:NJJ851977 NTF851975:NTF851977 ODB851975:ODB851977 OMX851975:OMX851977 OWT851975:OWT851977 PGP851975:PGP851977 PQL851975:PQL851977 QAH851975:QAH851977 QKD851975:QKD851977 QTZ851975:QTZ851977 RDV851975:RDV851977 RNR851975:RNR851977 RXN851975:RXN851977 SHJ851975:SHJ851977 SRF851975:SRF851977 TBB851975:TBB851977 TKX851975:TKX851977 TUT851975:TUT851977 UEP851975:UEP851977 UOL851975:UOL851977 UYH851975:UYH851977 VID851975:VID851977 VRZ851975:VRZ851977 WBV851975:WBV851977 WLR851975:WLR851977 WVN851975:WVN851977 C917511:C917513 JB917511:JB917513 SX917511:SX917513 ACT917511:ACT917513 AMP917511:AMP917513 AWL917511:AWL917513 BGH917511:BGH917513 BQD917511:BQD917513 BZZ917511:BZZ917513 CJV917511:CJV917513 CTR917511:CTR917513 DDN917511:DDN917513 DNJ917511:DNJ917513 DXF917511:DXF917513 EHB917511:EHB917513 EQX917511:EQX917513 FAT917511:FAT917513 FKP917511:FKP917513 FUL917511:FUL917513 GEH917511:GEH917513 GOD917511:GOD917513 GXZ917511:GXZ917513 HHV917511:HHV917513 HRR917511:HRR917513 IBN917511:IBN917513 ILJ917511:ILJ917513 IVF917511:IVF917513 JFB917511:JFB917513 JOX917511:JOX917513 JYT917511:JYT917513 KIP917511:KIP917513 KSL917511:KSL917513 LCH917511:LCH917513 LMD917511:LMD917513 LVZ917511:LVZ917513 MFV917511:MFV917513 MPR917511:MPR917513 MZN917511:MZN917513 NJJ917511:NJJ917513 NTF917511:NTF917513 ODB917511:ODB917513 OMX917511:OMX917513 OWT917511:OWT917513 PGP917511:PGP917513 PQL917511:PQL917513 QAH917511:QAH917513 QKD917511:QKD917513 QTZ917511:QTZ917513 RDV917511:RDV917513 RNR917511:RNR917513 RXN917511:RXN917513 SHJ917511:SHJ917513 SRF917511:SRF917513 TBB917511:TBB917513 TKX917511:TKX917513 TUT917511:TUT917513 UEP917511:UEP917513 UOL917511:UOL917513 UYH917511:UYH917513 VID917511:VID917513 VRZ917511:VRZ917513 WBV917511:WBV917513 WLR917511:WLR917513 WVN917511:WVN917513 C983047:C983049 JB983047:JB983049 SX983047:SX983049 ACT983047:ACT983049 AMP983047:AMP983049 AWL983047:AWL983049 BGH983047:BGH983049 BQD983047:BQD983049 BZZ983047:BZZ983049 CJV983047:CJV983049 CTR983047:CTR983049 DDN983047:DDN983049 DNJ983047:DNJ983049 DXF983047:DXF983049 EHB983047:EHB983049 EQX983047:EQX983049 FAT983047:FAT983049 FKP983047:FKP983049 FUL983047:FUL983049 GEH983047:GEH983049 GOD983047:GOD983049 GXZ983047:GXZ983049 HHV983047:HHV983049 HRR983047:HRR983049 IBN983047:IBN983049 ILJ983047:ILJ983049 IVF983047:IVF983049 JFB983047:JFB983049 JOX983047:JOX983049 JYT983047:JYT983049 KIP983047:KIP983049 KSL983047:KSL983049 LCH983047:LCH983049 LMD983047:LMD983049 LVZ983047:LVZ983049 MFV983047:MFV983049 MPR983047:MPR983049 MZN983047:MZN983049 NJJ983047:NJJ983049 NTF983047:NTF983049 ODB983047:ODB983049 OMX983047:OMX983049 OWT983047:OWT983049 PGP983047:PGP983049 PQL983047:PQL983049 QAH983047:QAH983049 QKD983047:QKD983049 QTZ983047:QTZ983049 RDV983047:RDV983049 RNR983047:RNR983049 RXN983047:RXN983049 SHJ983047:SHJ983049 SRF983047:SRF983049 TBB983047:TBB983049 TKX983047:TKX983049 TUT983047:TUT983049 UEP983047:UEP983049 UOL983047:UOL983049 UYH983047:UYH983049 VID983047:VID983049 VRZ983047:VRZ983049 WBV983047:WBV983049 WLR983047:WLR983049 C7:C9" xr:uid="{C8C0CB72-B586-4CED-B9C6-7495484DF52D}">
      <formula1>$C$21:$N$21</formula1>
    </dataValidation>
    <dataValidation type="textLength" operator="lessThanOrEqual" allowBlank="1" showInputMessage="1" showErrorMessage="1" errorTitle="Máximo 2.000 caracteres" error="Máximo 2.000 caracteres" promptTitle="2.000 caracteres" sqref="Q983070:AD983070 JP983070:KC983070 TL983070:TY983070 ADH983070:ADU983070 AND983070:ANQ983070 AWZ983070:AXM983070 BGV983070:BHI983070 BQR983070:BRE983070 CAN983070:CBA983070 CKJ983070:CKW983070 CUF983070:CUS983070 DEB983070:DEO983070 DNX983070:DOK983070 DXT983070:DYG983070 EHP983070:EIC983070 ERL983070:ERY983070 FBH983070:FBU983070 FLD983070:FLQ983070 FUZ983070:FVM983070 GEV983070:GFI983070 GOR983070:GPE983070 GYN983070:GZA983070 HIJ983070:HIW983070 HSF983070:HSS983070 ICB983070:ICO983070 ILX983070:IMK983070 IVT983070:IWG983070 JFP983070:JGC983070 JPL983070:JPY983070 JZH983070:JZU983070 KJD983070:KJQ983070 KSZ983070:KTM983070 LCV983070:LDI983070 LMR983070:LNE983070 LWN983070:LXA983070 MGJ983070:MGW983070 MQF983070:MQS983070 NAB983070:NAO983070 NJX983070:NKK983070 NTT983070:NUG983070 ODP983070:OEC983070 ONL983070:ONY983070 OXH983070:OXU983070 PHD983070:PHQ983070 PQZ983070:PRM983070 QAV983070:QBI983070 QKR983070:QLE983070 QUN983070:QVA983070 REJ983070:REW983070 ROF983070:ROS983070 RYB983070:RYO983070 SHX983070:SIK983070 SRT983070:SSG983070 TBP983070:TCC983070 TLL983070:TLY983070 TVH983070:TVU983070 UFD983070:UFQ983070 UOZ983070:UPM983070 UYV983070:UZI983070 VIR983070:VJE983070 VSN983070:VTA983070 WCJ983070:WCW983070 WMF983070:WMS983070 WWB983070:WWO983070 Q65566:AD65566 JP65566:KC65566 TL65566:TY65566 ADH65566:ADU65566 AND65566:ANQ65566 AWZ65566:AXM65566 BGV65566:BHI65566 BQR65566:BRE65566 CAN65566:CBA65566 CKJ65566:CKW65566 CUF65566:CUS65566 DEB65566:DEO65566 DNX65566:DOK65566 DXT65566:DYG65566 EHP65566:EIC65566 ERL65566:ERY65566 FBH65566:FBU65566 FLD65566:FLQ65566 FUZ65566:FVM65566 GEV65566:GFI65566 GOR65566:GPE65566 GYN65566:GZA65566 HIJ65566:HIW65566 HSF65566:HSS65566 ICB65566:ICO65566 ILX65566:IMK65566 IVT65566:IWG65566 JFP65566:JGC65566 JPL65566:JPY65566 JZH65566:JZU65566 KJD65566:KJQ65566 KSZ65566:KTM65566 LCV65566:LDI65566 LMR65566:LNE65566 LWN65566:LXA65566 MGJ65566:MGW65566 MQF65566:MQS65566 NAB65566:NAO65566 NJX65566:NKK65566 NTT65566:NUG65566 ODP65566:OEC65566 ONL65566:ONY65566 OXH65566:OXU65566 PHD65566:PHQ65566 PQZ65566:PRM65566 QAV65566:QBI65566 QKR65566:QLE65566 QUN65566:QVA65566 REJ65566:REW65566 ROF65566:ROS65566 RYB65566:RYO65566 SHX65566:SIK65566 SRT65566:SSG65566 TBP65566:TCC65566 TLL65566:TLY65566 TVH65566:TVU65566 UFD65566:UFQ65566 UOZ65566:UPM65566 UYV65566:UZI65566 VIR65566:VJE65566 VSN65566:VTA65566 WCJ65566:WCW65566 WMF65566:WMS65566 WWB65566:WWO65566 Q131102:AD131102 JP131102:KC131102 TL131102:TY131102 ADH131102:ADU131102 AND131102:ANQ131102 AWZ131102:AXM131102 BGV131102:BHI131102 BQR131102:BRE131102 CAN131102:CBA131102 CKJ131102:CKW131102 CUF131102:CUS131102 DEB131102:DEO131102 DNX131102:DOK131102 DXT131102:DYG131102 EHP131102:EIC131102 ERL131102:ERY131102 FBH131102:FBU131102 FLD131102:FLQ131102 FUZ131102:FVM131102 GEV131102:GFI131102 GOR131102:GPE131102 GYN131102:GZA131102 HIJ131102:HIW131102 HSF131102:HSS131102 ICB131102:ICO131102 ILX131102:IMK131102 IVT131102:IWG131102 JFP131102:JGC131102 JPL131102:JPY131102 JZH131102:JZU131102 KJD131102:KJQ131102 KSZ131102:KTM131102 LCV131102:LDI131102 LMR131102:LNE131102 LWN131102:LXA131102 MGJ131102:MGW131102 MQF131102:MQS131102 NAB131102:NAO131102 NJX131102:NKK131102 NTT131102:NUG131102 ODP131102:OEC131102 ONL131102:ONY131102 OXH131102:OXU131102 PHD131102:PHQ131102 PQZ131102:PRM131102 QAV131102:QBI131102 QKR131102:QLE131102 QUN131102:QVA131102 REJ131102:REW131102 ROF131102:ROS131102 RYB131102:RYO131102 SHX131102:SIK131102 SRT131102:SSG131102 TBP131102:TCC131102 TLL131102:TLY131102 TVH131102:TVU131102 UFD131102:UFQ131102 UOZ131102:UPM131102 UYV131102:UZI131102 VIR131102:VJE131102 VSN131102:VTA131102 WCJ131102:WCW131102 WMF131102:WMS131102 WWB131102:WWO131102 Q196638:AD196638 JP196638:KC196638 TL196638:TY196638 ADH196638:ADU196638 AND196638:ANQ196638 AWZ196638:AXM196638 BGV196638:BHI196638 BQR196638:BRE196638 CAN196638:CBA196638 CKJ196638:CKW196638 CUF196638:CUS196638 DEB196638:DEO196638 DNX196638:DOK196638 DXT196638:DYG196638 EHP196638:EIC196638 ERL196638:ERY196638 FBH196638:FBU196638 FLD196638:FLQ196638 FUZ196638:FVM196638 GEV196638:GFI196638 GOR196638:GPE196638 GYN196638:GZA196638 HIJ196638:HIW196638 HSF196638:HSS196638 ICB196638:ICO196638 ILX196638:IMK196638 IVT196638:IWG196638 JFP196638:JGC196638 JPL196638:JPY196638 JZH196638:JZU196638 KJD196638:KJQ196638 KSZ196638:KTM196638 LCV196638:LDI196638 LMR196638:LNE196638 LWN196638:LXA196638 MGJ196638:MGW196638 MQF196638:MQS196638 NAB196638:NAO196638 NJX196638:NKK196638 NTT196638:NUG196638 ODP196638:OEC196638 ONL196638:ONY196638 OXH196638:OXU196638 PHD196638:PHQ196638 PQZ196638:PRM196638 QAV196638:QBI196638 QKR196638:QLE196638 QUN196638:QVA196638 REJ196638:REW196638 ROF196638:ROS196638 RYB196638:RYO196638 SHX196638:SIK196638 SRT196638:SSG196638 TBP196638:TCC196638 TLL196638:TLY196638 TVH196638:TVU196638 UFD196638:UFQ196638 UOZ196638:UPM196638 UYV196638:UZI196638 VIR196638:VJE196638 VSN196638:VTA196638 WCJ196638:WCW196638 WMF196638:WMS196638 WWB196638:WWO196638 Q262174:AD262174 JP262174:KC262174 TL262174:TY262174 ADH262174:ADU262174 AND262174:ANQ262174 AWZ262174:AXM262174 BGV262174:BHI262174 BQR262174:BRE262174 CAN262174:CBA262174 CKJ262174:CKW262174 CUF262174:CUS262174 DEB262174:DEO262174 DNX262174:DOK262174 DXT262174:DYG262174 EHP262174:EIC262174 ERL262174:ERY262174 FBH262174:FBU262174 FLD262174:FLQ262174 FUZ262174:FVM262174 GEV262174:GFI262174 GOR262174:GPE262174 GYN262174:GZA262174 HIJ262174:HIW262174 HSF262174:HSS262174 ICB262174:ICO262174 ILX262174:IMK262174 IVT262174:IWG262174 JFP262174:JGC262174 JPL262174:JPY262174 JZH262174:JZU262174 KJD262174:KJQ262174 KSZ262174:KTM262174 LCV262174:LDI262174 LMR262174:LNE262174 LWN262174:LXA262174 MGJ262174:MGW262174 MQF262174:MQS262174 NAB262174:NAO262174 NJX262174:NKK262174 NTT262174:NUG262174 ODP262174:OEC262174 ONL262174:ONY262174 OXH262174:OXU262174 PHD262174:PHQ262174 PQZ262174:PRM262174 QAV262174:QBI262174 QKR262174:QLE262174 QUN262174:QVA262174 REJ262174:REW262174 ROF262174:ROS262174 RYB262174:RYO262174 SHX262174:SIK262174 SRT262174:SSG262174 TBP262174:TCC262174 TLL262174:TLY262174 TVH262174:TVU262174 UFD262174:UFQ262174 UOZ262174:UPM262174 UYV262174:UZI262174 VIR262174:VJE262174 VSN262174:VTA262174 WCJ262174:WCW262174 WMF262174:WMS262174 WWB262174:WWO262174 Q327710:AD327710 JP327710:KC327710 TL327710:TY327710 ADH327710:ADU327710 AND327710:ANQ327710 AWZ327710:AXM327710 BGV327710:BHI327710 BQR327710:BRE327710 CAN327710:CBA327710 CKJ327710:CKW327710 CUF327710:CUS327710 DEB327710:DEO327710 DNX327710:DOK327710 DXT327710:DYG327710 EHP327710:EIC327710 ERL327710:ERY327710 FBH327710:FBU327710 FLD327710:FLQ327710 FUZ327710:FVM327710 GEV327710:GFI327710 GOR327710:GPE327710 GYN327710:GZA327710 HIJ327710:HIW327710 HSF327710:HSS327710 ICB327710:ICO327710 ILX327710:IMK327710 IVT327710:IWG327710 JFP327710:JGC327710 JPL327710:JPY327710 JZH327710:JZU327710 KJD327710:KJQ327710 KSZ327710:KTM327710 LCV327710:LDI327710 LMR327710:LNE327710 LWN327710:LXA327710 MGJ327710:MGW327710 MQF327710:MQS327710 NAB327710:NAO327710 NJX327710:NKK327710 NTT327710:NUG327710 ODP327710:OEC327710 ONL327710:ONY327710 OXH327710:OXU327710 PHD327710:PHQ327710 PQZ327710:PRM327710 QAV327710:QBI327710 QKR327710:QLE327710 QUN327710:QVA327710 REJ327710:REW327710 ROF327710:ROS327710 RYB327710:RYO327710 SHX327710:SIK327710 SRT327710:SSG327710 TBP327710:TCC327710 TLL327710:TLY327710 TVH327710:TVU327710 UFD327710:UFQ327710 UOZ327710:UPM327710 UYV327710:UZI327710 VIR327710:VJE327710 VSN327710:VTA327710 WCJ327710:WCW327710 WMF327710:WMS327710 WWB327710:WWO327710 Q393246:AD393246 JP393246:KC393246 TL393246:TY393246 ADH393246:ADU393246 AND393246:ANQ393246 AWZ393246:AXM393246 BGV393246:BHI393246 BQR393246:BRE393246 CAN393246:CBA393246 CKJ393246:CKW393246 CUF393246:CUS393246 DEB393246:DEO393246 DNX393246:DOK393246 DXT393246:DYG393246 EHP393246:EIC393246 ERL393246:ERY393246 FBH393246:FBU393246 FLD393246:FLQ393246 FUZ393246:FVM393246 GEV393246:GFI393246 GOR393246:GPE393246 GYN393246:GZA393246 HIJ393246:HIW393246 HSF393246:HSS393246 ICB393246:ICO393246 ILX393246:IMK393246 IVT393246:IWG393246 JFP393246:JGC393246 JPL393246:JPY393246 JZH393246:JZU393246 KJD393246:KJQ393246 KSZ393246:KTM393246 LCV393246:LDI393246 LMR393246:LNE393246 LWN393246:LXA393246 MGJ393246:MGW393246 MQF393246:MQS393246 NAB393246:NAO393246 NJX393246:NKK393246 NTT393246:NUG393246 ODP393246:OEC393246 ONL393246:ONY393246 OXH393246:OXU393246 PHD393246:PHQ393246 PQZ393246:PRM393246 QAV393246:QBI393246 QKR393246:QLE393246 QUN393246:QVA393246 REJ393246:REW393246 ROF393246:ROS393246 RYB393246:RYO393246 SHX393246:SIK393246 SRT393246:SSG393246 TBP393246:TCC393246 TLL393246:TLY393246 TVH393246:TVU393246 UFD393246:UFQ393246 UOZ393246:UPM393246 UYV393246:UZI393246 VIR393246:VJE393246 VSN393246:VTA393246 WCJ393246:WCW393246 WMF393246:WMS393246 WWB393246:WWO393246 Q458782:AD458782 JP458782:KC458782 TL458782:TY458782 ADH458782:ADU458782 AND458782:ANQ458782 AWZ458782:AXM458782 BGV458782:BHI458782 BQR458782:BRE458782 CAN458782:CBA458782 CKJ458782:CKW458782 CUF458782:CUS458782 DEB458782:DEO458782 DNX458782:DOK458782 DXT458782:DYG458782 EHP458782:EIC458782 ERL458782:ERY458782 FBH458782:FBU458782 FLD458782:FLQ458782 FUZ458782:FVM458782 GEV458782:GFI458782 GOR458782:GPE458782 GYN458782:GZA458782 HIJ458782:HIW458782 HSF458782:HSS458782 ICB458782:ICO458782 ILX458782:IMK458782 IVT458782:IWG458782 JFP458782:JGC458782 JPL458782:JPY458782 JZH458782:JZU458782 KJD458782:KJQ458782 KSZ458782:KTM458782 LCV458782:LDI458782 LMR458782:LNE458782 LWN458782:LXA458782 MGJ458782:MGW458782 MQF458782:MQS458782 NAB458782:NAO458782 NJX458782:NKK458782 NTT458782:NUG458782 ODP458782:OEC458782 ONL458782:ONY458782 OXH458782:OXU458782 PHD458782:PHQ458782 PQZ458782:PRM458782 QAV458782:QBI458782 QKR458782:QLE458782 QUN458782:QVA458782 REJ458782:REW458782 ROF458782:ROS458782 RYB458782:RYO458782 SHX458782:SIK458782 SRT458782:SSG458782 TBP458782:TCC458782 TLL458782:TLY458782 TVH458782:TVU458782 UFD458782:UFQ458782 UOZ458782:UPM458782 UYV458782:UZI458782 VIR458782:VJE458782 VSN458782:VTA458782 WCJ458782:WCW458782 WMF458782:WMS458782 WWB458782:WWO458782 Q524318:AD524318 JP524318:KC524318 TL524318:TY524318 ADH524318:ADU524318 AND524318:ANQ524318 AWZ524318:AXM524318 BGV524318:BHI524318 BQR524318:BRE524318 CAN524318:CBA524318 CKJ524318:CKW524318 CUF524318:CUS524318 DEB524318:DEO524318 DNX524318:DOK524318 DXT524318:DYG524318 EHP524318:EIC524318 ERL524318:ERY524318 FBH524318:FBU524318 FLD524318:FLQ524318 FUZ524318:FVM524318 GEV524318:GFI524318 GOR524318:GPE524318 GYN524318:GZA524318 HIJ524318:HIW524318 HSF524318:HSS524318 ICB524318:ICO524318 ILX524318:IMK524318 IVT524318:IWG524318 JFP524318:JGC524318 JPL524318:JPY524318 JZH524318:JZU524318 KJD524318:KJQ524318 KSZ524318:KTM524318 LCV524318:LDI524318 LMR524318:LNE524318 LWN524318:LXA524318 MGJ524318:MGW524318 MQF524318:MQS524318 NAB524318:NAO524318 NJX524318:NKK524318 NTT524318:NUG524318 ODP524318:OEC524318 ONL524318:ONY524318 OXH524318:OXU524318 PHD524318:PHQ524318 PQZ524318:PRM524318 QAV524318:QBI524318 QKR524318:QLE524318 QUN524318:QVA524318 REJ524318:REW524318 ROF524318:ROS524318 RYB524318:RYO524318 SHX524318:SIK524318 SRT524318:SSG524318 TBP524318:TCC524318 TLL524318:TLY524318 TVH524318:TVU524318 UFD524318:UFQ524318 UOZ524318:UPM524318 UYV524318:UZI524318 VIR524318:VJE524318 VSN524318:VTA524318 WCJ524318:WCW524318 WMF524318:WMS524318 WWB524318:WWO524318 Q589854:AD589854 JP589854:KC589854 TL589854:TY589854 ADH589854:ADU589854 AND589854:ANQ589854 AWZ589854:AXM589854 BGV589854:BHI589854 BQR589854:BRE589854 CAN589854:CBA589854 CKJ589854:CKW589854 CUF589854:CUS589854 DEB589854:DEO589854 DNX589854:DOK589854 DXT589854:DYG589854 EHP589854:EIC589854 ERL589854:ERY589854 FBH589854:FBU589854 FLD589854:FLQ589854 FUZ589854:FVM589854 GEV589854:GFI589854 GOR589854:GPE589854 GYN589854:GZA589854 HIJ589854:HIW589854 HSF589854:HSS589854 ICB589854:ICO589854 ILX589854:IMK589854 IVT589854:IWG589854 JFP589854:JGC589854 JPL589854:JPY589854 JZH589854:JZU589854 KJD589854:KJQ589854 KSZ589854:KTM589854 LCV589854:LDI589854 LMR589854:LNE589854 LWN589854:LXA589854 MGJ589854:MGW589854 MQF589854:MQS589854 NAB589854:NAO589854 NJX589854:NKK589854 NTT589854:NUG589854 ODP589854:OEC589854 ONL589854:ONY589854 OXH589854:OXU589854 PHD589854:PHQ589854 PQZ589854:PRM589854 QAV589854:QBI589854 QKR589854:QLE589854 QUN589854:QVA589854 REJ589854:REW589854 ROF589854:ROS589854 RYB589854:RYO589854 SHX589854:SIK589854 SRT589854:SSG589854 TBP589854:TCC589854 TLL589854:TLY589854 TVH589854:TVU589854 UFD589854:UFQ589854 UOZ589854:UPM589854 UYV589854:UZI589854 VIR589854:VJE589854 VSN589854:VTA589854 WCJ589854:WCW589854 WMF589854:WMS589854 WWB589854:WWO589854 Q655390:AD655390 JP655390:KC655390 TL655390:TY655390 ADH655390:ADU655390 AND655390:ANQ655390 AWZ655390:AXM655390 BGV655390:BHI655390 BQR655390:BRE655390 CAN655390:CBA655390 CKJ655390:CKW655390 CUF655390:CUS655390 DEB655390:DEO655390 DNX655390:DOK655390 DXT655390:DYG655390 EHP655390:EIC655390 ERL655390:ERY655390 FBH655390:FBU655390 FLD655390:FLQ655390 FUZ655390:FVM655390 GEV655390:GFI655390 GOR655390:GPE655390 GYN655390:GZA655390 HIJ655390:HIW655390 HSF655390:HSS655390 ICB655390:ICO655390 ILX655390:IMK655390 IVT655390:IWG655390 JFP655390:JGC655390 JPL655390:JPY655390 JZH655390:JZU655390 KJD655390:KJQ655390 KSZ655390:KTM655390 LCV655390:LDI655390 LMR655390:LNE655390 LWN655390:LXA655390 MGJ655390:MGW655390 MQF655390:MQS655390 NAB655390:NAO655390 NJX655390:NKK655390 NTT655390:NUG655390 ODP655390:OEC655390 ONL655390:ONY655390 OXH655390:OXU655390 PHD655390:PHQ655390 PQZ655390:PRM655390 QAV655390:QBI655390 QKR655390:QLE655390 QUN655390:QVA655390 REJ655390:REW655390 ROF655390:ROS655390 RYB655390:RYO655390 SHX655390:SIK655390 SRT655390:SSG655390 TBP655390:TCC655390 TLL655390:TLY655390 TVH655390:TVU655390 UFD655390:UFQ655390 UOZ655390:UPM655390 UYV655390:UZI655390 VIR655390:VJE655390 VSN655390:VTA655390 WCJ655390:WCW655390 WMF655390:WMS655390 WWB655390:WWO655390 Q720926:AD720926 JP720926:KC720926 TL720926:TY720926 ADH720926:ADU720926 AND720926:ANQ720926 AWZ720926:AXM720926 BGV720926:BHI720926 BQR720926:BRE720926 CAN720926:CBA720926 CKJ720926:CKW720926 CUF720926:CUS720926 DEB720926:DEO720926 DNX720926:DOK720926 DXT720926:DYG720926 EHP720926:EIC720926 ERL720926:ERY720926 FBH720926:FBU720926 FLD720926:FLQ720926 FUZ720926:FVM720926 GEV720926:GFI720926 GOR720926:GPE720926 GYN720926:GZA720926 HIJ720926:HIW720926 HSF720926:HSS720926 ICB720926:ICO720926 ILX720926:IMK720926 IVT720926:IWG720926 JFP720926:JGC720926 JPL720926:JPY720926 JZH720926:JZU720926 KJD720926:KJQ720926 KSZ720926:KTM720926 LCV720926:LDI720926 LMR720926:LNE720926 LWN720926:LXA720926 MGJ720926:MGW720926 MQF720926:MQS720926 NAB720926:NAO720926 NJX720926:NKK720926 NTT720926:NUG720926 ODP720926:OEC720926 ONL720926:ONY720926 OXH720926:OXU720926 PHD720926:PHQ720926 PQZ720926:PRM720926 QAV720926:QBI720926 QKR720926:QLE720926 QUN720926:QVA720926 REJ720926:REW720926 ROF720926:ROS720926 RYB720926:RYO720926 SHX720926:SIK720926 SRT720926:SSG720926 TBP720926:TCC720926 TLL720926:TLY720926 TVH720926:TVU720926 UFD720926:UFQ720926 UOZ720926:UPM720926 UYV720926:UZI720926 VIR720926:VJE720926 VSN720926:VTA720926 WCJ720926:WCW720926 WMF720926:WMS720926 WWB720926:WWO720926 Q786462:AD786462 JP786462:KC786462 TL786462:TY786462 ADH786462:ADU786462 AND786462:ANQ786462 AWZ786462:AXM786462 BGV786462:BHI786462 BQR786462:BRE786462 CAN786462:CBA786462 CKJ786462:CKW786462 CUF786462:CUS786462 DEB786462:DEO786462 DNX786462:DOK786462 DXT786462:DYG786462 EHP786462:EIC786462 ERL786462:ERY786462 FBH786462:FBU786462 FLD786462:FLQ786462 FUZ786462:FVM786462 GEV786462:GFI786462 GOR786462:GPE786462 GYN786462:GZA786462 HIJ786462:HIW786462 HSF786462:HSS786462 ICB786462:ICO786462 ILX786462:IMK786462 IVT786462:IWG786462 JFP786462:JGC786462 JPL786462:JPY786462 JZH786462:JZU786462 KJD786462:KJQ786462 KSZ786462:KTM786462 LCV786462:LDI786462 LMR786462:LNE786462 LWN786462:LXA786462 MGJ786462:MGW786462 MQF786462:MQS786462 NAB786462:NAO786462 NJX786462:NKK786462 NTT786462:NUG786462 ODP786462:OEC786462 ONL786462:ONY786462 OXH786462:OXU786462 PHD786462:PHQ786462 PQZ786462:PRM786462 QAV786462:QBI786462 QKR786462:QLE786462 QUN786462:QVA786462 REJ786462:REW786462 ROF786462:ROS786462 RYB786462:RYO786462 SHX786462:SIK786462 SRT786462:SSG786462 TBP786462:TCC786462 TLL786462:TLY786462 TVH786462:TVU786462 UFD786462:UFQ786462 UOZ786462:UPM786462 UYV786462:UZI786462 VIR786462:VJE786462 VSN786462:VTA786462 WCJ786462:WCW786462 WMF786462:WMS786462 WWB786462:WWO786462 Q851998:AD851998 JP851998:KC851998 TL851998:TY851998 ADH851998:ADU851998 AND851998:ANQ851998 AWZ851998:AXM851998 BGV851998:BHI851998 BQR851998:BRE851998 CAN851998:CBA851998 CKJ851998:CKW851998 CUF851998:CUS851998 DEB851998:DEO851998 DNX851998:DOK851998 DXT851998:DYG851998 EHP851998:EIC851998 ERL851998:ERY851998 FBH851998:FBU851998 FLD851998:FLQ851998 FUZ851998:FVM851998 GEV851998:GFI851998 GOR851998:GPE851998 GYN851998:GZA851998 HIJ851998:HIW851998 HSF851998:HSS851998 ICB851998:ICO851998 ILX851998:IMK851998 IVT851998:IWG851998 JFP851998:JGC851998 JPL851998:JPY851998 JZH851998:JZU851998 KJD851998:KJQ851998 KSZ851998:KTM851998 LCV851998:LDI851998 LMR851998:LNE851998 LWN851998:LXA851998 MGJ851998:MGW851998 MQF851998:MQS851998 NAB851998:NAO851998 NJX851998:NKK851998 NTT851998:NUG851998 ODP851998:OEC851998 ONL851998:ONY851998 OXH851998:OXU851998 PHD851998:PHQ851998 PQZ851998:PRM851998 QAV851998:QBI851998 QKR851998:QLE851998 QUN851998:QVA851998 REJ851998:REW851998 ROF851998:ROS851998 RYB851998:RYO851998 SHX851998:SIK851998 SRT851998:SSG851998 TBP851998:TCC851998 TLL851998:TLY851998 TVH851998:TVU851998 UFD851998:UFQ851998 UOZ851998:UPM851998 UYV851998:UZI851998 VIR851998:VJE851998 VSN851998:VTA851998 WCJ851998:WCW851998 WMF851998:WMS851998 WWB851998:WWO851998 Q917534:AD917534 JP917534:KC917534 TL917534:TY917534 ADH917534:ADU917534 AND917534:ANQ917534 AWZ917534:AXM917534 BGV917534:BHI917534 BQR917534:BRE917534 CAN917534:CBA917534 CKJ917534:CKW917534 CUF917534:CUS917534 DEB917534:DEO917534 DNX917534:DOK917534 DXT917534:DYG917534 EHP917534:EIC917534 ERL917534:ERY917534 FBH917534:FBU917534 FLD917534:FLQ917534 FUZ917534:FVM917534 GEV917534:GFI917534 GOR917534:GPE917534 GYN917534:GZA917534 HIJ917534:HIW917534 HSF917534:HSS917534 ICB917534:ICO917534 ILX917534:IMK917534 IVT917534:IWG917534 JFP917534:JGC917534 JPL917534:JPY917534 JZH917534:JZU917534 KJD917534:KJQ917534 KSZ917534:KTM917534 LCV917534:LDI917534 LMR917534:LNE917534 LWN917534:LXA917534 MGJ917534:MGW917534 MQF917534:MQS917534 NAB917534:NAO917534 NJX917534:NKK917534 NTT917534:NUG917534 ODP917534:OEC917534 ONL917534:ONY917534 OXH917534:OXU917534 PHD917534:PHQ917534 PQZ917534:PRM917534 QAV917534:QBI917534 QKR917534:QLE917534 QUN917534:QVA917534 REJ917534:REW917534 ROF917534:ROS917534 RYB917534:RYO917534 SHX917534:SIK917534 SRT917534:SSG917534 TBP917534:TCC917534 TLL917534:TLY917534 TVH917534:TVU917534 UFD917534:UFQ917534 UOZ917534:UPM917534 UYV917534:UZI917534 VIR917534:VJE917534 VSN917534:VTA917534 WCJ917534:WCW917534 WMF917534:WMS917534 WWB917534:WWO917534 JP30:KC30 TL30:TY30 ADH30:ADU30 AND30:ANQ30 AWZ30:AXM30 BGV30:BHI30 BQR30:BRE30 CAN30:CBA30 CKJ30:CKW30 CUF30:CUS30 DEB30:DEO30 DNX30:DOK30 DXT30:DYG30 EHP30:EIC30 ERL30:ERY30 FBH30:FBU30 FLD30:FLQ30 FUZ30:FVM30 GEV30:GFI30 GOR30:GPE30 GYN30:GZA30 HIJ30:HIW30 HSF30:HSS30 ICB30:ICO30 ILX30:IMK30 IVT30:IWG30 JFP30:JGC30 JPL30:JPY30 JZH30:JZU30 KJD30:KJQ30 KSZ30:KTM30 LCV30:LDI30 LMR30:LNE30 LWN30:LXA30 MGJ30:MGW30 MQF30:MQS30 NAB30:NAO30 NJX30:NKK30 NTT30:NUG30 ODP30:OEC30 ONL30:ONY30 OXH30:OXU30 PHD30:PHQ30 PQZ30:PRM30 QAV30:QBI30 QKR30:QLE30 QUN30:QVA30 REJ30:REW30 ROF30:ROS30 RYB30:RYO30 SHX30:SIK30 SRT30:SSG30 TBP30:TCC30 TLL30:TLY30 TVH30:TVU30 UFD30:UFQ30 UOZ30:UPM30 UYV30:UZI30 VIR30:VJE30 VSN30:VTA30 WCJ30:WCW30 WMF30:WMS30 WWB30:WWO30 Q30:AD30" xr:uid="{E09B5759-E503-4316-8062-6214A6937D52}">
      <formula1>2000</formula1>
    </dataValidation>
    <dataValidation type="textLength" operator="lessThanOrEqual" allowBlank="1" showInputMessage="1" showErrorMessage="1" errorTitle="Máximo 2.000 caracteres" error="Máximo 2.000 caracteres" sqref="Q786470:AD786481 JP786470:KC786481 TL786470:TY786481 ADH786470:ADU786481 AND786470:ANQ786481 AWZ786470:AXM786481 BGV786470:BHI786481 BQR786470:BRE786481 CAN786470:CBA786481 CKJ786470:CKW786481 CUF786470:CUS786481 DEB786470:DEO786481 DNX786470:DOK786481 DXT786470:DYG786481 EHP786470:EIC786481 ERL786470:ERY786481 FBH786470:FBU786481 FLD786470:FLQ786481 FUZ786470:FVM786481 GEV786470:GFI786481 GOR786470:GPE786481 GYN786470:GZA786481 HIJ786470:HIW786481 HSF786470:HSS786481 ICB786470:ICO786481 ILX786470:IMK786481 IVT786470:IWG786481 JFP786470:JGC786481 JPL786470:JPY786481 JZH786470:JZU786481 KJD786470:KJQ786481 KSZ786470:KTM786481 LCV786470:LDI786481 LMR786470:LNE786481 LWN786470:LXA786481 MGJ786470:MGW786481 MQF786470:MQS786481 NAB786470:NAO786481 NJX786470:NKK786481 NTT786470:NUG786481 ODP786470:OEC786481 ONL786470:ONY786481 OXH786470:OXU786481 PHD786470:PHQ786481 PQZ786470:PRM786481 QAV786470:QBI786481 QKR786470:QLE786481 QUN786470:QVA786481 REJ786470:REW786481 ROF786470:ROS786481 RYB786470:RYO786481 SHX786470:SIK786481 SRT786470:SSG786481 TBP786470:TCC786481 TLL786470:TLY786481 TVH786470:TVU786481 UFD786470:UFQ786481 UOZ786470:UPM786481 UYV786470:UZI786481 VIR786470:VJE786481 VSN786470:VTA786481 WCJ786470:WCW786481 WMF786470:WMS786481 WWB786470:WWO786481 AA65570 JZ65570 TV65570 ADR65570 ANN65570 AXJ65570 BHF65570 BRB65570 CAX65570 CKT65570 CUP65570 DEL65570 DOH65570 DYD65570 EHZ65570 ERV65570 FBR65570 FLN65570 FVJ65570 GFF65570 GPB65570 GYX65570 HIT65570 HSP65570 ICL65570 IMH65570 IWD65570 JFZ65570 JPV65570 JZR65570 KJN65570 KTJ65570 LDF65570 LNB65570 LWX65570 MGT65570 MQP65570 NAL65570 NKH65570 NUD65570 ODZ65570 ONV65570 OXR65570 PHN65570 PRJ65570 QBF65570 QLB65570 QUX65570 RET65570 ROP65570 RYL65570 SIH65570 SSD65570 TBZ65570 TLV65570 TVR65570 UFN65570 UPJ65570 UZF65570 VJB65570 VSX65570 WCT65570 WMP65570 WWL65570 AA131106 JZ131106 TV131106 ADR131106 ANN131106 AXJ131106 BHF131106 BRB131106 CAX131106 CKT131106 CUP131106 DEL131106 DOH131106 DYD131106 EHZ131106 ERV131106 FBR131106 FLN131106 FVJ131106 GFF131106 GPB131106 GYX131106 HIT131106 HSP131106 ICL131106 IMH131106 IWD131106 JFZ131106 JPV131106 JZR131106 KJN131106 KTJ131106 LDF131106 LNB131106 LWX131106 MGT131106 MQP131106 NAL131106 NKH131106 NUD131106 ODZ131106 ONV131106 OXR131106 PHN131106 PRJ131106 QBF131106 QLB131106 QUX131106 RET131106 ROP131106 RYL131106 SIH131106 SSD131106 TBZ131106 TLV131106 TVR131106 UFN131106 UPJ131106 UZF131106 VJB131106 VSX131106 WCT131106 WMP131106 WWL131106 AA196642 JZ196642 TV196642 ADR196642 ANN196642 AXJ196642 BHF196642 BRB196642 CAX196642 CKT196642 CUP196642 DEL196642 DOH196642 DYD196642 EHZ196642 ERV196642 FBR196642 FLN196642 FVJ196642 GFF196642 GPB196642 GYX196642 HIT196642 HSP196642 ICL196642 IMH196642 IWD196642 JFZ196642 JPV196642 JZR196642 KJN196642 KTJ196642 LDF196642 LNB196642 LWX196642 MGT196642 MQP196642 NAL196642 NKH196642 NUD196642 ODZ196642 ONV196642 OXR196642 PHN196642 PRJ196642 QBF196642 QLB196642 QUX196642 RET196642 ROP196642 RYL196642 SIH196642 SSD196642 TBZ196642 TLV196642 TVR196642 UFN196642 UPJ196642 UZF196642 VJB196642 VSX196642 WCT196642 WMP196642 WWL196642 AA262178 JZ262178 TV262178 ADR262178 ANN262178 AXJ262178 BHF262178 BRB262178 CAX262178 CKT262178 CUP262178 DEL262178 DOH262178 DYD262178 EHZ262178 ERV262178 FBR262178 FLN262178 FVJ262178 GFF262178 GPB262178 GYX262178 HIT262178 HSP262178 ICL262178 IMH262178 IWD262178 JFZ262178 JPV262178 JZR262178 KJN262178 KTJ262178 LDF262178 LNB262178 LWX262178 MGT262178 MQP262178 NAL262178 NKH262178 NUD262178 ODZ262178 ONV262178 OXR262178 PHN262178 PRJ262178 QBF262178 QLB262178 QUX262178 RET262178 ROP262178 RYL262178 SIH262178 SSD262178 TBZ262178 TLV262178 TVR262178 UFN262178 UPJ262178 UZF262178 VJB262178 VSX262178 WCT262178 WMP262178 WWL262178 AA327714 JZ327714 TV327714 ADR327714 ANN327714 AXJ327714 BHF327714 BRB327714 CAX327714 CKT327714 CUP327714 DEL327714 DOH327714 DYD327714 EHZ327714 ERV327714 FBR327714 FLN327714 FVJ327714 GFF327714 GPB327714 GYX327714 HIT327714 HSP327714 ICL327714 IMH327714 IWD327714 JFZ327714 JPV327714 JZR327714 KJN327714 KTJ327714 LDF327714 LNB327714 LWX327714 MGT327714 MQP327714 NAL327714 NKH327714 NUD327714 ODZ327714 ONV327714 OXR327714 PHN327714 PRJ327714 QBF327714 QLB327714 QUX327714 RET327714 ROP327714 RYL327714 SIH327714 SSD327714 TBZ327714 TLV327714 TVR327714 UFN327714 UPJ327714 UZF327714 VJB327714 VSX327714 WCT327714 WMP327714 WWL327714 AA393250 JZ393250 TV393250 ADR393250 ANN393250 AXJ393250 BHF393250 BRB393250 CAX393250 CKT393250 CUP393250 DEL393250 DOH393250 DYD393250 EHZ393250 ERV393250 FBR393250 FLN393250 FVJ393250 GFF393250 GPB393250 GYX393250 HIT393250 HSP393250 ICL393250 IMH393250 IWD393250 JFZ393250 JPV393250 JZR393250 KJN393250 KTJ393250 LDF393250 LNB393250 LWX393250 MGT393250 MQP393250 NAL393250 NKH393250 NUD393250 ODZ393250 ONV393250 OXR393250 PHN393250 PRJ393250 QBF393250 QLB393250 QUX393250 RET393250 ROP393250 RYL393250 SIH393250 SSD393250 TBZ393250 TLV393250 TVR393250 UFN393250 UPJ393250 UZF393250 VJB393250 VSX393250 WCT393250 WMP393250 WWL393250 AA458786 JZ458786 TV458786 ADR458786 ANN458786 AXJ458786 BHF458786 BRB458786 CAX458786 CKT458786 CUP458786 DEL458786 DOH458786 DYD458786 EHZ458786 ERV458786 FBR458786 FLN458786 FVJ458786 GFF458786 GPB458786 GYX458786 HIT458786 HSP458786 ICL458786 IMH458786 IWD458786 JFZ458786 JPV458786 JZR458786 KJN458786 KTJ458786 LDF458786 LNB458786 LWX458786 MGT458786 MQP458786 NAL458786 NKH458786 NUD458786 ODZ458786 ONV458786 OXR458786 PHN458786 PRJ458786 QBF458786 QLB458786 QUX458786 RET458786 ROP458786 RYL458786 SIH458786 SSD458786 TBZ458786 TLV458786 TVR458786 UFN458786 UPJ458786 UZF458786 VJB458786 VSX458786 WCT458786 WMP458786 WWL458786 AA524322 JZ524322 TV524322 ADR524322 ANN524322 AXJ524322 BHF524322 BRB524322 CAX524322 CKT524322 CUP524322 DEL524322 DOH524322 DYD524322 EHZ524322 ERV524322 FBR524322 FLN524322 FVJ524322 GFF524322 GPB524322 GYX524322 HIT524322 HSP524322 ICL524322 IMH524322 IWD524322 JFZ524322 JPV524322 JZR524322 KJN524322 KTJ524322 LDF524322 LNB524322 LWX524322 MGT524322 MQP524322 NAL524322 NKH524322 NUD524322 ODZ524322 ONV524322 OXR524322 PHN524322 PRJ524322 QBF524322 QLB524322 QUX524322 RET524322 ROP524322 RYL524322 SIH524322 SSD524322 TBZ524322 TLV524322 TVR524322 UFN524322 UPJ524322 UZF524322 VJB524322 VSX524322 WCT524322 WMP524322 WWL524322 AA589858 JZ589858 TV589858 ADR589858 ANN589858 AXJ589858 BHF589858 BRB589858 CAX589858 CKT589858 CUP589858 DEL589858 DOH589858 DYD589858 EHZ589858 ERV589858 FBR589858 FLN589858 FVJ589858 GFF589858 GPB589858 GYX589858 HIT589858 HSP589858 ICL589858 IMH589858 IWD589858 JFZ589858 JPV589858 JZR589858 KJN589858 KTJ589858 LDF589858 LNB589858 LWX589858 MGT589858 MQP589858 NAL589858 NKH589858 NUD589858 ODZ589858 ONV589858 OXR589858 PHN589858 PRJ589858 QBF589858 QLB589858 QUX589858 RET589858 ROP589858 RYL589858 SIH589858 SSD589858 TBZ589858 TLV589858 TVR589858 UFN589858 UPJ589858 UZF589858 VJB589858 VSX589858 WCT589858 WMP589858 WWL589858 AA655394 JZ655394 TV655394 ADR655394 ANN655394 AXJ655394 BHF655394 BRB655394 CAX655394 CKT655394 CUP655394 DEL655394 DOH655394 DYD655394 EHZ655394 ERV655394 FBR655394 FLN655394 FVJ655394 GFF655394 GPB655394 GYX655394 HIT655394 HSP655394 ICL655394 IMH655394 IWD655394 JFZ655394 JPV655394 JZR655394 KJN655394 KTJ655394 LDF655394 LNB655394 LWX655394 MGT655394 MQP655394 NAL655394 NKH655394 NUD655394 ODZ655394 ONV655394 OXR655394 PHN655394 PRJ655394 QBF655394 QLB655394 QUX655394 RET655394 ROP655394 RYL655394 SIH655394 SSD655394 TBZ655394 TLV655394 TVR655394 UFN655394 UPJ655394 UZF655394 VJB655394 VSX655394 WCT655394 WMP655394 WWL655394 AA720930 JZ720930 TV720930 ADR720930 ANN720930 AXJ720930 BHF720930 BRB720930 CAX720930 CKT720930 CUP720930 DEL720930 DOH720930 DYD720930 EHZ720930 ERV720930 FBR720930 FLN720930 FVJ720930 GFF720930 GPB720930 GYX720930 HIT720930 HSP720930 ICL720930 IMH720930 IWD720930 JFZ720930 JPV720930 JZR720930 KJN720930 KTJ720930 LDF720930 LNB720930 LWX720930 MGT720930 MQP720930 NAL720930 NKH720930 NUD720930 ODZ720930 ONV720930 OXR720930 PHN720930 PRJ720930 QBF720930 QLB720930 QUX720930 RET720930 ROP720930 RYL720930 SIH720930 SSD720930 TBZ720930 TLV720930 TVR720930 UFN720930 UPJ720930 UZF720930 VJB720930 VSX720930 WCT720930 WMP720930 WWL720930 AA786466 JZ786466 TV786466 ADR786466 ANN786466 AXJ786466 BHF786466 BRB786466 CAX786466 CKT786466 CUP786466 DEL786466 DOH786466 DYD786466 EHZ786466 ERV786466 FBR786466 FLN786466 FVJ786466 GFF786466 GPB786466 GYX786466 HIT786466 HSP786466 ICL786466 IMH786466 IWD786466 JFZ786466 JPV786466 JZR786466 KJN786466 KTJ786466 LDF786466 LNB786466 LWX786466 MGT786466 MQP786466 NAL786466 NKH786466 NUD786466 ODZ786466 ONV786466 OXR786466 PHN786466 PRJ786466 QBF786466 QLB786466 QUX786466 RET786466 ROP786466 RYL786466 SIH786466 SSD786466 TBZ786466 TLV786466 TVR786466 UFN786466 UPJ786466 UZF786466 VJB786466 VSX786466 WCT786466 WMP786466 WWL786466 AA852002 JZ852002 TV852002 ADR852002 ANN852002 AXJ852002 BHF852002 BRB852002 CAX852002 CKT852002 CUP852002 DEL852002 DOH852002 DYD852002 EHZ852002 ERV852002 FBR852002 FLN852002 FVJ852002 GFF852002 GPB852002 GYX852002 HIT852002 HSP852002 ICL852002 IMH852002 IWD852002 JFZ852002 JPV852002 JZR852002 KJN852002 KTJ852002 LDF852002 LNB852002 LWX852002 MGT852002 MQP852002 NAL852002 NKH852002 NUD852002 ODZ852002 ONV852002 OXR852002 PHN852002 PRJ852002 QBF852002 QLB852002 QUX852002 RET852002 ROP852002 RYL852002 SIH852002 SSD852002 TBZ852002 TLV852002 TVR852002 UFN852002 UPJ852002 UZF852002 VJB852002 VSX852002 WCT852002 WMP852002 WWL852002 AA917538 JZ917538 TV917538 ADR917538 ANN917538 AXJ917538 BHF917538 BRB917538 CAX917538 CKT917538 CUP917538 DEL917538 DOH917538 DYD917538 EHZ917538 ERV917538 FBR917538 FLN917538 FVJ917538 GFF917538 GPB917538 GYX917538 HIT917538 HSP917538 ICL917538 IMH917538 IWD917538 JFZ917538 JPV917538 JZR917538 KJN917538 KTJ917538 LDF917538 LNB917538 LWX917538 MGT917538 MQP917538 NAL917538 NKH917538 NUD917538 ODZ917538 ONV917538 OXR917538 PHN917538 PRJ917538 QBF917538 QLB917538 QUX917538 RET917538 ROP917538 RYL917538 SIH917538 SSD917538 TBZ917538 TLV917538 TVR917538 UFN917538 UPJ917538 UZF917538 VJB917538 VSX917538 WCT917538 WMP917538 WWL917538 AA983074 JZ983074 TV983074 ADR983074 ANN983074 AXJ983074 BHF983074 BRB983074 CAX983074 CKT983074 CUP983074 DEL983074 DOH983074 DYD983074 EHZ983074 ERV983074 FBR983074 FLN983074 FVJ983074 GFF983074 GPB983074 GYX983074 HIT983074 HSP983074 ICL983074 IMH983074 IWD983074 JFZ983074 JPV983074 JZR983074 KJN983074 KTJ983074 LDF983074 LNB983074 LWX983074 MGT983074 MQP983074 NAL983074 NKH983074 NUD983074 ODZ983074 ONV983074 OXR983074 PHN983074 PRJ983074 QBF983074 QLB983074 QUX983074 RET983074 ROP983074 RYL983074 SIH983074 SSD983074 TBZ983074 TLV983074 TVR983074 UFN983074 UPJ983074 UZF983074 VJB983074 VSX983074 WCT983074 WMP983074 WWL983074 Q852006:AD852017 JP852006:KC852017 TL852006:TY852017 ADH852006:ADU852017 AND852006:ANQ852017 AWZ852006:AXM852017 BGV852006:BHI852017 BQR852006:BRE852017 CAN852006:CBA852017 CKJ852006:CKW852017 CUF852006:CUS852017 DEB852006:DEO852017 DNX852006:DOK852017 DXT852006:DYG852017 EHP852006:EIC852017 ERL852006:ERY852017 FBH852006:FBU852017 FLD852006:FLQ852017 FUZ852006:FVM852017 GEV852006:GFI852017 GOR852006:GPE852017 GYN852006:GZA852017 HIJ852006:HIW852017 HSF852006:HSS852017 ICB852006:ICO852017 ILX852006:IMK852017 IVT852006:IWG852017 JFP852006:JGC852017 JPL852006:JPY852017 JZH852006:JZU852017 KJD852006:KJQ852017 KSZ852006:KTM852017 LCV852006:LDI852017 LMR852006:LNE852017 LWN852006:LXA852017 MGJ852006:MGW852017 MQF852006:MQS852017 NAB852006:NAO852017 NJX852006:NKK852017 NTT852006:NUG852017 ODP852006:OEC852017 ONL852006:ONY852017 OXH852006:OXU852017 PHD852006:PHQ852017 PQZ852006:PRM852017 QAV852006:QBI852017 QKR852006:QLE852017 QUN852006:QVA852017 REJ852006:REW852017 ROF852006:ROS852017 RYB852006:RYO852017 SHX852006:SIK852017 SRT852006:SSG852017 TBP852006:TCC852017 TLL852006:TLY852017 TVH852006:TVU852017 UFD852006:UFQ852017 UOZ852006:UPM852017 UYV852006:UZI852017 VIR852006:VJE852017 VSN852006:VTA852017 WCJ852006:WCW852017 WMF852006:WMS852017 WWB852006:WWO852017 Q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Q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Q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Q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Q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Q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Q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Q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Q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Q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Q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Q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Q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Q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Q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Q917542:AD917553 JP917542:KC917553 TL917542:TY917553 ADH917542:ADU917553 AND917542:ANQ917553 AWZ917542:AXM917553 BGV917542:BHI917553 BQR917542:BRE917553 CAN917542:CBA917553 CKJ917542:CKW917553 CUF917542:CUS917553 DEB917542:DEO917553 DNX917542:DOK917553 DXT917542:DYG917553 EHP917542:EIC917553 ERL917542:ERY917553 FBH917542:FBU917553 FLD917542:FLQ917553 FUZ917542:FVM917553 GEV917542:GFI917553 GOR917542:GPE917553 GYN917542:GZA917553 HIJ917542:HIW917553 HSF917542:HSS917553 ICB917542:ICO917553 ILX917542:IMK917553 IVT917542:IWG917553 JFP917542:JGC917553 JPL917542:JPY917553 JZH917542:JZU917553 KJD917542:KJQ917553 KSZ917542:KTM917553 LCV917542:LDI917553 LMR917542:LNE917553 LWN917542:LXA917553 MGJ917542:MGW917553 MQF917542:MQS917553 NAB917542:NAO917553 NJX917542:NKK917553 NTT917542:NUG917553 ODP917542:OEC917553 ONL917542:ONY917553 OXH917542:OXU917553 PHD917542:PHQ917553 PQZ917542:PRM917553 QAV917542:QBI917553 QKR917542:QLE917553 QUN917542:QVA917553 REJ917542:REW917553 ROF917542:ROS917553 RYB917542:RYO917553 SHX917542:SIK917553 SRT917542:SSG917553 TBP917542:TCC917553 TLL917542:TLY917553 TVH917542:TVU917553 UFD917542:UFQ917553 UOZ917542:UPM917553 UYV917542:UZI917553 VIR917542:VJE917553 VSN917542:VTA917553 WCJ917542:WCW917553 WMF917542:WMS917553 WWB917542:WWO917553 W65570 JV65570 TR65570 ADN65570 ANJ65570 AXF65570 BHB65570 BQX65570 CAT65570 CKP65570 CUL65570 DEH65570 DOD65570 DXZ65570 EHV65570 ERR65570 FBN65570 FLJ65570 FVF65570 GFB65570 GOX65570 GYT65570 HIP65570 HSL65570 ICH65570 IMD65570 IVZ65570 JFV65570 JPR65570 JZN65570 KJJ65570 KTF65570 LDB65570 LMX65570 LWT65570 MGP65570 MQL65570 NAH65570 NKD65570 NTZ65570 ODV65570 ONR65570 OXN65570 PHJ65570 PRF65570 QBB65570 QKX65570 QUT65570 REP65570 ROL65570 RYH65570 SID65570 SRZ65570 TBV65570 TLR65570 TVN65570 UFJ65570 UPF65570 UZB65570 VIX65570 VST65570 WCP65570 WML65570 WWH65570 W131106 JV131106 TR131106 ADN131106 ANJ131106 AXF131106 BHB131106 BQX131106 CAT131106 CKP131106 CUL131106 DEH131106 DOD131106 DXZ131106 EHV131106 ERR131106 FBN131106 FLJ131106 FVF131106 GFB131106 GOX131106 GYT131106 HIP131106 HSL131106 ICH131106 IMD131106 IVZ131106 JFV131106 JPR131106 JZN131106 KJJ131106 KTF131106 LDB131106 LMX131106 LWT131106 MGP131106 MQL131106 NAH131106 NKD131106 NTZ131106 ODV131106 ONR131106 OXN131106 PHJ131106 PRF131106 QBB131106 QKX131106 QUT131106 REP131106 ROL131106 RYH131106 SID131106 SRZ131106 TBV131106 TLR131106 TVN131106 UFJ131106 UPF131106 UZB131106 VIX131106 VST131106 WCP131106 WML131106 WWH131106 W196642 JV196642 TR196642 ADN196642 ANJ196642 AXF196642 BHB196642 BQX196642 CAT196642 CKP196642 CUL196642 DEH196642 DOD196642 DXZ196642 EHV196642 ERR196642 FBN196642 FLJ196642 FVF196642 GFB196642 GOX196642 GYT196642 HIP196642 HSL196642 ICH196642 IMD196642 IVZ196642 JFV196642 JPR196642 JZN196642 KJJ196642 KTF196642 LDB196642 LMX196642 LWT196642 MGP196642 MQL196642 NAH196642 NKD196642 NTZ196642 ODV196642 ONR196642 OXN196642 PHJ196642 PRF196642 QBB196642 QKX196642 QUT196642 REP196642 ROL196642 RYH196642 SID196642 SRZ196642 TBV196642 TLR196642 TVN196642 UFJ196642 UPF196642 UZB196642 VIX196642 VST196642 WCP196642 WML196642 WWH196642 W262178 JV262178 TR262178 ADN262178 ANJ262178 AXF262178 BHB262178 BQX262178 CAT262178 CKP262178 CUL262178 DEH262178 DOD262178 DXZ262178 EHV262178 ERR262178 FBN262178 FLJ262178 FVF262178 GFB262178 GOX262178 GYT262178 HIP262178 HSL262178 ICH262178 IMD262178 IVZ262178 JFV262178 JPR262178 JZN262178 KJJ262178 KTF262178 LDB262178 LMX262178 LWT262178 MGP262178 MQL262178 NAH262178 NKD262178 NTZ262178 ODV262178 ONR262178 OXN262178 PHJ262178 PRF262178 QBB262178 QKX262178 QUT262178 REP262178 ROL262178 RYH262178 SID262178 SRZ262178 TBV262178 TLR262178 TVN262178 UFJ262178 UPF262178 UZB262178 VIX262178 VST262178 WCP262178 WML262178 WWH262178 W327714 JV327714 TR327714 ADN327714 ANJ327714 AXF327714 BHB327714 BQX327714 CAT327714 CKP327714 CUL327714 DEH327714 DOD327714 DXZ327714 EHV327714 ERR327714 FBN327714 FLJ327714 FVF327714 GFB327714 GOX327714 GYT327714 HIP327714 HSL327714 ICH327714 IMD327714 IVZ327714 JFV327714 JPR327714 JZN327714 KJJ327714 KTF327714 LDB327714 LMX327714 LWT327714 MGP327714 MQL327714 NAH327714 NKD327714 NTZ327714 ODV327714 ONR327714 OXN327714 PHJ327714 PRF327714 QBB327714 QKX327714 QUT327714 REP327714 ROL327714 RYH327714 SID327714 SRZ327714 TBV327714 TLR327714 TVN327714 UFJ327714 UPF327714 UZB327714 VIX327714 VST327714 WCP327714 WML327714 WWH327714 W393250 JV393250 TR393250 ADN393250 ANJ393250 AXF393250 BHB393250 BQX393250 CAT393250 CKP393250 CUL393250 DEH393250 DOD393250 DXZ393250 EHV393250 ERR393250 FBN393250 FLJ393250 FVF393250 GFB393250 GOX393250 GYT393250 HIP393250 HSL393250 ICH393250 IMD393250 IVZ393250 JFV393250 JPR393250 JZN393250 KJJ393250 KTF393250 LDB393250 LMX393250 LWT393250 MGP393250 MQL393250 NAH393250 NKD393250 NTZ393250 ODV393250 ONR393250 OXN393250 PHJ393250 PRF393250 QBB393250 QKX393250 QUT393250 REP393250 ROL393250 RYH393250 SID393250 SRZ393250 TBV393250 TLR393250 TVN393250 UFJ393250 UPF393250 UZB393250 VIX393250 VST393250 WCP393250 WML393250 WWH393250 W458786 JV458786 TR458786 ADN458786 ANJ458786 AXF458786 BHB458786 BQX458786 CAT458786 CKP458786 CUL458786 DEH458786 DOD458786 DXZ458786 EHV458786 ERR458786 FBN458786 FLJ458786 FVF458786 GFB458786 GOX458786 GYT458786 HIP458786 HSL458786 ICH458786 IMD458786 IVZ458786 JFV458786 JPR458786 JZN458786 KJJ458786 KTF458786 LDB458786 LMX458786 LWT458786 MGP458786 MQL458786 NAH458786 NKD458786 NTZ458786 ODV458786 ONR458786 OXN458786 PHJ458786 PRF458786 QBB458786 QKX458786 QUT458786 REP458786 ROL458786 RYH458786 SID458786 SRZ458786 TBV458786 TLR458786 TVN458786 UFJ458786 UPF458786 UZB458786 VIX458786 VST458786 WCP458786 WML458786 WWH458786 W524322 JV524322 TR524322 ADN524322 ANJ524322 AXF524322 BHB524322 BQX524322 CAT524322 CKP524322 CUL524322 DEH524322 DOD524322 DXZ524322 EHV524322 ERR524322 FBN524322 FLJ524322 FVF524322 GFB524322 GOX524322 GYT524322 HIP524322 HSL524322 ICH524322 IMD524322 IVZ524322 JFV524322 JPR524322 JZN524322 KJJ524322 KTF524322 LDB524322 LMX524322 LWT524322 MGP524322 MQL524322 NAH524322 NKD524322 NTZ524322 ODV524322 ONR524322 OXN524322 PHJ524322 PRF524322 QBB524322 QKX524322 QUT524322 REP524322 ROL524322 RYH524322 SID524322 SRZ524322 TBV524322 TLR524322 TVN524322 UFJ524322 UPF524322 UZB524322 VIX524322 VST524322 WCP524322 WML524322 WWH524322 W589858 JV589858 TR589858 ADN589858 ANJ589858 AXF589858 BHB589858 BQX589858 CAT589858 CKP589858 CUL589858 DEH589858 DOD589858 DXZ589858 EHV589858 ERR589858 FBN589858 FLJ589858 FVF589858 GFB589858 GOX589858 GYT589858 HIP589858 HSL589858 ICH589858 IMD589858 IVZ589858 JFV589858 JPR589858 JZN589858 KJJ589858 KTF589858 LDB589858 LMX589858 LWT589858 MGP589858 MQL589858 NAH589858 NKD589858 NTZ589858 ODV589858 ONR589858 OXN589858 PHJ589858 PRF589858 QBB589858 QKX589858 QUT589858 REP589858 ROL589858 RYH589858 SID589858 SRZ589858 TBV589858 TLR589858 TVN589858 UFJ589858 UPF589858 UZB589858 VIX589858 VST589858 WCP589858 WML589858 WWH589858 W655394 JV655394 TR655394 ADN655394 ANJ655394 AXF655394 BHB655394 BQX655394 CAT655394 CKP655394 CUL655394 DEH655394 DOD655394 DXZ655394 EHV655394 ERR655394 FBN655394 FLJ655394 FVF655394 GFB655394 GOX655394 GYT655394 HIP655394 HSL655394 ICH655394 IMD655394 IVZ655394 JFV655394 JPR655394 JZN655394 KJJ655394 KTF655394 LDB655394 LMX655394 LWT655394 MGP655394 MQL655394 NAH655394 NKD655394 NTZ655394 ODV655394 ONR655394 OXN655394 PHJ655394 PRF655394 QBB655394 QKX655394 QUT655394 REP655394 ROL655394 RYH655394 SID655394 SRZ655394 TBV655394 TLR655394 TVN655394 UFJ655394 UPF655394 UZB655394 VIX655394 VST655394 WCP655394 WML655394 WWH655394 W720930 JV720930 TR720930 ADN720930 ANJ720930 AXF720930 BHB720930 BQX720930 CAT720930 CKP720930 CUL720930 DEH720930 DOD720930 DXZ720930 EHV720930 ERR720930 FBN720930 FLJ720930 FVF720930 GFB720930 GOX720930 GYT720930 HIP720930 HSL720930 ICH720930 IMD720930 IVZ720930 JFV720930 JPR720930 JZN720930 KJJ720930 KTF720930 LDB720930 LMX720930 LWT720930 MGP720930 MQL720930 NAH720930 NKD720930 NTZ720930 ODV720930 ONR720930 OXN720930 PHJ720930 PRF720930 QBB720930 QKX720930 QUT720930 REP720930 ROL720930 RYH720930 SID720930 SRZ720930 TBV720930 TLR720930 TVN720930 UFJ720930 UPF720930 UZB720930 VIX720930 VST720930 WCP720930 WML720930 WWH720930 W786466 JV786466 TR786466 ADN786466 ANJ786466 AXF786466 BHB786466 BQX786466 CAT786466 CKP786466 CUL786466 DEH786466 DOD786466 DXZ786466 EHV786466 ERR786466 FBN786466 FLJ786466 FVF786466 GFB786466 GOX786466 GYT786466 HIP786466 HSL786466 ICH786466 IMD786466 IVZ786466 JFV786466 JPR786466 JZN786466 KJJ786466 KTF786466 LDB786466 LMX786466 LWT786466 MGP786466 MQL786466 NAH786466 NKD786466 NTZ786466 ODV786466 ONR786466 OXN786466 PHJ786466 PRF786466 QBB786466 QKX786466 QUT786466 REP786466 ROL786466 RYH786466 SID786466 SRZ786466 TBV786466 TLR786466 TVN786466 UFJ786466 UPF786466 UZB786466 VIX786466 VST786466 WCP786466 WML786466 WWH786466 W852002 JV852002 TR852002 ADN852002 ANJ852002 AXF852002 BHB852002 BQX852002 CAT852002 CKP852002 CUL852002 DEH852002 DOD852002 DXZ852002 EHV852002 ERR852002 FBN852002 FLJ852002 FVF852002 GFB852002 GOX852002 GYT852002 HIP852002 HSL852002 ICH852002 IMD852002 IVZ852002 JFV852002 JPR852002 JZN852002 KJJ852002 KTF852002 LDB852002 LMX852002 LWT852002 MGP852002 MQL852002 NAH852002 NKD852002 NTZ852002 ODV852002 ONR852002 OXN852002 PHJ852002 PRF852002 QBB852002 QKX852002 QUT852002 REP852002 ROL852002 RYH852002 SID852002 SRZ852002 TBV852002 TLR852002 TVN852002 UFJ852002 UPF852002 UZB852002 VIX852002 VST852002 WCP852002 WML852002 WWH852002 W917538 JV917538 TR917538 ADN917538 ANJ917538 AXF917538 BHB917538 BQX917538 CAT917538 CKP917538 CUL917538 DEH917538 DOD917538 DXZ917538 EHV917538 ERR917538 FBN917538 FLJ917538 FVF917538 GFB917538 GOX917538 GYT917538 HIP917538 HSL917538 ICH917538 IMD917538 IVZ917538 JFV917538 JPR917538 JZN917538 KJJ917538 KTF917538 LDB917538 LMX917538 LWT917538 MGP917538 MQL917538 NAH917538 NKD917538 NTZ917538 ODV917538 ONR917538 OXN917538 PHJ917538 PRF917538 QBB917538 QKX917538 QUT917538 REP917538 ROL917538 RYH917538 SID917538 SRZ917538 TBV917538 TLR917538 TVN917538 UFJ917538 UPF917538 UZB917538 VIX917538 VST917538 WCP917538 WML917538 WWH917538 W983074 JV983074 TR983074 ADN983074 ANJ983074 AXF983074 BHB983074 BQX983074 CAT983074 CKP983074 CUL983074 DEH983074 DOD983074 DXZ983074 EHV983074 ERR983074 FBN983074 FLJ983074 FVF983074 GFB983074 GOX983074 GYT983074 HIP983074 HSL983074 ICH983074 IMD983074 IVZ983074 JFV983074 JPR983074 JZN983074 KJJ983074 KTF983074 LDB983074 LMX983074 LWT983074 MGP983074 MQL983074 NAH983074 NKD983074 NTZ983074 ODV983074 ONR983074 OXN983074 PHJ983074 PRF983074 QBB983074 QKX983074 QUT983074 REP983074 ROL983074 RYH983074 SID983074 SRZ983074 TBV983074 TLR983074 TVN983074 UFJ983074 UPF983074 UZB983074 VIX983074 VST983074 WCP983074 WML983074 WWH983074 Q983078:AD983089 JP983078:KC983089 TL983078:TY983089 ADH983078:ADU983089 AND983078:ANQ983089 AWZ983078:AXM983089 BGV983078:BHI983089 BQR983078:BRE983089 CAN983078:CBA983089 CKJ983078:CKW983089 CUF983078:CUS983089 DEB983078:DEO983089 DNX983078:DOK983089 DXT983078:DYG983089 EHP983078:EIC983089 ERL983078:ERY983089 FBH983078:FBU983089 FLD983078:FLQ983089 FUZ983078:FVM983089 GEV983078:GFI983089 GOR983078:GPE983089 GYN983078:GZA983089 HIJ983078:HIW983089 HSF983078:HSS983089 ICB983078:ICO983089 ILX983078:IMK983089 IVT983078:IWG983089 JFP983078:JGC983089 JPL983078:JPY983089 JZH983078:JZU983089 KJD983078:KJQ983089 KSZ983078:KTM983089 LCV983078:LDI983089 LMR983078:LNE983089 LWN983078:LXA983089 MGJ983078:MGW983089 MQF983078:MQS983089 NAB983078:NAO983089 NJX983078:NKK983089 NTT983078:NUG983089 ODP983078:OEC983089 ONL983078:ONY983089 OXH983078:OXU983089 PHD983078:PHQ983089 PQZ983078:PRM983089 QAV983078:QBI983089 QKR983078:QLE983089 QUN983078:QVA983089 REJ983078:REW983089 ROF983078:ROS983089 RYB983078:RYO983089 SHX983078:SIK983089 SRT983078:SSG983089 TBP983078:TCC983089 TLL983078:TLY983089 TVH983078:TVU983089 UFD983078:UFQ983089 UOZ983078:UPM983089 UYV983078:UZI983089 VIR983078:VJE983089 VSN983078:VTA983089 WCJ983078:WCW983089 WMF983078:WMS983089 WWB983078:WWO983089 Q65574:AD65585 JP65574:KC65585 TL65574:TY65585 ADH65574:ADU65585 AND65574:ANQ65585 AWZ65574:AXM65585 BGV65574:BHI65585 BQR65574:BRE65585 CAN65574:CBA65585 CKJ65574:CKW65585 CUF65574:CUS65585 DEB65574:DEO65585 DNX65574:DOK65585 DXT65574:DYG65585 EHP65574:EIC65585 ERL65574:ERY65585 FBH65574:FBU65585 FLD65574:FLQ65585 FUZ65574:FVM65585 GEV65574:GFI65585 GOR65574:GPE65585 GYN65574:GZA65585 HIJ65574:HIW65585 HSF65574:HSS65585 ICB65574:ICO65585 ILX65574:IMK65585 IVT65574:IWG65585 JFP65574:JGC65585 JPL65574:JPY65585 JZH65574:JZU65585 KJD65574:KJQ65585 KSZ65574:KTM65585 LCV65574:LDI65585 LMR65574:LNE65585 LWN65574:LXA65585 MGJ65574:MGW65585 MQF65574:MQS65585 NAB65574:NAO65585 NJX65574:NKK65585 NTT65574:NUG65585 ODP65574:OEC65585 ONL65574:ONY65585 OXH65574:OXU65585 PHD65574:PHQ65585 PQZ65574:PRM65585 QAV65574:QBI65585 QKR65574:QLE65585 QUN65574:QVA65585 REJ65574:REW65585 ROF65574:ROS65585 RYB65574:RYO65585 SHX65574:SIK65585 SRT65574:SSG65585 TBP65574:TCC65585 TLL65574:TLY65585 TVH65574:TVU65585 UFD65574:UFQ65585 UOZ65574:UPM65585 UYV65574:UZI65585 VIR65574:VJE65585 VSN65574:VTA65585 WCJ65574:WCW65585 WMF65574:WMS65585 WWB65574:WWO65585 Q131110:AD131121 JP131110:KC131121 TL131110:TY131121 ADH131110:ADU131121 AND131110:ANQ131121 AWZ131110:AXM131121 BGV131110:BHI131121 BQR131110:BRE131121 CAN131110:CBA131121 CKJ131110:CKW131121 CUF131110:CUS131121 DEB131110:DEO131121 DNX131110:DOK131121 DXT131110:DYG131121 EHP131110:EIC131121 ERL131110:ERY131121 FBH131110:FBU131121 FLD131110:FLQ131121 FUZ131110:FVM131121 GEV131110:GFI131121 GOR131110:GPE131121 GYN131110:GZA131121 HIJ131110:HIW131121 HSF131110:HSS131121 ICB131110:ICO131121 ILX131110:IMK131121 IVT131110:IWG131121 JFP131110:JGC131121 JPL131110:JPY131121 JZH131110:JZU131121 KJD131110:KJQ131121 KSZ131110:KTM131121 LCV131110:LDI131121 LMR131110:LNE131121 LWN131110:LXA131121 MGJ131110:MGW131121 MQF131110:MQS131121 NAB131110:NAO131121 NJX131110:NKK131121 NTT131110:NUG131121 ODP131110:OEC131121 ONL131110:ONY131121 OXH131110:OXU131121 PHD131110:PHQ131121 PQZ131110:PRM131121 QAV131110:QBI131121 QKR131110:QLE131121 QUN131110:QVA131121 REJ131110:REW131121 ROF131110:ROS131121 RYB131110:RYO131121 SHX131110:SIK131121 SRT131110:SSG131121 TBP131110:TCC131121 TLL131110:TLY131121 TVH131110:TVU131121 UFD131110:UFQ131121 UOZ131110:UPM131121 UYV131110:UZI131121 VIR131110:VJE131121 VSN131110:VTA131121 WCJ131110:WCW131121 WMF131110:WMS131121 WWB131110:WWO131121 Q196646:AD196657 JP196646:KC196657 TL196646:TY196657 ADH196646:ADU196657 AND196646:ANQ196657 AWZ196646:AXM196657 BGV196646:BHI196657 BQR196646:BRE196657 CAN196646:CBA196657 CKJ196646:CKW196657 CUF196646:CUS196657 DEB196646:DEO196657 DNX196646:DOK196657 DXT196646:DYG196657 EHP196646:EIC196657 ERL196646:ERY196657 FBH196646:FBU196657 FLD196646:FLQ196657 FUZ196646:FVM196657 GEV196646:GFI196657 GOR196646:GPE196657 GYN196646:GZA196657 HIJ196646:HIW196657 HSF196646:HSS196657 ICB196646:ICO196657 ILX196646:IMK196657 IVT196646:IWG196657 JFP196646:JGC196657 JPL196646:JPY196657 JZH196646:JZU196657 KJD196646:KJQ196657 KSZ196646:KTM196657 LCV196646:LDI196657 LMR196646:LNE196657 LWN196646:LXA196657 MGJ196646:MGW196657 MQF196646:MQS196657 NAB196646:NAO196657 NJX196646:NKK196657 NTT196646:NUG196657 ODP196646:OEC196657 ONL196646:ONY196657 OXH196646:OXU196657 PHD196646:PHQ196657 PQZ196646:PRM196657 QAV196646:QBI196657 QKR196646:QLE196657 QUN196646:QVA196657 REJ196646:REW196657 ROF196646:ROS196657 RYB196646:RYO196657 SHX196646:SIK196657 SRT196646:SSG196657 TBP196646:TCC196657 TLL196646:TLY196657 TVH196646:TVU196657 UFD196646:UFQ196657 UOZ196646:UPM196657 UYV196646:UZI196657 VIR196646:VJE196657 VSN196646:VTA196657 WCJ196646:WCW196657 WMF196646:WMS196657 WWB196646:WWO196657 Q262182:AD262193 JP262182:KC262193 TL262182:TY262193 ADH262182:ADU262193 AND262182:ANQ262193 AWZ262182:AXM262193 BGV262182:BHI262193 BQR262182:BRE262193 CAN262182:CBA262193 CKJ262182:CKW262193 CUF262182:CUS262193 DEB262182:DEO262193 DNX262182:DOK262193 DXT262182:DYG262193 EHP262182:EIC262193 ERL262182:ERY262193 FBH262182:FBU262193 FLD262182:FLQ262193 FUZ262182:FVM262193 GEV262182:GFI262193 GOR262182:GPE262193 GYN262182:GZA262193 HIJ262182:HIW262193 HSF262182:HSS262193 ICB262182:ICO262193 ILX262182:IMK262193 IVT262182:IWG262193 JFP262182:JGC262193 JPL262182:JPY262193 JZH262182:JZU262193 KJD262182:KJQ262193 KSZ262182:KTM262193 LCV262182:LDI262193 LMR262182:LNE262193 LWN262182:LXA262193 MGJ262182:MGW262193 MQF262182:MQS262193 NAB262182:NAO262193 NJX262182:NKK262193 NTT262182:NUG262193 ODP262182:OEC262193 ONL262182:ONY262193 OXH262182:OXU262193 PHD262182:PHQ262193 PQZ262182:PRM262193 QAV262182:QBI262193 QKR262182:QLE262193 QUN262182:QVA262193 REJ262182:REW262193 ROF262182:ROS262193 RYB262182:RYO262193 SHX262182:SIK262193 SRT262182:SSG262193 TBP262182:TCC262193 TLL262182:TLY262193 TVH262182:TVU262193 UFD262182:UFQ262193 UOZ262182:UPM262193 UYV262182:UZI262193 VIR262182:VJE262193 VSN262182:VTA262193 WCJ262182:WCW262193 WMF262182:WMS262193 WWB262182:WWO262193 Q327718:AD327729 JP327718:KC327729 TL327718:TY327729 ADH327718:ADU327729 AND327718:ANQ327729 AWZ327718:AXM327729 BGV327718:BHI327729 BQR327718:BRE327729 CAN327718:CBA327729 CKJ327718:CKW327729 CUF327718:CUS327729 DEB327718:DEO327729 DNX327718:DOK327729 DXT327718:DYG327729 EHP327718:EIC327729 ERL327718:ERY327729 FBH327718:FBU327729 FLD327718:FLQ327729 FUZ327718:FVM327729 GEV327718:GFI327729 GOR327718:GPE327729 GYN327718:GZA327729 HIJ327718:HIW327729 HSF327718:HSS327729 ICB327718:ICO327729 ILX327718:IMK327729 IVT327718:IWG327729 JFP327718:JGC327729 JPL327718:JPY327729 JZH327718:JZU327729 KJD327718:KJQ327729 KSZ327718:KTM327729 LCV327718:LDI327729 LMR327718:LNE327729 LWN327718:LXA327729 MGJ327718:MGW327729 MQF327718:MQS327729 NAB327718:NAO327729 NJX327718:NKK327729 NTT327718:NUG327729 ODP327718:OEC327729 ONL327718:ONY327729 OXH327718:OXU327729 PHD327718:PHQ327729 PQZ327718:PRM327729 QAV327718:QBI327729 QKR327718:QLE327729 QUN327718:QVA327729 REJ327718:REW327729 ROF327718:ROS327729 RYB327718:RYO327729 SHX327718:SIK327729 SRT327718:SSG327729 TBP327718:TCC327729 TLL327718:TLY327729 TVH327718:TVU327729 UFD327718:UFQ327729 UOZ327718:UPM327729 UYV327718:UZI327729 VIR327718:VJE327729 VSN327718:VTA327729 WCJ327718:WCW327729 WMF327718:WMS327729 WWB327718:WWO327729 Q393254:AD393265 JP393254:KC393265 TL393254:TY393265 ADH393254:ADU393265 AND393254:ANQ393265 AWZ393254:AXM393265 BGV393254:BHI393265 BQR393254:BRE393265 CAN393254:CBA393265 CKJ393254:CKW393265 CUF393254:CUS393265 DEB393254:DEO393265 DNX393254:DOK393265 DXT393254:DYG393265 EHP393254:EIC393265 ERL393254:ERY393265 FBH393254:FBU393265 FLD393254:FLQ393265 FUZ393254:FVM393265 GEV393254:GFI393265 GOR393254:GPE393265 GYN393254:GZA393265 HIJ393254:HIW393265 HSF393254:HSS393265 ICB393254:ICO393265 ILX393254:IMK393265 IVT393254:IWG393265 JFP393254:JGC393265 JPL393254:JPY393265 JZH393254:JZU393265 KJD393254:KJQ393265 KSZ393254:KTM393265 LCV393254:LDI393265 LMR393254:LNE393265 LWN393254:LXA393265 MGJ393254:MGW393265 MQF393254:MQS393265 NAB393254:NAO393265 NJX393254:NKK393265 NTT393254:NUG393265 ODP393254:OEC393265 ONL393254:ONY393265 OXH393254:OXU393265 PHD393254:PHQ393265 PQZ393254:PRM393265 QAV393254:QBI393265 QKR393254:QLE393265 QUN393254:QVA393265 REJ393254:REW393265 ROF393254:ROS393265 RYB393254:RYO393265 SHX393254:SIK393265 SRT393254:SSG393265 TBP393254:TCC393265 TLL393254:TLY393265 TVH393254:TVU393265 UFD393254:UFQ393265 UOZ393254:UPM393265 UYV393254:UZI393265 VIR393254:VJE393265 VSN393254:VTA393265 WCJ393254:WCW393265 WMF393254:WMS393265 WWB393254:WWO393265 Q458790:AD458801 JP458790:KC458801 TL458790:TY458801 ADH458790:ADU458801 AND458790:ANQ458801 AWZ458790:AXM458801 BGV458790:BHI458801 BQR458790:BRE458801 CAN458790:CBA458801 CKJ458790:CKW458801 CUF458790:CUS458801 DEB458790:DEO458801 DNX458790:DOK458801 DXT458790:DYG458801 EHP458790:EIC458801 ERL458790:ERY458801 FBH458790:FBU458801 FLD458790:FLQ458801 FUZ458790:FVM458801 GEV458790:GFI458801 GOR458790:GPE458801 GYN458790:GZA458801 HIJ458790:HIW458801 HSF458790:HSS458801 ICB458790:ICO458801 ILX458790:IMK458801 IVT458790:IWG458801 JFP458790:JGC458801 JPL458790:JPY458801 JZH458790:JZU458801 KJD458790:KJQ458801 KSZ458790:KTM458801 LCV458790:LDI458801 LMR458790:LNE458801 LWN458790:LXA458801 MGJ458790:MGW458801 MQF458790:MQS458801 NAB458790:NAO458801 NJX458790:NKK458801 NTT458790:NUG458801 ODP458790:OEC458801 ONL458790:ONY458801 OXH458790:OXU458801 PHD458790:PHQ458801 PQZ458790:PRM458801 QAV458790:QBI458801 QKR458790:QLE458801 QUN458790:QVA458801 REJ458790:REW458801 ROF458790:ROS458801 RYB458790:RYO458801 SHX458790:SIK458801 SRT458790:SSG458801 TBP458790:TCC458801 TLL458790:TLY458801 TVH458790:TVU458801 UFD458790:UFQ458801 UOZ458790:UPM458801 UYV458790:UZI458801 VIR458790:VJE458801 VSN458790:VTA458801 WCJ458790:WCW458801 WMF458790:WMS458801 WWB458790:WWO458801 Q524326:AD524337 JP524326:KC524337 TL524326:TY524337 ADH524326:ADU524337 AND524326:ANQ524337 AWZ524326:AXM524337 BGV524326:BHI524337 BQR524326:BRE524337 CAN524326:CBA524337 CKJ524326:CKW524337 CUF524326:CUS524337 DEB524326:DEO524337 DNX524326:DOK524337 DXT524326:DYG524337 EHP524326:EIC524337 ERL524326:ERY524337 FBH524326:FBU524337 FLD524326:FLQ524337 FUZ524326:FVM524337 GEV524326:GFI524337 GOR524326:GPE524337 GYN524326:GZA524337 HIJ524326:HIW524337 HSF524326:HSS524337 ICB524326:ICO524337 ILX524326:IMK524337 IVT524326:IWG524337 JFP524326:JGC524337 JPL524326:JPY524337 JZH524326:JZU524337 KJD524326:KJQ524337 KSZ524326:KTM524337 LCV524326:LDI524337 LMR524326:LNE524337 LWN524326:LXA524337 MGJ524326:MGW524337 MQF524326:MQS524337 NAB524326:NAO524337 NJX524326:NKK524337 NTT524326:NUG524337 ODP524326:OEC524337 ONL524326:ONY524337 OXH524326:OXU524337 PHD524326:PHQ524337 PQZ524326:PRM524337 QAV524326:QBI524337 QKR524326:QLE524337 QUN524326:QVA524337 REJ524326:REW524337 ROF524326:ROS524337 RYB524326:RYO524337 SHX524326:SIK524337 SRT524326:SSG524337 TBP524326:TCC524337 TLL524326:TLY524337 TVH524326:TVU524337 UFD524326:UFQ524337 UOZ524326:UPM524337 UYV524326:UZI524337 VIR524326:VJE524337 VSN524326:VTA524337 WCJ524326:WCW524337 WMF524326:WMS524337 WWB524326:WWO524337 Q589862:AD589873 JP589862:KC589873 TL589862:TY589873 ADH589862:ADU589873 AND589862:ANQ589873 AWZ589862:AXM589873 BGV589862:BHI589873 BQR589862:BRE589873 CAN589862:CBA589873 CKJ589862:CKW589873 CUF589862:CUS589873 DEB589862:DEO589873 DNX589862:DOK589873 DXT589862:DYG589873 EHP589862:EIC589873 ERL589862:ERY589873 FBH589862:FBU589873 FLD589862:FLQ589873 FUZ589862:FVM589873 GEV589862:GFI589873 GOR589862:GPE589873 GYN589862:GZA589873 HIJ589862:HIW589873 HSF589862:HSS589873 ICB589862:ICO589873 ILX589862:IMK589873 IVT589862:IWG589873 JFP589862:JGC589873 JPL589862:JPY589873 JZH589862:JZU589873 KJD589862:KJQ589873 KSZ589862:KTM589873 LCV589862:LDI589873 LMR589862:LNE589873 LWN589862:LXA589873 MGJ589862:MGW589873 MQF589862:MQS589873 NAB589862:NAO589873 NJX589862:NKK589873 NTT589862:NUG589873 ODP589862:OEC589873 ONL589862:ONY589873 OXH589862:OXU589873 PHD589862:PHQ589873 PQZ589862:PRM589873 QAV589862:QBI589873 QKR589862:QLE589873 QUN589862:QVA589873 REJ589862:REW589873 ROF589862:ROS589873 RYB589862:RYO589873 SHX589862:SIK589873 SRT589862:SSG589873 TBP589862:TCC589873 TLL589862:TLY589873 TVH589862:TVU589873 UFD589862:UFQ589873 UOZ589862:UPM589873 UYV589862:UZI589873 VIR589862:VJE589873 VSN589862:VTA589873 WCJ589862:WCW589873 WMF589862:WMS589873 WWB589862:WWO589873 Q655398:AD655409 JP655398:KC655409 TL655398:TY655409 ADH655398:ADU655409 AND655398:ANQ655409 AWZ655398:AXM655409 BGV655398:BHI655409 BQR655398:BRE655409 CAN655398:CBA655409 CKJ655398:CKW655409 CUF655398:CUS655409 DEB655398:DEO655409 DNX655398:DOK655409 DXT655398:DYG655409 EHP655398:EIC655409 ERL655398:ERY655409 FBH655398:FBU655409 FLD655398:FLQ655409 FUZ655398:FVM655409 GEV655398:GFI655409 GOR655398:GPE655409 GYN655398:GZA655409 HIJ655398:HIW655409 HSF655398:HSS655409 ICB655398:ICO655409 ILX655398:IMK655409 IVT655398:IWG655409 JFP655398:JGC655409 JPL655398:JPY655409 JZH655398:JZU655409 KJD655398:KJQ655409 KSZ655398:KTM655409 LCV655398:LDI655409 LMR655398:LNE655409 LWN655398:LXA655409 MGJ655398:MGW655409 MQF655398:MQS655409 NAB655398:NAO655409 NJX655398:NKK655409 NTT655398:NUG655409 ODP655398:OEC655409 ONL655398:ONY655409 OXH655398:OXU655409 PHD655398:PHQ655409 PQZ655398:PRM655409 QAV655398:QBI655409 QKR655398:QLE655409 QUN655398:QVA655409 REJ655398:REW655409 ROF655398:ROS655409 RYB655398:RYO655409 SHX655398:SIK655409 SRT655398:SSG655409 TBP655398:TCC655409 TLL655398:TLY655409 TVH655398:TVU655409 UFD655398:UFQ655409 UOZ655398:UPM655409 UYV655398:UZI655409 VIR655398:VJE655409 VSN655398:VTA655409 WCJ655398:WCW655409 WMF655398:WMS655409 WWB655398:WWO655409 Q720934:AD720945 JP720934:KC720945 TL720934:TY720945 ADH720934:ADU720945 AND720934:ANQ720945 AWZ720934:AXM720945 BGV720934:BHI720945 BQR720934:BRE720945 CAN720934:CBA720945 CKJ720934:CKW720945 CUF720934:CUS720945 DEB720934:DEO720945 DNX720934:DOK720945 DXT720934:DYG720945 EHP720934:EIC720945 ERL720934:ERY720945 FBH720934:FBU720945 FLD720934:FLQ720945 FUZ720934:FVM720945 GEV720934:GFI720945 GOR720934:GPE720945 GYN720934:GZA720945 HIJ720934:HIW720945 HSF720934:HSS720945 ICB720934:ICO720945 ILX720934:IMK720945 IVT720934:IWG720945 JFP720934:JGC720945 JPL720934:JPY720945 JZH720934:JZU720945 KJD720934:KJQ720945 KSZ720934:KTM720945 LCV720934:LDI720945 LMR720934:LNE720945 LWN720934:LXA720945 MGJ720934:MGW720945 MQF720934:MQS720945 NAB720934:NAO720945 NJX720934:NKK720945 NTT720934:NUG720945 ODP720934:OEC720945 ONL720934:ONY720945 OXH720934:OXU720945 PHD720934:PHQ720945 PQZ720934:PRM720945 QAV720934:QBI720945 QKR720934:QLE720945 QUN720934:QVA720945 REJ720934:REW720945 ROF720934:ROS720945 RYB720934:RYO720945 SHX720934:SIK720945 SRT720934:SSG720945 TBP720934:TCC720945 TLL720934:TLY720945 TVH720934:TVU720945 UFD720934:UFQ720945 UOZ720934:UPM720945 UYV720934:UZI720945 VIR720934:VJE720945 VSN720934:VTA720945 WCJ720934:WCW720945 WMF720934:WMS720945 WWB720934:WWO720945 JZ34 TV34 ADR34 ANN34 AXJ34 BHF34 BRB34 CAX34 CKT34 CUP34 DEL34 DOH34 DYD34 EHZ34 ERV34 FBR34 FLN34 FVJ34 GFF34 GPB34 GYX34 HIT34 HSP34 ICL34 IMH34 IWD34 JFZ34 JPV34 JZR34 KJN34 KTJ34 LDF34 LNB34 LWX34 MGT34 MQP34 NAL34 NKH34 NUD34 ODZ34 ONV34 OXR34 PHN34 PRJ34 QBF34 QLB34 QUX34 RET34 ROP34 RYL34 SIH34 SSD34 TBZ34 TLV34 TVR34 UFN34 UPJ34 UZF34 VJB34 VSX34 WCT34 WMP34 WWL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JV34 TR34 ADN34 ANJ34 AXF34 BHB34 BQX34 CAT34 CKP34 CUL34 DEH34 DOD34 DXZ34 EHV34 ERR34 FBN34 FLJ34 FVF34 GFB34 GOX34 GYT34 HIP34 HSL34 ICH34 IMD34 IVZ34 JFV34 JPR34 JZN34 KJJ34 KTF34 LDB34 LMX34 LWT34 MGP34 MQL34 NAH34 NKD34 NTZ34 ODV34 ONR34 OXN34 PHJ34 PRF34 QBB34 QKX34 QUT34 REP34 ROL34 RYH34 SID34 SRZ34 TBV34 TLR34 TVN34 UFJ34 UPF34 UZB34 VIX34 VST34 WCP34 WML34 WWH34 JP38:KC49 TL38:TY49 ADH38:ADU49 AND38:ANQ49 AWZ38:AXM49 BGV38:BHI49 BQR38:BRE49 CAN38:CBA49 CKJ38:CKW49 CUF38:CUS49 DEB38:DEO49 DNX38:DOK49 DXT38:DYG49 EHP38:EIC49 ERL38:ERY49 FBH38:FBU49 FLD38:FLQ49 FUZ38:FVM49 GEV38:GFI49 GOR38:GPE49 GYN38:GZA49 HIJ38:HIW49 HSF38:HSS49 ICB38:ICO49 ILX38:IMK49 IVT38:IWG49 JFP38:JGC49 JPL38:JPY49 JZH38:JZU49 KJD38:KJQ49 KSZ38:KTM49 LCV38:LDI49 LMR38:LNE49 LWN38:LXA49 MGJ38:MGW49 MQF38:MQS49 NAB38:NAO49 NJX38:NKK49 NTT38:NUG49 ODP38:OEC49 ONL38:ONY49 OXH38:OXU49 PHD38:PHQ49 PQZ38:PRM49 QAV38:QBI49 QKR38:QLE49 QUN38:QVA49 REJ38:REW49 ROF38:ROS49 RYB38:RYO49 SHX38:SIK49 SRT38:SSG49 TBP38:TCC49 TLL38:TLY49 TVH38:TVU49 UFD38:UFQ49 UOZ38:UPM49 UYV38:UZI49 VIR38:VJE49 VSN38:VTA49 WCJ38:WCW49 WMF38:WMS49 WWB38:WWO49" xr:uid="{B97A2D73-6148-48D1-88A6-3990843531B1}">
      <formula1>2000</formula1>
    </dataValidation>
  </dataValidations>
  <printOptions horizontalCentered="1"/>
  <pageMargins left="0.19685039370078741" right="0.19685039370078741" top="0.19685039370078741" bottom="0.19685039370078741" header="0" footer="0"/>
  <pageSetup scale="28" fitToHeight="0" orientation="landscape" r:id="rId1"/>
  <rowBreaks count="1" manualBreakCount="1">
    <brk id="39" max="29" man="1"/>
  </row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0285D-3F4B-47FA-A11D-96046964CD7B}">
  <sheetPr filterMode="1">
    <tabColor rgb="FF92D050"/>
    <pageSetUpPr fitToPage="1"/>
  </sheetPr>
  <dimension ref="A1:BB113"/>
  <sheetViews>
    <sheetView topLeftCell="A85" zoomScaleNormal="100" workbookViewId="0">
      <selection activeCell="H109" sqref="H109"/>
    </sheetView>
  </sheetViews>
  <sheetFormatPr baseColWidth="10" defaultColWidth="11.42578125" defaultRowHeight="15"/>
  <cols>
    <col min="1" max="1" width="33.7109375" customWidth="1"/>
    <col min="2" max="2" width="16.85546875" bestFit="1" customWidth="1"/>
    <col min="3" max="3" width="15.140625" bestFit="1" customWidth="1"/>
    <col min="4" max="6" width="16.85546875" bestFit="1" customWidth="1"/>
    <col min="8" max="8" width="15.85546875" bestFit="1" customWidth="1"/>
    <col min="9" max="10" width="15.5703125" bestFit="1" customWidth="1"/>
    <col min="17" max="17" width="11.42578125" customWidth="1"/>
    <col min="18" max="26" width="11.42578125" hidden="1" customWidth="1"/>
    <col min="27" max="27" width="17.42578125" customWidth="1"/>
    <col min="28" max="28" width="17.85546875" bestFit="1" customWidth="1"/>
    <col min="29" max="33" width="11.42578125" customWidth="1"/>
    <col min="34" max="34" width="11.42578125" style="273" customWidth="1"/>
    <col min="35" max="38" width="16.85546875" style="273" bestFit="1" customWidth="1"/>
    <col min="39" max="39" width="16.42578125" style="273" bestFit="1" customWidth="1"/>
    <col min="40" max="41" width="16.85546875" style="273" bestFit="1" customWidth="1"/>
    <col min="42" max="42" width="16.42578125" style="273" bestFit="1" customWidth="1"/>
    <col min="43" max="44" width="16.85546875" style="273" bestFit="1" customWidth="1"/>
    <col min="45" max="46" width="17.140625" style="273" bestFit="1" customWidth="1"/>
    <col min="47" max="47" width="18.5703125" style="299" bestFit="1" customWidth="1"/>
    <col min="48" max="48" width="18.7109375" style="273" bestFit="1" customWidth="1"/>
    <col min="49" max="49" width="12" style="273" bestFit="1" customWidth="1"/>
    <col min="50" max="50" width="15.7109375" style="273" bestFit="1" customWidth="1"/>
    <col min="51" max="53" width="11.42578125" style="273"/>
    <col min="54" max="54" width="19" style="272" bestFit="1" customWidth="1"/>
  </cols>
  <sheetData>
    <row r="1" spans="1:54" ht="76.5">
      <c r="A1" s="206" t="s">
        <v>726</v>
      </c>
      <c r="B1" s="206" t="s">
        <v>727</v>
      </c>
      <c r="C1" s="206" t="s">
        <v>728</v>
      </c>
      <c r="D1" s="206" t="s">
        <v>729</v>
      </c>
      <c r="E1" s="207" t="s">
        <v>730</v>
      </c>
      <c r="F1" s="206" t="s">
        <v>731</v>
      </c>
      <c r="G1" s="206" t="s">
        <v>732</v>
      </c>
      <c r="H1" s="206" t="s">
        <v>733</v>
      </c>
      <c r="I1" s="206" t="s">
        <v>734</v>
      </c>
      <c r="J1" s="208" t="s">
        <v>376</v>
      </c>
      <c r="K1" s="208" t="s">
        <v>735</v>
      </c>
      <c r="L1" s="208" t="s">
        <v>736</v>
      </c>
      <c r="M1" s="208" t="s">
        <v>737</v>
      </c>
      <c r="N1" s="208" t="s">
        <v>738</v>
      </c>
      <c r="O1" s="208" t="s">
        <v>739</v>
      </c>
      <c r="P1" s="208" t="s">
        <v>740</v>
      </c>
      <c r="Q1" s="208" t="s">
        <v>741</v>
      </c>
      <c r="R1" s="208" t="s">
        <v>742</v>
      </c>
      <c r="S1" s="208" t="s">
        <v>743</v>
      </c>
      <c r="T1" s="208" t="s">
        <v>744</v>
      </c>
      <c r="U1" s="208" t="s">
        <v>745</v>
      </c>
      <c r="V1" s="208" t="s">
        <v>746</v>
      </c>
      <c r="W1" s="208" t="s">
        <v>747</v>
      </c>
      <c r="X1" s="209" t="s">
        <v>748</v>
      </c>
      <c r="Y1" s="208" t="s">
        <v>749</v>
      </c>
      <c r="Z1" s="208" t="s">
        <v>750</v>
      </c>
      <c r="AA1" s="210" t="s">
        <v>751</v>
      </c>
      <c r="AB1" s="210" t="s">
        <v>752</v>
      </c>
      <c r="AC1" s="211" t="s">
        <v>753</v>
      </c>
      <c r="AD1" s="211" t="s">
        <v>754</v>
      </c>
      <c r="AE1" s="212"/>
      <c r="AF1" s="212"/>
      <c r="AG1" s="212"/>
      <c r="AH1" s="306"/>
      <c r="AI1" s="341" t="s">
        <v>65</v>
      </c>
      <c r="AJ1" s="341" t="s">
        <v>66</v>
      </c>
      <c r="AK1" s="341" t="s">
        <v>755</v>
      </c>
      <c r="AL1" s="341" t="s">
        <v>68</v>
      </c>
      <c r="AM1" s="341" t="s">
        <v>69</v>
      </c>
      <c r="AN1" s="341" t="s">
        <v>70</v>
      </c>
      <c r="AO1" s="341" t="s">
        <v>71</v>
      </c>
      <c r="AP1" s="341" t="s">
        <v>756</v>
      </c>
      <c r="AQ1" s="341" t="s">
        <v>757</v>
      </c>
      <c r="AR1" s="341" t="s">
        <v>758</v>
      </c>
      <c r="AS1" s="341" t="s">
        <v>759</v>
      </c>
      <c r="AT1" s="341" t="s">
        <v>760</v>
      </c>
      <c r="AU1" s="299" t="s">
        <v>324</v>
      </c>
      <c r="AX1" s="273" t="s">
        <v>541</v>
      </c>
      <c r="AY1" s="273" t="s">
        <v>542</v>
      </c>
      <c r="AZ1" s="273" t="s">
        <v>543</v>
      </c>
      <c r="BA1" s="273" t="s">
        <v>761</v>
      </c>
    </row>
    <row r="2" spans="1:54">
      <c r="A2" s="213" t="s">
        <v>762</v>
      </c>
      <c r="B2" s="214" t="s">
        <v>763</v>
      </c>
      <c r="C2" s="214" t="s">
        <v>763</v>
      </c>
      <c r="D2" s="214">
        <v>362</v>
      </c>
      <c r="E2" s="215">
        <v>362</v>
      </c>
      <c r="F2" s="216">
        <v>7673</v>
      </c>
      <c r="G2" s="213" t="s">
        <v>563</v>
      </c>
      <c r="H2" s="213" t="s">
        <v>764</v>
      </c>
      <c r="I2" s="213" t="s">
        <v>765</v>
      </c>
      <c r="J2" s="213" t="s">
        <v>766</v>
      </c>
      <c r="K2" s="213" t="s">
        <v>767</v>
      </c>
      <c r="L2" s="213" t="s">
        <v>768</v>
      </c>
      <c r="M2" s="213" t="s">
        <v>769</v>
      </c>
      <c r="N2" s="213" t="s">
        <v>770</v>
      </c>
      <c r="O2" s="213" t="s">
        <v>771</v>
      </c>
      <c r="P2" s="213" t="s">
        <v>772</v>
      </c>
      <c r="Q2" s="217">
        <v>1</v>
      </c>
      <c r="R2" s="213" t="s">
        <v>773</v>
      </c>
      <c r="S2" s="213" t="s">
        <v>774</v>
      </c>
      <c r="T2" s="214">
        <v>80111620</v>
      </c>
      <c r="U2" s="218" t="s">
        <v>775</v>
      </c>
      <c r="V2" s="214">
        <v>1</v>
      </c>
      <c r="W2" s="214">
        <v>1</v>
      </c>
      <c r="X2" s="214">
        <v>330</v>
      </c>
      <c r="Y2" s="219" t="s">
        <v>776</v>
      </c>
      <c r="Z2" s="220" t="s">
        <v>777</v>
      </c>
      <c r="AA2" s="308">
        <v>69608000</v>
      </c>
      <c r="AB2" s="221">
        <v>6328000</v>
      </c>
      <c r="AC2" s="220" t="s">
        <v>778</v>
      </c>
      <c r="AD2" s="220" t="s">
        <v>779</v>
      </c>
      <c r="AE2" s="222"/>
      <c r="AF2" s="223"/>
      <c r="AG2" s="224"/>
      <c r="AH2" s="274"/>
      <c r="AI2" s="332">
        <f>AB2/30*10</f>
        <v>2109333.3333333335</v>
      </c>
      <c r="AJ2" s="332">
        <f>AB2</f>
        <v>6328000</v>
      </c>
      <c r="AK2" s="332">
        <v>6328000</v>
      </c>
      <c r="AL2" s="332">
        <v>6328000</v>
      </c>
      <c r="AM2" s="302">
        <v>6328000</v>
      </c>
      <c r="AN2" s="302">
        <v>6328000</v>
      </c>
      <c r="AO2" s="302">
        <v>6328000</v>
      </c>
      <c r="AP2" s="302">
        <v>6328000</v>
      </c>
      <c r="AQ2" s="302">
        <v>6328000</v>
      </c>
      <c r="AR2" s="302">
        <v>6328000</v>
      </c>
      <c r="AS2" s="302">
        <v>6328000</v>
      </c>
      <c r="AT2" s="302">
        <f>AB2/30*20</f>
        <v>4218666.666666667</v>
      </c>
      <c r="AU2" s="299">
        <f>SUM(AI2:AT2)</f>
        <v>69608000</v>
      </c>
      <c r="AV2" s="276">
        <f>+AU2-AA2</f>
        <v>0</v>
      </c>
      <c r="AX2" s="273">
        <f>+AU2</f>
        <v>69608000</v>
      </c>
      <c r="AY2" s="273">
        <v>0</v>
      </c>
      <c r="AZ2" s="273">
        <v>0</v>
      </c>
      <c r="BA2" s="273">
        <v>0</v>
      </c>
      <c r="BB2" s="272">
        <f>SUM(AX2:BA2)</f>
        <v>69608000</v>
      </c>
    </row>
    <row r="3" spans="1:54">
      <c r="A3" s="213" t="s">
        <v>762</v>
      </c>
      <c r="B3" s="214" t="s">
        <v>763</v>
      </c>
      <c r="C3" s="214" t="s">
        <v>763</v>
      </c>
      <c r="D3" s="214">
        <v>363</v>
      </c>
      <c r="E3" s="215">
        <v>363</v>
      </c>
      <c r="F3" s="216">
        <v>7673</v>
      </c>
      <c r="G3" s="213" t="s">
        <v>563</v>
      </c>
      <c r="H3" s="213" t="s">
        <v>764</v>
      </c>
      <c r="I3" s="213" t="s">
        <v>765</v>
      </c>
      <c r="J3" s="213" t="s">
        <v>766</v>
      </c>
      <c r="K3" s="213" t="s">
        <v>767</v>
      </c>
      <c r="L3" s="213" t="s">
        <v>768</v>
      </c>
      <c r="M3" s="213" t="s">
        <v>769</v>
      </c>
      <c r="N3" s="213" t="s">
        <v>770</v>
      </c>
      <c r="O3" s="213" t="s">
        <v>771</v>
      </c>
      <c r="P3" s="213" t="s">
        <v>772</v>
      </c>
      <c r="Q3" s="217">
        <v>1</v>
      </c>
      <c r="R3" s="213" t="s">
        <v>773</v>
      </c>
      <c r="S3" s="213" t="s">
        <v>774</v>
      </c>
      <c r="T3" s="214">
        <v>80111620</v>
      </c>
      <c r="U3" s="227" t="s">
        <v>775</v>
      </c>
      <c r="V3" s="214">
        <v>1</v>
      </c>
      <c r="W3" s="214">
        <v>1</v>
      </c>
      <c r="X3" s="214">
        <v>330</v>
      </c>
      <c r="Y3" s="219" t="s">
        <v>776</v>
      </c>
      <c r="Z3" s="220" t="s">
        <v>777</v>
      </c>
      <c r="AA3" s="308">
        <v>69608000</v>
      </c>
      <c r="AB3" s="221">
        <v>6328000</v>
      </c>
      <c r="AC3" s="220" t="s">
        <v>778</v>
      </c>
      <c r="AD3" s="220" t="s">
        <v>779</v>
      </c>
      <c r="AE3" s="222"/>
      <c r="AF3" s="223"/>
      <c r="AG3" s="224"/>
      <c r="AH3" s="274"/>
      <c r="AI3" s="332">
        <f t="shared" ref="AI3:AI52" si="0">AB3/30*10</f>
        <v>2109333.3333333335</v>
      </c>
      <c r="AJ3" s="332">
        <f t="shared" ref="AJ3:AJ52" si="1">AB3</f>
        <v>6328000</v>
      </c>
      <c r="AK3" s="332">
        <v>6328000</v>
      </c>
      <c r="AL3" s="332">
        <v>6328000</v>
      </c>
      <c r="AM3" s="302">
        <v>6328000</v>
      </c>
      <c r="AN3" s="302">
        <v>6328000</v>
      </c>
      <c r="AO3" s="302">
        <v>6328000</v>
      </c>
      <c r="AP3" s="302">
        <v>6328000</v>
      </c>
      <c r="AQ3" s="302">
        <v>6328000</v>
      </c>
      <c r="AR3" s="302">
        <v>6328000</v>
      </c>
      <c r="AS3" s="302">
        <v>6328000</v>
      </c>
      <c r="AT3" s="302">
        <f t="shared" ref="AT3:AT52" si="2">AB3/30*20</f>
        <v>4218666.666666667</v>
      </c>
      <c r="AU3" s="299">
        <f t="shared" ref="AU3:AU71" si="3">SUM(AI3:AT3)</f>
        <v>69608000</v>
      </c>
      <c r="AV3" s="276">
        <f t="shared" ref="AV3:AV71" si="4">+AU3-AA3</f>
        <v>0</v>
      </c>
      <c r="AX3" s="273">
        <f t="shared" ref="AX3:AX31" si="5">+AU3</f>
        <v>69608000</v>
      </c>
      <c r="AY3" s="273">
        <v>0</v>
      </c>
      <c r="AZ3" s="273">
        <v>0</v>
      </c>
      <c r="BA3" s="273">
        <v>0</v>
      </c>
      <c r="BB3" s="272">
        <f t="shared" ref="BB3:BB71" si="6">SUM(AX3:BA3)</f>
        <v>69608000</v>
      </c>
    </row>
    <row r="4" spans="1:54">
      <c r="A4" s="213" t="s">
        <v>762</v>
      </c>
      <c r="B4" s="214" t="s">
        <v>763</v>
      </c>
      <c r="C4" s="214" t="s">
        <v>763</v>
      </c>
      <c r="D4" s="214">
        <v>364</v>
      </c>
      <c r="E4" s="215">
        <v>364</v>
      </c>
      <c r="F4" s="216">
        <v>7673</v>
      </c>
      <c r="G4" s="213" t="s">
        <v>563</v>
      </c>
      <c r="H4" s="213" t="s">
        <v>764</v>
      </c>
      <c r="I4" s="213" t="s">
        <v>765</v>
      </c>
      <c r="J4" s="213" t="s">
        <v>766</v>
      </c>
      <c r="K4" s="213" t="s">
        <v>767</v>
      </c>
      <c r="L4" s="213" t="s">
        <v>768</v>
      </c>
      <c r="M4" s="213" t="s">
        <v>769</v>
      </c>
      <c r="N4" s="213" t="s">
        <v>770</v>
      </c>
      <c r="O4" s="213" t="s">
        <v>771</v>
      </c>
      <c r="P4" s="213" t="s">
        <v>772</v>
      </c>
      <c r="Q4" s="217">
        <v>1</v>
      </c>
      <c r="R4" s="213" t="s">
        <v>773</v>
      </c>
      <c r="S4" s="213" t="s">
        <v>774</v>
      </c>
      <c r="T4" s="214">
        <v>80111620</v>
      </c>
      <c r="U4" s="213" t="s">
        <v>780</v>
      </c>
      <c r="V4" s="214">
        <v>1</v>
      </c>
      <c r="W4" s="214">
        <v>1</v>
      </c>
      <c r="X4" s="214">
        <v>330</v>
      </c>
      <c r="Y4" s="219" t="s">
        <v>776</v>
      </c>
      <c r="Z4" s="220" t="s">
        <v>777</v>
      </c>
      <c r="AA4" s="308">
        <v>69608000</v>
      </c>
      <c r="AB4" s="221">
        <v>6328000</v>
      </c>
      <c r="AC4" s="220" t="s">
        <v>781</v>
      </c>
      <c r="AD4" s="220" t="s">
        <v>779</v>
      </c>
      <c r="AE4" s="228"/>
      <c r="AF4" s="223"/>
      <c r="AG4" s="226"/>
      <c r="AH4" s="275"/>
      <c r="AI4" s="332">
        <f t="shared" si="0"/>
        <v>2109333.3333333335</v>
      </c>
      <c r="AJ4" s="332">
        <f t="shared" si="1"/>
        <v>6328000</v>
      </c>
      <c r="AK4" s="332">
        <v>6328000</v>
      </c>
      <c r="AL4" s="332">
        <v>6328000</v>
      </c>
      <c r="AM4" s="302">
        <v>6328000</v>
      </c>
      <c r="AN4" s="302">
        <v>6328000</v>
      </c>
      <c r="AO4" s="302">
        <v>6328000</v>
      </c>
      <c r="AP4" s="302">
        <v>6328000</v>
      </c>
      <c r="AQ4" s="302">
        <v>6328000</v>
      </c>
      <c r="AR4" s="302">
        <v>6328000</v>
      </c>
      <c r="AS4" s="302">
        <v>6328000</v>
      </c>
      <c r="AT4" s="302">
        <f t="shared" si="2"/>
        <v>4218666.666666667</v>
      </c>
      <c r="AU4" s="299">
        <f t="shared" si="3"/>
        <v>69608000</v>
      </c>
      <c r="AV4" s="276">
        <f t="shared" si="4"/>
        <v>0</v>
      </c>
      <c r="AX4" s="273">
        <f t="shared" si="5"/>
        <v>69608000</v>
      </c>
      <c r="AY4" s="273">
        <v>0</v>
      </c>
      <c r="AZ4" s="273">
        <v>0</v>
      </c>
      <c r="BA4" s="273">
        <v>0</v>
      </c>
      <c r="BB4" s="272">
        <f t="shared" si="6"/>
        <v>69608000</v>
      </c>
    </row>
    <row r="5" spans="1:54">
      <c r="A5" s="213" t="s">
        <v>762</v>
      </c>
      <c r="B5" s="214" t="s">
        <v>763</v>
      </c>
      <c r="C5" s="214" t="s">
        <v>763</v>
      </c>
      <c r="D5" s="214">
        <v>365</v>
      </c>
      <c r="E5" s="215">
        <v>365</v>
      </c>
      <c r="F5" s="216">
        <v>7673</v>
      </c>
      <c r="G5" s="213" t="s">
        <v>563</v>
      </c>
      <c r="H5" s="213" t="s">
        <v>764</v>
      </c>
      <c r="I5" s="213" t="s">
        <v>765</v>
      </c>
      <c r="J5" s="213" t="s">
        <v>766</v>
      </c>
      <c r="K5" s="213" t="s">
        <v>767</v>
      </c>
      <c r="L5" s="213" t="s">
        <v>768</v>
      </c>
      <c r="M5" s="213" t="s">
        <v>769</v>
      </c>
      <c r="N5" s="213" t="s">
        <v>770</v>
      </c>
      <c r="O5" s="213" t="s">
        <v>771</v>
      </c>
      <c r="P5" s="213" t="s">
        <v>772</v>
      </c>
      <c r="Q5" s="217">
        <v>1</v>
      </c>
      <c r="R5" s="213" t="s">
        <v>782</v>
      </c>
      <c r="S5" s="213" t="s">
        <v>783</v>
      </c>
      <c r="T5" s="214">
        <v>80111620</v>
      </c>
      <c r="U5" s="213" t="s">
        <v>784</v>
      </c>
      <c r="V5" s="214">
        <v>1</v>
      </c>
      <c r="W5" s="214">
        <v>1</v>
      </c>
      <c r="X5" s="214">
        <v>330</v>
      </c>
      <c r="Y5" s="219" t="s">
        <v>776</v>
      </c>
      <c r="Z5" s="220" t="s">
        <v>777</v>
      </c>
      <c r="AA5" s="308">
        <v>69608000</v>
      </c>
      <c r="AB5" s="221">
        <v>6328000</v>
      </c>
      <c r="AC5" s="220" t="s">
        <v>785</v>
      </c>
      <c r="AD5" s="220" t="s">
        <v>779</v>
      </c>
      <c r="AE5" s="222"/>
      <c r="AF5" s="223"/>
      <c r="AG5" s="224"/>
      <c r="AH5" s="274"/>
      <c r="AI5" s="332">
        <f t="shared" si="0"/>
        <v>2109333.3333333335</v>
      </c>
      <c r="AJ5" s="332">
        <f t="shared" si="1"/>
        <v>6328000</v>
      </c>
      <c r="AK5" s="332">
        <v>6328000</v>
      </c>
      <c r="AL5" s="332">
        <v>6328000</v>
      </c>
      <c r="AM5" s="302">
        <v>6328000</v>
      </c>
      <c r="AN5" s="302">
        <v>6328000</v>
      </c>
      <c r="AO5" s="302">
        <v>6328000</v>
      </c>
      <c r="AP5" s="302">
        <v>6328000</v>
      </c>
      <c r="AQ5" s="302">
        <v>6328000</v>
      </c>
      <c r="AR5" s="302">
        <v>6328000</v>
      </c>
      <c r="AS5" s="302">
        <v>6328000</v>
      </c>
      <c r="AT5" s="302">
        <f t="shared" si="2"/>
        <v>4218666.666666667</v>
      </c>
      <c r="AU5" s="299">
        <f t="shared" si="3"/>
        <v>69608000</v>
      </c>
      <c r="AV5" s="276">
        <f t="shared" si="4"/>
        <v>0</v>
      </c>
      <c r="AX5" s="273">
        <f t="shared" si="5"/>
        <v>69608000</v>
      </c>
      <c r="AY5" s="273">
        <v>0</v>
      </c>
      <c r="AZ5" s="273">
        <v>0</v>
      </c>
      <c r="BA5" s="273">
        <v>0</v>
      </c>
      <c r="BB5" s="272">
        <f t="shared" si="6"/>
        <v>69608000</v>
      </c>
    </row>
    <row r="6" spans="1:54">
      <c r="A6" s="213" t="s">
        <v>762</v>
      </c>
      <c r="B6" s="214" t="s">
        <v>763</v>
      </c>
      <c r="C6" s="214" t="s">
        <v>763</v>
      </c>
      <c r="D6" s="214">
        <v>366</v>
      </c>
      <c r="E6" s="215">
        <v>366</v>
      </c>
      <c r="F6" s="216">
        <v>7673</v>
      </c>
      <c r="G6" s="213" t="s">
        <v>563</v>
      </c>
      <c r="H6" s="213" t="s">
        <v>764</v>
      </c>
      <c r="I6" s="213" t="s">
        <v>765</v>
      </c>
      <c r="J6" s="213" t="s">
        <v>766</v>
      </c>
      <c r="K6" s="213" t="s">
        <v>767</v>
      </c>
      <c r="L6" s="213" t="s">
        <v>768</v>
      </c>
      <c r="M6" s="213" t="s">
        <v>769</v>
      </c>
      <c r="N6" s="213" t="s">
        <v>770</v>
      </c>
      <c r="O6" s="213" t="s">
        <v>771</v>
      </c>
      <c r="P6" s="213" t="s">
        <v>772</v>
      </c>
      <c r="Q6" s="217">
        <v>1</v>
      </c>
      <c r="R6" s="213" t="s">
        <v>773</v>
      </c>
      <c r="S6" s="213" t="s">
        <v>774</v>
      </c>
      <c r="T6" s="214">
        <v>80111620</v>
      </c>
      <c r="U6" s="218" t="s">
        <v>786</v>
      </c>
      <c r="V6" s="214">
        <v>1</v>
      </c>
      <c r="W6" s="214">
        <v>1</v>
      </c>
      <c r="X6" s="214">
        <v>360</v>
      </c>
      <c r="Y6" s="219" t="s">
        <v>776</v>
      </c>
      <c r="Z6" s="220" t="s">
        <v>777</v>
      </c>
      <c r="AA6" s="308">
        <v>80340000</v>
      </c>
      <c r="AB6" s="221">
        <v>6695000</v>
      </c>
      <c r="AC6" s="220" t="s">
        <v>787</v>
      </c>
      <c r="AD6" s="220" t="s">
        <v>779</v>
      </c>
      <c r="AE6" s="222"/>
      <c r="AF6" s="223"/>
      <c r="AG6" s="224"/>
      <c r="AH6" s="274"/>
      <c r="AI6" s="332">
        <v>6695000</v>
      </c>
      <c r="AJ6" s="332">
        <f t="shared" si="1"/>
        <v>6695000</v>
      </c>
      <c r="AK6" s="332">
        <v>6695000</v>
      </c>
      <c r="AL6" s="332">
        <v>6695000</v>
      </c>
      <c r="AM6" s="302">
        <v>6695000</v>
      </c>
      <c r="AN6" s="302">
        <v>6695000</v>
      </c>
      <c r="AO6" s="302">
        <v>6695000</v>
      </c>
      <c r="AP6" s="302">
        <v>6695000</v>
      </c>
      <c r="AQ6" s="302">
        <v>6695000</v>
      </c>
      <c r="AR6" s="302">
        <v>6695000</v>
      </c>
      <c r="AS6" s="302">
        <v>6695000</v>
      </c>
      <c r="AT6" s="302">
        <f>AB6/30*30</f>
        <v>6695000</v>
      </c>
      <c r="AU6" s="299">
        <f t="shared" si="3"/>
        <v>80340000</v>
      </c>
      <c r="AV6" s="276">
        <f t="shared" si="4"/>
        <v>0</v>
      </c>
      <c r="AX6" s="273">
        <f t="shared" si="5"/>
        <v>80340000</v>
      </c>
      <c r="AY6" s="273">
        <v>0</v>
      </c>
      <c r="AZ6" s="273">
        <v>0</v>
      </c>
      <c r="BA6" s="273">
        <v>0</v>
      </c>
      <c r="BB6" s="272">
        <f t="shared" si="6"/>
        <v>80340000</v>
      </c>
    </row>
    <row r="7" spans="1:54">
      <c r="A7" s="213" t="s">
        <v>762</v>
      </c>
      <c r="B7" s="214" t="s">
        <v>763</v>
      </c>
      <c r="C7" s="214" t="s">
        <v>763</v>
      </c>
      <c r="D7" s="214">
        <v>367</v>
      </c>
      <c r="E7" s="215">
        <v>367</v>
      </c>
      <c r="F7" s="216">
        <v>7673</v>
      </c>
      <c r="G7" s="213" t="s">
        <v>563</v>
      </c>
      <c r="H7" s="213" t="s">
        <v>764</v>
      </c>
      <c r="I7" s="213" t="s">
        <v>765</v>
      </c>
      <c r="J7" s="213" t="s">
        <v>766</v>
      </c>
      <c r="K7" s="213" t="s">
        <v>767</v>
      </c>
      <c r="L7" s="213" t="s">
        <v>768</v>
      </c>
      <c r="M7" s="213" t="s">
        <v>769</v>
      </c>
      <c r="N7" s="213" t="s">
        <v>770</v>
      </c>
      <c r="O7" s="213" t="s">
        <v>771</v>
      </c>
      <c r="P7" s="213" t="s">
        <v>772</v>
      </c>
      <c r="Q7" s="217">
        <v>1</v>
      </c>
      <c r="R7" s="213" t="s">
        <v>773</v>
      </c>
      <c r="S7" s="213" t="s">
        <v>774</v>
      </c>
      <c r="T7" s="214">
        <v>80111620</v>
      </c>
      <c r="U7" s="227" t="s">
        <v>788</v>
      </c>
      <c r="V7" s="214">
        <v>1</v>
      </c>
      <c r="W7" s="214">
        <v>1</v>
      </c>
      <c r="X7" s="214">
        <v>360</v>
      </c>
      <c r="Y7" s="219" t="s">
        <v>776</v>
      </c>
      <c r="Z7" s="220" t="s">
        <v>777</v>
      </c>
      <c r="AA7" s="308">
        <v>80340000</v>
      </c>
      <c r="AB7" s="221">
        <v>6695000</v>
      </c>
      <c r="AC7" s="220" t="s">
        <v>789</v>
      </c>
      <c r="AD7" s="220" t="s">
        <v>779</v>
      </c>
      <c r="AE7" s="222"/>
      <c r="AF7" s="223"/>
      <c r="AG7" s="224"/>
      <c r="AH7" s="274"/>
      <c r="AI7" s="332">
        <v>6695000</v>
      </c>
      <c r="AJ7" s="332">
        <f t="shared" si="1"/>
        <v>6695000</v>
      </c>
      <c r="AK7" s="332">
        <v>6695000</v>
      </c>
      <c r="AL7" s="332">
        <v>6695000</v>
      </c>
      <c r="AM7" s="302">
        <v>6695000</v>
      </c>
      <c r="AN7" s="302">
        <v>6695000</v>
      </c>
      <c r="AO7" s="302">
        <v>6695000</v>
      </c>
      <c r="AP7" s="302">
        <v>6695000</v>
      </c>
      <c r="AQ7" s="302">
        <v>6695000</v>
      </c>
      <c r="AR7" s="302">
        <v>6695000</v>
      </c>
      <c r="AS7" s="302">
        <v>6695000</v>
      </c>
      <c r="AT7" s="302">
        <v>6695000</v>
      </c>
      <c r="AU7" s="299">
        <f t="shared" si="3"/>
        <v>80340000</v>
      </c>
      <c r="AV7" s="276">
        <f t="shared" si="4"/>
        <v>0</v>
      </c>
      <c r="AX7" s="273">
        <f t="shared" si="5"/>
        <v>80340000</v>
      </c>
      <c r="AY7" s="273">
        <v>0</v>
      </c>
      <c r="AZ7" s="273">
        <v>0</v>
      </c>
      <c r="BA7" s="273">
        <v>0</v>
      </c>
      <c r="BB7" s="272">
        <f t="shared" si="6"/>
        <v>80340000</v>
      </c>
    </row>
    <row r="8" spans="1:54">
      <c r="A8" s="213" t="s">
        <v>762</v>
      </c>
      <c r="B8" s="214" t="s">
        <v>763</v>
      </c>
      <c r="C8" s="214" t="s">
        <v>763</v>
      </c>
      <c r="D8" s="214">
        <v>368</v>
      </c>
      <c r="E8" s="215">
        <v>368</v>
      </c>
      <c r="F8" s="216">
        <v>7673</v>
      </c>
      <c r="G8" s="213" t="s">
        <v>563</v>
      </c>
      <c r="H8" s="213" t="s">
        <v>764</v>
      </c>
      <c r="I8" s="213" t="s">
        <v>765</v>
      </c>
      <c r="J8" s="213" t="s">
        <v>766</v>
      </c>
      <c r="K8" s="213" t="s">
        <v>767</v>
      </c>
      <c r="L8" s="213" t="s">
        <v>768</v>
      </c>
      <c r="M8" s="213" t="s">
        <v>769</v>
      </c>
      <c r="N8" s="213" t="s">
        <v>770</v>
      </c>
      <c r="O8" s="213" t="s">
        <v>771</v>
      </c>
      <c r="P8" s="213" t="s">
        <v>772</v>
      </c>
      <c r="Q8" s="217">
        <v>1</v>
      </c>
      <c r="R8" s="213" t="s">
        <v>790</v>
      </c>
      <c r="S8" s="213" t="s">
        <v>791</v>
      </c>
      <c r="T8" s="214">
        <v>80111620</v>
      </c>
      <c r="U8" s="213" t="s">
        <v>792</v>
      </c>
      <c r="V8" s="214">
        <v>1</v>
      </c>
      <c r="W8" s="214">
        <v>1</v>
      </c>
      <c r="X8" s="214">
        <v>330</v>
      </c>
      <c r="Y8" s="219" t="s">
        <v>776</v>
      </c>
      <c r="Z8" s="220" t="s">
        <v>777</v>
      </c>
      <c r="AA8" s="308">
        <v>39655000</v>
      </c>
      <c r="AB8" s="221">
        <v>3605000</v>
      </c>
      <c r="AC8" s="220" t="s">
        <v>793</v>
      </c>
      <c r="AD8" s="220" t="s">
        <v>779</v>
      </c>
      <c r="AE8" s="222"/>
      <c r="AF8" s="223"/>
      <c r="AG8" s="224"/>
      <c r="AH8" s="274"/>
      <c r="AI8" s="332">
        <f t="shared" si="0"/>
        <v>1201666.6666666667</v>
      </c>
      <c r="AJ8" s="332">
        <f t="shared" si="1"/>
        <v>3605000</v>
      </c>
      <c r="AK8" s="332">
        <v>3605000</v>
      </c>
      <c r="AL8" s="302">
        <v>3605000</v>
      </c>
      <c r="AM8" s="302">
        <v>3605000</v>
      </c>
      <c r="AN8" s="302">
        <v>3605000</v>
      </c>
      <c r="AO8" s="302">
        <v>3605000</v>
      </c>
      <c r="AP8" s="302">
        <v>3605000</v>
      </c>
      <c r="AQ8" s="302">
        <v>3605000</v>
      </c>
      <c r="AR8" s="302">
        <v>3605000</v>
      </c>
      <c r="AS8" s="302">
        <v>3605000</v>
      </c>
      <c r="AT8" s="302">
        <f t="shared" si="2"/>
        <v>2403333.3333333335</v>
      </c>
      <c r="AU8" s="299">
        <f t="shared" si="3"/>
        <v>39655000.000000007</v>
      </c>
      <c r="AV8" s="276">
        <f t="shared" si="4"/>
        <v>0</v>
      </c>
      <c r="AX8" s="273">
        <f t="shared" si="5"/>
        <v>39655000.000000007</v>
      </c>
      <c r="AY8" s="273">
        <v>0</v>
      </c>
      <c r="AZ8" s="273">
        <v>0</v>
      </c>
      <c r="BA8" s="273">
        <v>0</v>
      </c>
      <c r="BB8" s="272">
        <f t="shared" si="6"/>
        <v>39655000.000000007</v>
      </c>
    </row>
    <row r="9" spans="1:54">
      <c r="A9" s="213" t="s">
        <v>762</v>
      </c>
      <c r="B9" s="214" t="s">
        <v>763</v>
      </c>
      <c r="C9" s="214" t="s">
        <v>763</v>
      </c>
      <c r="D9" s="214">
        <v>369</v>
      </c>
      <c r="E9" s="215">
        <v>369</v>
      </c>
      <c r="F9" s="216">
        <v>7673</v>
      </c>
      <c r="G9" s="213" t="s">
        <v>563</v>
      </c>
      <c r="H9" s="213" t="s">
        <v>764</v>
      </c>
      <c r="I9" s="213" t="s">
        <v>765</v>
      </c>
      <c r="J9" s="213" t="s">
        <v>766</v>
      </c>
      <c r="K9" s="213" t="s">
        <v>767</v>
      </c>
      <c r="L9" s="213" t="s">
        <v>768</v>
      </c>
      <c r="M9" s="213" t="s">
        <v>769</v>
      </c>
      <c r="N9" s="213" t="s">
        <v>770</v>
      </c>
      <c r="O9" s="213" t="s">
        <v>771</v>
      </c>
      <c r="P9" s="213" t="s">
        <v>772</v>
      </c>
      <c r="Q9" s="217">
        <v>1</v>
      </c>
      <c r="R9" s="213" t="s">
        <v>790</v>
      </c>
      <c r="S9" s="213" t="s">
        <v>791</v>
      </c>
      <c r="T9" s="214">
        <v>80111620</v>
      </c>
      <c r="U9" s="213" t="s">
        <v>792</v>
      </c>
      <c r="V9" s="214">
        <v>1</v>
      </c>
      <c r="W9" s="214">
        <v>1</v>
      </c>
      <c r="X9" s="214">
        <v>330</v>
      </c>
      <c r="Y9" s="219" t="s">
        <v>776</v>
      </c>
      <c r="Z9" s="220" t="s">
        <v>777</v>
      </c>
      <c r="AA9" s="308">
        <v>39655000</v>
      </c>
      <c r="AB9" s="221">
        <v>3605000</v>
      </c>
      <c r="AC9" s="220" t="s">
        <v>793</v>
      </c>
      <c r="AD9" s="220" t="s">
        <v>779</v>
      </c>
      <c r="AE9" s="222"/>
      <c r="AF9" s="223"/>
      <c r="AG9" s="224"/>
      <c r="AH9" s="274"/>
      <c r="AI9" s="332">
        <f t="shared" si="0"/>
        <v>1201666.6666666667</v>
      </c>
      <c r="AJ9" s="332">
        <f t="shared" si="1"/>
        <v>3605000</v>
      </c>
      <c r="AK9" s="332">
        <v>3605000</v>
      </c>
      <c r="AL9" s="302">
        <v>3605000</v>
      </c>
      <c r="AM9" s="302">
        <v>3605000</v>
      </c>
      <c r="AN9" s="302">
        <v>3605000</v>
      </c>
      <c r="AO9" s="302">
        <v>3605000</v>
      </c>
      <c r="AP9" s="302">
        <v>3605000</v>
      </c>
      <c r="AQ9" s="302">
        <v>3605000</v>
      </c>
      <c r="AR9" s="302">
        <v>3605000</v>
      </c>
      <c r="AS9" s="302">
        <v>3605000</v>
      </c>
      <c r="AT9" s="302">
        <f t="shared" si="2"/>
        <v>2403333.3333333335</v>
      </c>
      <c r="AU9" s="299">
        <f t="shared" si="3"/>
        <v>39655000.000000007</v>
      </c>
      <c r="AV9" s="276">
        <f t="shared" si="4"/>
        <v>0</v>
      </c>
      <c r="AX9" s="273">
        <f t="shared" si="5"/>
        <v>39655000.000000007</v>
      </c>
      <c r="AY9" s="273">
        <v>0</v>
      </c>
      <c r="AZ9" s="273">
        <v>0</v>
      </c>
      <c r="BA9" s="273">
        <v>0</v>
      </c>
      <c r="BB9" s="272">
        <f t="shared" si="6"/>
        <v>39655000.000000007</v>
      </c>
    </row>
    <row r="10" spans="1:54">
      <c r="A10" s="213" t="s">
        <v>762</v>
      </c>
      <c r="B10" s="214" t="s">
        <v>763</v>
      </c>
      <c r="C10" s="214" t="s">
        <v>763</v>
      </c>
      <c r="D10" s="214">
        <v>370</v>
      </c>
      <c r="E10" s="215">
        <v>370</v>
      </c>
      <c r="F10" s="216">
        <v>7673</v>
      </c>
      <c r="G10" s="213" t="s">
        <v>563</v>
      </c>
      <c r="H10" s="213" t="s">
        <v>764</v>
      </c>
      <c r="I10" s="213" t="s">
        <v>765</v>
      </c>
      <c r="J10" s="213" t="s">
        <v>766</v>
      </c>
      <c r="K10" s="213" t="s">
        <v>767</v>
      </c>
      <c r="L10" s="213" t="s">
        <v>768</v>
      </c>
      <c r="M10" s="213" t="s">
        <v>769</v>
      </c>
      <c r="N10" s="213" t="s">
        <v>770</v>
      </c>
      <c r="O10" s="213" t="s">
        <v>771</v>
      </c>
      <c r="P10" s="213" t="s">
        <v>772</v>
      </c>
      <c r="Q10" s="217">
        <v>1</v>
      </c>
      <c r="R10" s="213" t="s">
        <v>790</v>
      </c>
      <c r="S10" s="213" t="s">
        <v>791</v>
      </c>
      <c r="T10" s="214">
        <v>80111620</v>
      </c>
      <c r="U10" s="213" t="s">
        <v>792</v>
      </c>
      <c r="V10" s="214">
        <v>1</v>
      </c>
      <c r="W10" s="214">
        <v>1</v>
      </c>
      <c r="X10" s="214">
        <v>330</v>
      </c>
      <c r="Y10" s="219" t="s">
        <v>776</v>
      </c>
      <c r="Z10" s="220" t="s">
        <v>777</v>
      </c>
      <c r="AA10" s="308">
        <v>39655000</v>
      </c>
      <c r="AB10" s="221">
        <v>3605000</v>
      </c>
      <c r="AC10" s="220" t="s">
        <v>793</v>
      </c>
      <c r="AD10" s="220" t="s">
        <v>779</v>
      </c>
      <c r="AE10" s="222"/>
      <c r="AF10" s="223"/>
      <c r="AG10" s="224"/>
      <c r="AH10" s="274"/>
      <c r="AI10" s="332">
        <f t="shared" si="0"/>
        <v>1201666.6666666667</v>
      </c>
      <c r="AJ10" s="332">
        <f t="shared" si="1"/>
        <v>3605000</v>
      </c>
      <c r="AK10" s="332">
        <v>3605000</v>
      </c>
      <c r="AL10" s="302">
        <v>3605000</v>
      </c>
      <c r="AM10" s="302">
        <v>3605000</v>
      </c>
      <c r="AN10" s="302">
        <v>3605000</v>
      </c>
      <c r="AO10" s="302">
        <v>3605000</v>
      </c>
      <c r="AP10" s="302">
        <v>3605000</v>
      </c>
      <c r="AQ10" s="302">
        <v>3605000</v>
      </c>
      <c r="AR10" s="302">
        <v>3605000</v>
      </c>
      <c r="AS10" s="302">
        <v>3605000</v>
      </c>
      <c r="AT10" s="302">
        <f t="shared" si="2"/>
        <v>2403333.3333333335</v>
      </c>
      <c r="AU10" s="299">
        <f t="shared" si="3"/>
        <v>39655000.000000007</v>
      </c>
      <c r="AV10" s="276">
        <f t="shared" si="4"/>
        <v>0</v>
      </c>
      <c r="AX10" s="273">
        <f t="shared" si="5"/>
        <v>39655000.000000007</v>
      </c>
      <c r="AY10" s="273">
        <v>0</v>
      </c>
      <c r="AZ10" s="273">
        <v>0</v>
      </c>
      <c r="BA10" s="273">
        <v>0</v>
      </c>
      <c r="BB10" s="272">
        <f t="shared" si="6"/>
        <v>39655000.000000007</v>
      </c>
    </row>
    <row r="11" spans="1:54">
      <c r="A11" s="213" t="s">
        <v>762</v>
      </c>
      <c r="B11" s="214" t="s">
        <v>763</v>
      </c>
      <c r="C11" s="214" t="s">
        <v>763</v>
      </c>
      <c r="D11" s="214">
        <v>371</v>
      </c>
      <c r="E11" s="215">
        <v>371</v>
      </c>
      <c r="F11" s="216">
        <v>7673</v>
      </c>
      <c r="G11" s="213" t="s">
        <v>563</v>
      </c>
      <c r="H11" s="213" t="s">
        <v>764</v>
      </c>
      <c r="I11" s="213" t="s">
        <v>765</v>
      </c>
      <c r="J11" s="213" t="s">
        <v>766</v>
      </c>
      <c r="K11" s="213" t="s">
        <v>767</v>
      </c>
      <c r="L11" s="213" t="s">
        <v>768</v>
      </c>
      <c r="M11" s="213" t="s">
        <v>769</v>
      </c>
      <c r="N11" s="213" t="s">
        <v>770</v>
      </c>
      <c r="O11" s="213" t="s">
        <v>771</v>
      </c>
      <c r="P11" s="213" t="s">
        <v>772</v>
      </c>
      <c r="Q11" s="217">
        <v>1</v>
      </c>
      <c r="R11" s="213" t="s">
        <v>790</v>
      </c>
      <c r="S11" s="213" t="s">
        <v>791</v>
      </c>
      <c r="T11" s="214">
        <v>80111620</v>
      </c>
      <c r="U11" s="213" t="s">
        <v>792</v>
      </c>
      <c r="V11" s="214">
        <v>1</v>
      </c>
      <c r="W11" s="214">
        <v>1</v>
      </c>
      <c r="X11" s="214">
        <v>330</v>
      </c>
      <c r="Y11" s="219" t="s">
        <v>776</v>
      </c>
      <c r="Z11" s="220" t="s">
        <v>777</v>
      </c>
      <c r="AA11" s="308">
        <v>39655000</v>
      </c>
      <c r="AB11" s="221">
        <v>3605000</v>
      </c>
      <c r="AC11" s="220" t="s">
        <v>793</v>
      </c>
      <c r="AD11" s="220" t="s">
        <v>779</v>
      </c>
      <c r="AE11" s="222"/>
      <c r="AF11" s="223"/>
      <c r="AG11" s="224"/>
      <c r="AH11" s="274"/>
      <c r="AI11" s="332">
        <f t="shared" si="0"/>
        <v>1201666.6666666667</v>
      </c>
      <c r="AJ11" s="332">
        <f t="shared" si="1"/>
        <v>3605000</v>
      </c>
      <c r="AK11" s="332">
        <v>3605000</v>
      </c>
      <c r="AL11" s="302">
        <v>3605000</v>
      </c>
      <c r="AM11" s="302">
        <v>3605000</v>
      </c>
      <c r="AN11" s="302">
        <v>3605000</v>
      </c>
      <c r="AO11" s="302">
        <v>3605000</v>
      </c>
      <c r="AP11" s="302">
        <v>3605000</v>
      </c>
      <c r="AQ11" s="302">
        <v>3605000</v>
      </c>
      <c r="AR11" s="302">
        <v>3605000</v>
      </c>
      <c r="AS11" s="302">
        <v>3605000</v>
      </c>
      <c r="AT11" s="302">
        <f t="shared" si="2"/>
        <v>2403333.3333333335</v>
      </c>
      <c r="AU11" s="299">
        <f t="shared" si="3"/>
        <v>39655000.000000007</v>
      </c>
      <c r="AV11" s="276">
        <f t="shared" si="4"/>
        <v>0</v>
      </c>
      <c r="AX11" s="273">
        <f t="shared" si="5"/>
        <v>39655000.000000007</v>
      </c>
      <c r="AY11" s="273">
        <v>0</v>
      </c>
      <c r="AZ11" s="273">
        <v>0</v>
      </c>
      <c r="BA11" s="273">
        <v>0</v>
      </c>
      <c r="BB11" s="272">
        <f t="shared" si="6"/>
        <v>39655000.000000007</v>
      </c>
    </row>
    <row r="12" spans="1:54">
      <c r="A12" s="213" t="s">
        <v>762</v>
      </c>
      <c r="B12" s="214" t="s">
        <v>763</v>
      </c>
      <c r="C12" s="214" t="s">
        <v>763</v>
      </c>
      <c r="D12" s="214">
        <v>372</v>
      </c>
      <c r="E12" s="215">
        <v>372</v>
      </c>
      <c r="F12" s="216">
        <v>7673</v>
      </c>
      <c r="G12" s="213" t="s">
        <v>563</v>
      </c>
      <c r="H12" s="213" t="s">
        <v>764</v>
      </c>
      <c r="I12" s="213" t="s">
        <v>765</v>
      </c>
      <c r="J12" s="213" t="s">
        <v>766</v>
      </c>
      <c r="K12" s="213" t="s">
        <v>767</v>
      </c>
      <c r="L12" s="213" t="s">
        <v>768</v>
      </c>
      <c r="M12" s="213" t="s">
        <v>769</v>
      </c>
      <c r="N12" s="213" t="s">
        <v>770</v>
      </c>
      <c r="O12" s="213" t="s">
        <v>771</v>
      </c>
      <c r="P12" s="213" t="s">
        <v>772</v>
      </c>
      <c r="Q12" s="217">
        <v>1</v>
      </c>
      <c r="R12" s="213" t="s">
        <v>790</v>
      </c>
      <c r="S12" s="213" t="s">
        <v>791</v>
      </c>
      <c r="T12" s="214">
        <v>80111620</v>
      </c>
      <c r="U12" s="213" t="s">
        <v>792</v>
      </c>
      <c r="V12" s="214">
        <v>1</v>
      </c>
      <c r="W12" s="214">
        <v>1</v>
      </c>
      <c r="X12" s="214">
        <v>330</v>
      </c>
      <c r="Y12" s="219" t="s">
        <v>776</v>
      </c>
      <c r="Z12" s="220" t="s">
        <v>777</v>
      </c>
      <c r="AA12" s="308">
        <v>39655000</v>
      </c>
      <c r="AB12" s="221">
        <v>3605000</v>
      </c>
      <c r="AC12" s="220" t="s">
        <v>793</v>
      </c>
      <c r="AD12" s="220" t="s">
        <v>779</v>
      </c>
      <c r="AE12" s="222"/>
      <c r="AF12" s="223"/>
      <c r="AG12" s="224"/>
      <c r="AH12" s="274"/>
      <c r="AI12" s="332">
        <f t="shared" si="0"/>
        <v>1201666.6666666667</v>
      </c>
      <c r="AJ12" s="332">
        <f t="shared" si="1"/>
        <v>3605000</v>
      </c>
      <c r="AK12" s="332">
        <v>3605000</v>
      </c>
      <c r="AL12" s="332">
        <v>3605000</v>
      </c>
      <c r="AM12" s="302">
        <v>3605000</v>
      </c>
      <c r="AN12" s="302">
        <v>3605000</v>
      </c>
      <c r="AO12" s="302">
        <v>3605000</v>
      </c>
      <c r="AP12" s="302">
        <v>3605000</v>
      </c>
      <c r="AQ12" s="302">
        <v>3605000</v>
      </c>
      <c r="AR12" s="302">
        <v>3605000</v>
      </c>
      <c r="AS12" s="302">
        <v>3605000</v>
      </c>
      <c r="AT12" s="302">
        <f t="shared" si="2"/>
        <v>2403333.3333333335</v>
      </c>
      <c r="AU12" s="299">
        <f t="shared" si="3"/>
        <v>39655000.000000007</v>
      </c>
      <c r="AV12" s="276">
        <f t="shared" si="4"/>
        <v>0</v>
      </c>
      <c r="AX12" s="273">
        <f t="shared" si="5"/>
        <v>39655000.000000007</v>
      </c>
      <c r="AY12" s="273">
        <v>0</v>
      </c>
      <c r="AZ12" s="273">
        <v>0</v>
      </c>
      <c r="BA12" s="273">
        <v>0</v>
      </c>
      <c r="BB12" s="272">
        <f t="shared" si="6"/>
        <v>39655000.000000007</v>
      </c>
    </row>
    <row r="13" spans="1:54">
      <c r="A13" s="213" t="s">
        <v>762</v>
      </c>
      <c r="B13" s="214" t="s">
        <v>763</v>
      </c>
      <c r="C13" s="214" t="s">
        <v>763</v>
      </c>
      <c r="D13" s="214">
        <v>373</v>
      </c>
      <c r="E13" s="215">
        <v>373</v>
      </c>
      <c r="F13" s="216">
        <v>7673</v>
      </c>
      <c r="G13" s="213" t="s">
        <v>563</v>
      </c>
      <c r="H13" s="213" t="s">
        <v>764</v>
      </c>
      <c r="I13" s="213" t="s">
        <v>765</v>
      </c>
      <c r="J13" s="213" t="s">
        <v>766</v>
      </c>
      <c r="K13" s="213" t="s">
        <v>767</v>
      </c>
      <c r="L13" s="213" t="s">
        <v>768</v>
      </c>
      <c r="M13" s="213" t="s">
        <v>769</v>
      </c>
      <c r="N13" s="213" t="s">
        <v>770</v>
      </c>
      <c r="O13" s="213" t="s">
        <v>771</v>
      </c>
      <c r="P13" s="213" t="s">
        <v>772</v>
      </c>
      <c r="Q13" s="217">
        <v>1</v>
      </c>
      <c r="R13" s="213" t="s">
        <v>790</v>
      </c>
      <c r="S13" s="213" t="s">
        <v>791</v>
      </c>
      <c r="T13" s="214">
        <v>80111620</v>
      </c>
      <c r="U13" s="213" t="s">
        <v>792</v>
      </c>
      <c r="V13" s="214">
        <v>1</v>
      </c>
      <c r="W13" s="214">
        <v>1</v>
      </c>
      <c r="X13" s="214">
        <v>330</v>
      </c>
      <c r="Y13" s="219" t="s">
        <v>776</v>
      </c>
      <c r="Z13" s="220" t="s">
        <v>777</v>
      </c>
      <c r="AA13" s="308">
        <v>39655000</v>
      </c>
      <c r="AB13" s="221">
        <v>3605000</v>
      </c>
      <c r="AC13" s="220" t="s">
        <v>793</v>
      </c>
      <c r="AD13" s="220" t="s">
        <v>779</v>
      </c>
      <c r="AE13" s="222"/>
      <c r="AF13" s="223"/>
      <c r="AG13" s="224"/>
      <c r="AH13" s="274"/>
      <c r="AI13" s="332">
        <f t="shared" si="0"/>
        <v>1201666.6666666667</v>
      </c>
      <c r="AJ13" s="332">
        <f t="shared" si="1"/>
        <v>3605000</v>
      </c>
      <c r="AK13" s="332">
        <v>3605000</v>
      </c>
      <c r="AL13" s="332">
        <v>3605000</v>
      </c>
      <c r="AM13" s="302">
        <v>3605000</v>
      </c>
      <c r="AN13" s="302">
        <v>3605000</v>
      </c>
      <c r="AO13" s="302">
        <v>3605000</v>
      </c>
      <c r="AP13" s="302">
        <v>3605000</v>
      </c>
      <c r="AQ13" s="302">
        <v>3605000</v>
      </c>
      <c r="AR13" s="302">
        <v>3605000</v>
      </c>
      <c r="AS13" s="302">
        <v>3605000</v>
      </c>
      <c r="AT13" s="302">
        <f t="shared" si="2"/>
        <v>2403333.3333333335</v>
      </c>
      <c r="AU13" s="299">
        <f t="shared" si="3"/>
        <v>39655000.000000007</v>
      </c>
      <c r="AV13" s="276">
        <f t="shared" si="4"/>
        <v>0</v>
      </c>
      <c r="AX13" s="273">
        <f t="shared" si="5"/>
        <v>39655000.000000007</v>
      </c>
      <c r="AY13" s="273">
        <v>0</v>
      </c>
      <c r="AZ13" s="273">
        <v>0</v>
      </c>
      <c r="BA13" s="273">
        <v>0</v>
      </c>
      <c r="BB13" s="272">
        <f t="shared" si="6"/>
        <v>39655000.000000007</v>
      </c>
    </row>
    <row r="14" spans="1:54">
      <c r="A14" s="213" t="s">
        <v>762</v>
      </c>
      <c r="B14" s="214" t="s">
        <v>763</v>
      </c>
      <c r="C14" s="214" t="s">
        <v>763</v>
      </c>
      <c r="D14" s="214">
        <v>374</v>
      </c>
      <c r="E14" s="215">
        <v>374</v>
      </c>
      <c r="F14" s="216">
        <v>7673</v>
      </c>
      <c r="G14" s="213" t="s">
        <v>563</v>
      </c>
      <c r="H14" s="213" t="s">
        <v>764</v>
      </c>
      <c r="I14" s="213" t="s">
        <v>765</v>
      </c>
      <c r="J14" s="213" t="s">
        <v>766</v>
      </c>
      <c r="K14" s="213" t="s">
        <v>767</v>
      </c>
      <c r="L14" s="213" t="s">
        <v>768</v>
      </c>
      <c r="M14" s="213" t="s">
        <v>769</v>
      </c>
      <c r="N14" s="213" t="s">
        <v>770</v>
      </c>
      <c r="O14" s="213" t="s">
        <v>771</v>
      </c>
      <c r="P14" s="213" t="s">
        <v>772</v>
      </c>
      <c r="Q14" s="217">
        <v>1</v>
      </c>
      <c r="R14" s="213" t="s">
        <v>790</v>
      </c>
      <c r="S14" s="213" t="s">
        <v>791</v>
      </c>
      <c r="T14" s="214">
        <v>80111620</v>
      </c>
      <c r="U14" s="213" t="s">
        <v>792</v>
      </c>
      <c r="V14" s="214">
        <v>1</v>
      </c>
      <c r="W14" s="214">
        <v>1</v>
      </c>
      <c r="X14" s="214">
        <v>330</v>
      </c>
      <c r="Y14" s="219" t="s">
        <v>776</v>
      </c>
      <c r="Z14" s="220" t="s">
        <v>777</v>
      </c>
      <c r="AA14" s="308">
        <v>39655000</v>
      </c>
      <c r="AB14" s="221">
        <v>3605000</v>
      </c>
      <c r="AC14" s="220" t="s">
        <v>793</v>
      </c>
      <c r="AD14" s="220" t="s">
        <v>779</v>
      </c>
      <c r="AE14" s="222"/>
      <c r="AF14" s="223"/>
      <c r="AG14" s="224"/>
      <c r="AH14" s="274"/>
      <c r="AI14" s="332">
        <f t="shared" si="0"/>
        <v>1201666.6666666667</v>
      </c>
      <c r="AJ14" s="332">
        <f t="shared" si="1"/>
        <v>3605000</v>
      </c>
      <c r="AK14" s="332">
        <v>3605000</v>
      </c>
      <c r="AL14" s="332">
        <v>3605000</v>
      </c>
      <c r="AM14" s="302">
        <v>3605000</v>
      </c>
      <c r="AN14" s="302">
        <v>3605000</v>
      </c>
      <c r="AO14" s="302">
        <v>3605000</v>
      </c>
      <c r="AP14" s="302">
        <v>3605000</v>
      </c>
      <c r="AQ14" s="302">
        <v>3605000</v>
      </c>
      <c r="AR14" s="302">
        <v>3605000</v>
      </c>
      <c r="AS14" s="302">
        <v>3605000</v>
      </c>
      <c r="AT14" s="302">
        <f t="shared" si="2"/>
        <v>2403333.3333333335</v>
      </c>
      <c r="AU14" s="299">
        <f t="shared" si="3"/>
        <v>39655000.000000007</v>
      </c>
      <c r="AV14" s="276">
        <f t="shared" si="4"/>
        <v>0</v>
      </c>
      <c r="AX14" s="273">
        <f t="shared" si="5"/>
        <v>39655000.000000007</v>
      </c>
      <c r="AY14" s="273">
        <v>0</v>
      </c>
      <c r="AZ14" s="273">
        <v>0</v>
      </c>
      <c r="BA14" s="273">
        <v>0</v>
      </c>
      <c r="BB14" s="272">
        <f t="shared" si="6"/>
        <v>39655000.000000007</v>
      </c>
    </row>
    <row r="15" spans="1:54">
      <c r="A15" s="213" t="s">
        <v>762</v>
      </c>
      <c r="B15" s="214" t="s">
        <v>763</v>
      </c>
      <c r="C15" s="214" t="s">
        <v>763</v>
      </c>
      <c r="D15" s="214">
        <v>375</v>
      </c>
      <c r="E15" s="215">
        <v>375</v>
      </c>
      <c r="F15" s="216">
        <v>7673</v>
      </c>
      <c r="G15" s="213" t="s">
        <v>563</v>
      </c>
      <c r="H15" s="213" t="s">
        <v>764</v>
      </c>
      <c r="I15" s="213" t="s">
        <v>765</v>
      </c>
      <c r="J15" s="213" t="s">
        <v>766</v>
      </c>
      <c r="K15" s="213" t="s">
        <v>767</v>
      </c>
      <c r="L15" s="213" t="s">
        <v>768</v>
      </c>
      <c r="M15" s="213" t="s">
        <v>769</v>
      </c>
      <c r="N15" s="213" t="s">
        <v>770</v>
      </c>
      <c r="O15" s="213" t="s">
        <v>771</v>
      </c>
      <c r="P15" s="213" t="s">
        <v>772</v>
      </c>
      <c r="Q15" s="217">
        <v>1</v>
      </c>
      <c r="R15" s="213" t="s">
        <v>790</v>
      </c>
      <c r="S15" s="213" t="s">
        <v>791</v>
      </c>
      <c r="T15" s="214">
        <v>80111620</v>
      </c>
      <c r="U15" s="213" t="s">
        <v>792</v>
      </c>
      <c r="V15" s="214">
        <v>1</v>
      </c>
      <c r="W15" s="214">
        <v>1</v>
      </c>
      <c r="X15" s="214">
        <v>330</v>
      </c>
      <c r="Y15" s="219" t="s">
        <v>776</v>
      </c>
      <c r="Z15" s="220" t="s">
        <v>777</v>
      </c>
      <c r="AA15" s="308">
        <v>39655000</v>
      </c>
      <c r="AB15" s="221">
        <v>3605000</v>
      </c>
      <c r="AC15" s="220" t="s">
        <v>793</v>
      </c>
      <c r="AD15" s="220" t="s">
        <v>779</v>
      </c>
      <c r="AE15" s="222"/>
      <c r="AF15" s="223"/>
      <c r="AG15" s="224"/>
      <c r="AH15" s="274"/>
      <c r="AI15" s="332">
        <f t="shared" si="0"/>
        <v>1201666.6666666667</v>
      </c>
      <c r="AJ15" s="332">
        <f t="shared" si="1"/>
        <v>3605000</v>
      </c>
      <c r="AK15" s="332">
        <v>3605000</v>
      </c>
      <c r="AL15" s="332">
        <v>3605000</v>
      </c>
      <c r="AM15" s="302">
        <v>3605000</v>
      </c>
      <c r="AN15" s="302">
        <v>3605000</v>
      </c>
      <c r="AO15" s="302">
        <v>3605000</v>
      </c>
      <c r="AP15" s="302">
        <v>3605000</v>
      </c>
      <c r="AQ15" s="302">
        <v>3605000</v>
      </c>
      <c r="AR15" s="302">
        <v>3605000</v>
      </c>
      <c r="AS15" s="302">
        <v>3605000</v>
      </c>
      <c r="AT15" s="302">
        <f t="shared" si="2"/>
        <v>2403333.3333333335</v>
      </c>
      <c r="AU15" s="299">
        <f t="shared" si="3"/>
        <v>39655000.000000007</v>
      </c>
      <c r="AV15" s="276">
        <f t="shared" si="4"/>
        <v>0</v>
      </c>
      <c r="AX15" s="273">
        <f t="shared" si="5"/>
        <v>39655000.000000007</v>
      </c>
      <c r="AY15" s="273">
        <v>0</v>
      </c>
      <c r="AZ15" s="273">
        <v>0</v>
      </c>
      <c r="BA15" s="273">
        <v>0</v>
      </c>
      <c r="BB15" s="272">
        <f t="shared" si="6"/>
        <v>39655000.000000007</v>
      </c>
    </row>
    <row r="16" spans="1:54">
      <c r="A16" s="213" t="s">
        <v>762</v>
      </c>
      <c r="B16" s="214" t="s">
        <v>763</v>
      </c>
      <c r="C16" s="214" t="s">
        <v>763</v>
      </c>
      <c r="D16" s="214">
        <v>376</v>
      </c>
      <c r="E16" s="215">
        <v>376</v>
      </c>
      <c r="F16" s="216">
        <v>7673</v>
      </c>
      <c r="G16" s="213" t="s">
        <v>563</v>
      </c>
      <c r="H16" s="213" t="s">
        <v>764</v>
      </c>
      <c r="I16" s="213" t="s">
        <v>765</v>
      </c>
      <c r="J16" s="213" t="s">
        <v>766</v>
      </c>
      <c r="K16" s="213" t="s">
        <v>767</v>
      </c>
      <c r="L16" s="213" t="s">
        <v>768</v>
      </c>
      <c r="M16" s="213" t="s">
        <v>769</v>
      </c>
      <c r="N16" s="213" t="s">
        <v>770</v>
      </c>
      <c r="O16" s="213" t="s">
        <v>771</v>
      </c>
      <c r="P16" s="213" t="s">
        <v>772</v>
      </c>
      <c r="Q16" s="217">
        <v>1</v>
      </c>
      <c r="R16" s="213" t="s">
        <v>790</v>
      </c>
      <c r="S16" s="213" t="s">
        <v>791</v>
      </c>
      <c r="T16" s="214">
        <v>80111620</v>
      </c>
      <c r="U16" s="213" t="s">
        <v>792</v>
      </c>
      <c r="V16" s="214">
        <v>1</v>
      </c>
      <c r="W16" s="214">
        <v>1</v>
      </c>
      <c r="X16" s="214">
        <v>330</v>
      </c>
      <c r="Y16" s="219" t="s">
        <v>776</v>
      </c>
      <c r="Z16" s="220" t="s">
        <v>777</v>
      </c>
      <c r="AA16" s="308">
        <v>39655000</v>
      </c>
      <c r="AB16" s="221">
        <v>3605000</v>
      </c>
      <c r="AC16" s="220" t="s">
        <v>793</v>
      </c>
      <c r="AD16" s="220" t="s">
        <v>779</v>
      </c>
      <c r="AE16" s="222"/>
      <c r="AF16" s="223"/>
      <c r="AG16" s="224"/>
      <c r="AH16" s="274"/>
      <c r="AI16" s="332">
        <f t="shared" si="0"/>
        <v>1201666.6666666667</v>
      </c>
      <c r="AJ16" s="332">
        <f t="shared" si="1"/>
        <v>3605000</v>
      </c>
      <c r="AK16" s="332">
        <v>3605000</v>
      </c>
      <c r="AL16" s="332">
        <v>3605000</v>
      </c>
      <c r="AM16" s="302">
        <v>3605000</v>
      </c>
      <c r="AN16" s="302">
        <v>3605000</v>
      </c>
      <c r="AO16" s="302">
        <v>3605000</v>
      </c>
      <c r="AP16" s="302">
        <v>3605000</v>
      </c>
      <c r="AQ16" s="302">
        <v>3605000</v>
      </c>
      <c r="AR16" s="302">
        <v>3605000</v>
      </c>
      <c r="AS16" s="302">
        <v>3605000</v>
      </c>
      <c r="AT16" s="302">
        <f t="shared" si="2"/>
        <v>2403333.3333333335</v>
      </c>
      <c r="AU16" s="299">
        <f t="shared" si="3"/>
        <v>39655000.000000007</v>
      </c>
      <c r="AV16" s="276">
        <f t="shared" si="4"/>
        <v>0</v>
      </c>
      <c r="AX16" s="273">
        <f t="shared" si="5"/>
        <v>39655000.000000007</v>
      </c>
      <c r="AY16" s="273">
        <v>0</v>
      </c>
      <c r="AZ16" s="273">
        <v>0</v>
      </c>
      <c r="BA16" s="273">
        <v>0</v>
      </c>
      <c r="BB16" s="272">
        <f t="shared" si="6"/>
        <v>39655000.000000007</v>
      </c>
    </row>
    <row r="17" spans="1:54">
      <c r="A17" s="213" t="s">
        <v>762</v>
      </c>
      <c r="B17" s="214" t="s">
        <v>763</v>
      </c>
      <c r="C17" s="214" t="s">
        <v>763</v>
      </c>
      <c r="D17" s="214">
        <v>377</v>
      </c>
      <c r="E17" s="215">
        <v>377</v>
      </c>
      <c r="F17" s="216">
        <v>7673</v>
      </c>
      <c r="G17" s="213" t="s">
        <v>563</v>
      </c>
      <c r="H17" s="213" t="s">
        <v>764</v>
      </c>
      <c r="I17" s="213" t="s">
        <v>765</v>
      </c>
      <c r="J17" s="213" t="s">
        <v>766</v>
      </c>
      <c r="K17" s="213" t="s">
        <v>767</v>
      </c>
      <c r="L17" s="213" t="s">
        <v>768</v>
      </c>
      <c r="M17" s="213" t="s">
        <v>769</v>
      </c>
      <c r="N17" s="213" t="s">
        <v>770</v>
      </c>
      <c r="O17" s="213" t="s">
        <v>771</v>
      </c>
      <c r="P17" s="213" t="s">
        <v>772</v>
      </c>
      <c r="Q17" s="217">
        <v>1</v>
      </c>
      <c r="R17" s="213" t="s">
        <v>790</v>
      </c>
      <c r="S17" s="213" t="s">
        <v>791</v>
      </c>
      <c r="T17" s="214">
        <v>80111620</v>
      </c>
      <c r="U17" s="213" t="s">
        <v>792</v>
      </c>
      <c r="V17" s="214">
        <v>1</v>
      </c>
      <c r="W17" s="214">
        <v>1</v>
      </c>
      <c r="X17" s="214">
        <v>330</v>
      </c>
      <c r="Y17" s="219" t="s">
        <v>776</v>
      </c>
      <c r="Z17" s="220" t="s">
        <v>777</v>
      </c>
      <c r="AA17" s="308">
        <v>39655000</v>
      </c>
      <c r="AB17" s="221">
        <v>3605000</v>
      </c>
      <c r="AC17" s="220" t="s">
        <v>793</v>
      </c>
      <c r="AD17" s="220" t="s">
        <v>779</v>
      </c>
      <c r="AE17" s="222"/>
      <c r="AF17" s="223"/>
      <c r="AG17" s="224"/>
      <c r="AH17" s="274"/>
      <c r="AI17" s="332">
        <f t="shared" si="0"/>
        <v>1201666.6666666667</v>
      </c>
      <c r="AJ17" s="332">
        <f t="shared" si="1"/>
        <v>3605000</v>
      </c>
      <c r="AK17" s="332">
        <v>3605000</v>
      </c>
      <c r="AL17" s="332">
        <v>3605000</v>
      </c>
      <c r="AM17" s="302">
        <v>3605000</v>
      </c>
      <c r="AN17" s="302">
        <v>3605000</v>
      </c>
      <c r="AO17" s="302">
        <v>3605000</v>
      </c>
      <c r="AP17" s="302">
        <v>3605000</v>
      </c>
      <c r="AQ17" s="302">
        <v>3605000</v>
      </c>
      <c r="AR17" s="302">
        <v>3605000</v>
      </c>
      <c r="AS17" s="302">
        <v>3605000</v>
      </c>
      <c r="AT17" s="302">
        <f t="shared" si="2"/>
        <v>2403333.3333333335</v>
      </c>
      <c r="AU17" s="299">
        <f t="shared" si="3"/>
        <v>39655000.000000007</v>
      </c>
      <c r="AV17" s="276">
        <f t="shared" si="4"/>
        <v>0</v>
      </c>
      <c r="AX17" s="273">
        <f t="shared" si="5"/>
        <v>39655000.000000007</v>
      </c>
      <c r="AY17" s="273">
        <v>0</v>
      </c>
      <c r="AZ17" s="273">
        <v>0</v>
      </c>
      <c r="BA17" s="273">
        <v>0</v>
      </c>
      <c r="BB17" s="272">
        <f t="shared" si="6"/>
        <v>39655000.000000007</v>
      </c>
    </row>
    <row r="18" spans="1:54">
      <c r="A18" s="213" t="s">
        <v>762</v>
      </c>
      <c r="B18" s="214" t="s">
        <v>763</v>
      </c>
      <c r="C18" s="214" t="s">
        <v>763</v>
      </c>
      <c r="D18" s="214">
        <v>378</v>
      </c>
      <c r="E18" s="215">
        <v>378</v>
      </c>
      <c r="F18" s="216">
        <v>7673</v>
      </c>
      <c r="G18" s="213" t="s">
        <v>563</v>
      </c>
      <c r="H18" s="213" t="s">
        <v>764</v>
      </c>
      <c r="I18" s="213" t="s">
        <v>765</v>
      </c>
      <c r="J18" s="213" t="s">
        <v>766</v>
      </c>
      <c r="K18" s="213" t="s">
        <v>767</v>
      </c>
      <c r="L18" s="213" t="s">
        <v>768</v>
      </c>
      <c r="M18" s="213" t="s">
        <v>769</v>
      </c>
      <c r="N18" s="213" t="s">
        <v>770</v>
      </c>
      <c r="O18" s="213" t="s">
        <v>771</v>
      </c>
      <c r="P18" s="213" t="s">
        <v>772</v>
      </c>
      <c r="Q18" s="217">
        <v>1</v>
      </c>
      <c r="R18" s="213" t="s">
        <v>790</v>
      </c>
      <c r="S18" s="213" t="s">
        <v>791</v>
      </c>
      <c r="T18" s="214">
        <v>80111620</v>
      </c>
      <c r="U18" s="213" t="s">
        <v>792</v>
      </c>
      <c r="V18" s="214">
        <v>1</v>
      </c>
      <c r="W18" s="214">
        <v>1</v>
      </c>
      <c r="X18" s="214">
        <v>330</v>
      </c>
      <c r="Y18" s="219" t="s">
        <v>776</v>
      </c>
      <c r="Z18" s="220" t="s">
        <v>777</v>
      </c>
      <c r="AA18" s="308">
        <v>39655000</v>
      </c>
      <c r="AB18" s="221">
        <v>3605000</v>
      </c>
      <c r="AC18" s="220" t="s">
        <v>793</v>
      </c>
      <c r="AD18" s="220" t="s">
        <v>779</v>
      </c>
      <c r="AE18" s="222"/>
      <c r="AF18" s="223"/>
      <c r="AG18" s="224"/>
      <c r="AH18" s="274"/>
      <c r="AI18" s="332">
        <f t="shared" si="0"/>
        <v>1201666.6666666667</v>
      </c>
      <c r="AJ18" s="332">
        <f t="shared" si="1"/>
        <v>3605000</v>
      </c>
      <c r="AK18" s="332">
        <v>3605000</v>
      </c>
      <c r="AL18" s="332">
        <v>3605000</v>
      </c>
      <c r="AM18" s="302">
        <v>3605000</v>
      </c>
      <c r="AN18" s="302">
        <v>3605000</v>
      </c>
      <c r="AO18" s="302">
        <v>3605000</v>
      </c>
      <c r="AP18" s="302">
        <v>3605000</v>
      </c>
      <c r="AQ18" s="302">
        <v>3605000</v>
      </c>
      <c r="AR18" s="302">
        <v>3605000</v>
      </c>
      <c r="AS18" s="302">
        <v>3605000</v>
      </c>
      <c r="AT18" s="302">
        <f t="shared" si="2"/>
        <v>2403333.3333333335</v>
      </c>
      <c r="AU18" s="299">
        <f t="shared" si="3"/>
        <v>39655000.000000007</v>
      </c>
      <c r="AV18" s="276">
        <f t="shared" si="4"/>
        <v>0</v>
      </c>
      <c r="AX18" s="273">
        <f t="shared" si="5"/>
        <v>39655000.000000007</v>
      </c>
      <c r="AY18" s="273">
        <v>0</v>
      </c>
      <c r="AZ18" s="273">
        <v>0</v>
      </c>
      <c r="BA18" s="273">
        <v>0</v>
      </c>
      <c r="BB18" s="272">
        <f t="shared" si="6"/>
        <v>39655000.000000007</v>
      </c>
    </row>
    <row r="19" spans="1:54">
      <c r="A19" s="213" t="s">
        <v>762</v>
      </c>
      <c r="B19" s="214" t="s">
        <v>763</v>
      </c>
      <c r="C19" s="214" t="s">
        <v>763</v>
      </c>
      <c r="D19" s="214">
        <v>379</v>
      </c>
      <c r="E19" s="215">
        <v>379</v>
      </c>
      <c r="F19" s="216">
        <v>7673</v>
      </c>
      <c r="G19" s="213" t="s">
        <v>563</v>
      </c>
      <c r="H19" s="213" t="s">
        <v>764</v>
      </c>
      <c r="I19" s="213" t="s">
        <v>765</v>
      </c>
      <c r="J19" s="213" t="s">
        <v>766</v>
      </c>
      <c r="K19" s="213" t="s">
        <v>767</v>
      </c>
      <c r="L19" s="213" t="s">
        <v>768</v>
      </c>
      <c r="M19" s="213" t="s">
        <v>769</v>
      </c>
      <c r="N19" s="213" t="s">
        <v>770</v>
      </c>
      <c r="O19" s="213" t="s">
        <v>771</v>
      </c>
      <c r="P19" s="213" t="s">
        <v>772</v>
      </c>
      <c r="Q19" s="217">
        <v>1</v>
      </c>
      <c r="R19" s="213" t="s">
        <v>790</v>
      </c>
      <c r="S19" s="213" t="s">
        <v>791</v>
      </c>
      <c r="T19" s="214">
        <v>80111620</v>
      </c>
      <c r="U19" s="213" t="s">
        <v>792</v>
      </c>
      <c r="V19" s="214">
        <v>1</v>
      </c>
      <c r="W19" s="214">
        <v>1</v>
      </c>
      <c r="X19" s="214">
        <v>330</v>
      </c>
      <c r="Y19" s="219" t="s">
        <v>776</v>
      </c>
      <c r="Z19" s="220" t="s">
        <v>777</v>
      </c>
      <c r="AA19" s="308">
        <v>39655000</v>
      </c>
      <c r="AB19" s="221">
        <v>3605000</v>
      </c>
      <c r="AC19" s="220" t="s">
        <v>793</v>
      </c>
      <c r="AD19" s="220" t="s">
        <v>779</v>
      </c>
      <c r="AE19" s="222"/>
      <c r="AF19" s="223"/>
      <c r="AG19" s="224"/>
      <c r="AH19" s="274"/>
      <c r="AI19" s="332">
        <f t="shared" si="0"/>
        <v>1201666.6666666667</v>
      </c>
      <c r="AJ19" s="332">
        <f t="shared" si="1"/>
        <v>3605000</v>
      </c>
      <c r="AK19" s="332">
        <v>3605000</v>
      </c>
      <c r="AL19" s="332">
        <v>3605000</v>
      </c>
      <c r="AM19" s="302">
        <v>3605000</v>
      </c>
      <c r="AN19" s="302">
        <v>3605000</v>
      </c>
      <c r="AO19" s="302">
        <v>3605000</v>
      </c>
      <c r="AP19" s="302">
        <v>3605000</v>
      </c>
      <c r="AQ19" s="302">
        <v>3605000</v>
      </c>
      <c r="AR19" s="302">
        <v>3605000</v>
      </c>
      <c r="AS19" s="302">
        <v>3605000</v>
      </c>
      <c r="AT19" s="302">
        <f t="shared" si="2"/>
        <v>2403333.3333333335</v>
      </c>
      <c r="AU19" s="299">
        <f t="shared" si="3"/>
        <v>39655000.000000007</v>
      </c>
      <c r="AV19" s="276">
        <f t="shared" si="4"/>
        <v>0</v>
      </c>
      <c r="AX19" s="273">
        <f t="shared" si="5"/>
        <v>39655000.000000007</v>
      </c>
      <c r="AY19" s="273">
        <v>0</v>
      </c>
      <c r="AZ19" s="273">
        <v>0</v>
      </c>
      <c r="BA19" s="273">
        <v>0</v>
      </c>
      <c r="BB19" s="272">
        <f t="shared" si="6"/>
        <v>39655000.000000007</v>
      </c>
    </row>
    <row r="20" spans="1:54">
      <c r="A20" s="213" t="s">
        <v>762</v>
      </c>
      <c r="B20" s="214" t="s">
        <v>763</v>
      </c>
      <c r="C20" s="214" t="s">
        <v>763</v>
      </c>
      <c r="D20" s="214">
        <v>380</v>
      </c>
      <c r="E20" s="215">
        <v>380</v>
      </c>
      <c r="F20" s="216">
        <v>7673</v>
      </c>
      <c r="G20" s="213" t="s">
        <v>563</v>
      </c>
      <c r="H20" s="213" t="s">
        <v>764</v>
      </c>
      <c r="I20" s="213" t="s">
        <v>765</v>
      </c>
      <c r="J20" s="213" t="s">
        <v>766</v>
      </c>
      <c r="K20" s="213" t="s">
        <v>767</v>
      </c>
      <c r="L20" s="213" t="s">
        <v>768</v>
      </c>
      <c r="M20" s="213" t="s">
        <v>769</v>
      </c>
      <c r="N20" s="213" t="s">
        <v>770</v>
      </c>
      <c r="O20" s="213" t="s">
        <v>771</v>
      </c>
      <c r="P20" s="213" t="s">
        <v>772</v>
      </c>
      <c r="Q20" s="217">
        <v>1</v>
      </c>
      <c r="R20" s="213" t="s">
        <v>790</v>
      </c>
      <c r="S20" s="213" t="s">
        <v>791</v>
      </c>
      <c r="T20" s="214">
        <v>80111620</v>
      </c>
      <c r="U20" s="213" t="s">
        <v>792</v>
      </c>
      <c r="V20" s="214">
        <v>1</v>
      </c>
      <c r="W20" s="214">
        <v>1</v>
      </c>
      <c r="X20" s="214">
        <v>330</v>
      </c>
      <c r="Y20" s="219" t="s">
        <v>776</v>
      </c>
      <c r="Z20" s="220" t="s">
        <v>777</v>
      </c>
      <c r="AA20" s="308">
        <v>39655000</v>
      </c>
      <c r="AB20" s="221">
        <v>3605000</v>
      </c>
      <c r="AC20" s="220" t="s">
        <v>793</v>
      </c>
      <c r="AD20" s="220" t="s">
        <v>779</v>
      </c>
      <c r="AE20" s="228"/>
      <c r="AF20" s="223"/>
      <c r="AG20" s="226"/>
      <c r="AH20" s="275"/>
      <c r="AI20" s="332">
        <f t="shared" si="0"/>
        <v>1201666.6666666667</v>
      </c>
      <c r="AJ20" s="332">
        <f t="shared" si="1"/>
        <v>3605000</v>
      </c>
      <c r="AK20" s="332">
        <v>3605000</v>
      </c>
      <c r="AL20" s="332">
        <v>3605000</v>
      </c>
      <c r="AM20" s="302">
        <v>3605000</v>
      </c>
      <c r="AN20" s="302">
        <v>3605000</v>
      </c>
      <c r="AO20" s="302">
        <v>3605000</v>
      </c>
      <c r="AP20" s="302">
        <v>3605000</v>
      </c>
      <c r="AQ20" s="302">
        <v>3605000</v>
      </c>
      <c r="AR20" s="302">
        <v>3605000</v>
      </c>
      <c r="AS20" s="302">
        <v>3605000</v>
      </c>
      <c r="AT20" s="302">
        <f t="shared" si="2"/>
        <v>2403333.3333333335</v>
      </c>
      <c r="AU20" s="299">
        <f t="shared" si="3"/>
        <v>39655000.000000007</v>
      </c>
      <c r="AV20" s="276">
        <f t="shared" si="4"/>
        <v>0</v>
      </c>
      <c r="AX20" s="273">
        <f t="shared" si="5"/>
        <v>39655000.000000007</v>
      </c>
      <c r="AY20" s="273">
        <v>0</v>
      </c>
      <c r="AZ20" s="273">
        <v>0</v>
      </c>
      <c r="BA20" s="273">
        <v>0</v>
      </c>
      <c r="BB20" s="272">
        <f t="shared" si="6"/>
        <v>39655000.000000007</v>
      </c>
    </row>
    <row r="21" spans="1:54">
      <c r="A21" s="213" t="s">
        <v>762</v>
      </c>
      <c r="B21" s="214" t="s">
        <v>763</v>
      </c>
      <c r="C21" s="214" t="s">
        <v>763</v>
      </c>
      <c r="D21" s="214">
        <v>381</v>
      </c>
      <c r="E21" s="215">
        <v>381</v>
      </c>
      <c r="F21" s="216">
        <v>7673</v>
      </c>
      <c r="G21" s="213" t="s">
        <v>563</v>
      </c>
      <c r="H21" s="213" t="s">
        <v>764</v>
      </c>
      <c r="I21" s="213" t="s">
        <v>765</v>
      </c>
      <c r="J21" s="213" t="s">
        <v>766</v>
      </c>
      <c r="K21" s="213" t="s">
        <v>767</v>
      </c>
      <c r="L21" s="213" t="s">
        <v>768</v>
      </c>
      <c r="M21" s="213" t="s">
        <v>769</v>
      </c>
      <c r="N21" s="213" t="s">
        <v>770</v>
      </c>
      <c r="O21" s="213" t="s">
        <v>771</v>
      </c>
      <c r="P21" s="213" t="s">
        <v>772</v>
      </c>
      <c r="Q21" s="217">
        <v>1</v>
      </c>
      <c r="R21" s="213" t="s">
        <v>790</v>
      </c>
      <c r="S21" s="213" t="s">
        <v>791</v>
      </c>
      <c r="T21" s="214">
        <v>80111620</v>
      </c>
      <c r="U21" s="213" t="s">
        <v>792</v>
      </c>
      <c r="V21" s="214">
        <v>1</v>
      </c>
      <c r="W21" s="214">
        <v>1</v>
      </c>
      <c r="X21" s="214">
        <v>330</v>
      </c>
      <c r="Y21" s="219" t="s">
        <v>776</v>
      </c>
      <c r="Z21" s="220" t="s">
        <v>777</v>
      </c>
      <c r="AA21" s="308">
        <v>39655000</v>
      </c>
      <c r="AB21" s="221">
        <v>3605000</v>
      </c>
      <c r="AC21" s="220" t="s">
        <v>793</v>
      </c>
      <c r="AD21" s="220" t="s">
        <v>779</v>
      </c>
      <c r="AE21" s="222"/>
      <c r="AF21" s="223"/>
      <c r="AG21" s="224"/>
      <c r="AH21" s="274"/>
      <c r="AI21" s="332">
        <f t="shared" si="0"/>
        <v>1201666.6666666667</v>
      </c>
      <c r="AJ21" s="332">
        <f t="shared" si="1"/>
        <v>3605000</v>
      </c>
      <c r="AK21" s="332">
        <v>3605000</v>
      </c>
      <c r="AL21" s="332">
        <v>3605000</v>
      </c>
      <c r="AM21" s="302">
        <v>3605000</v>
      </c>
      <c r="AN21" s="302">
        <v>3605000</v>
      </c>
      <c r="AO21" s="302">
        <v>3605000</v>
      </c>
      <c r="AP21" s="302">
        <v>3605000</v>
      </c>
      <c r="AQ21" s="302">
        <v>3605000</v>
      </c>
      <c r="AR21" s="302">
        <v>3605000</v>
      </c>
      <c r="AS21" s="302">
        <v>3605000</v>
      </c>
      <c r="AT21" s="302">
        <f t="shared" si="2"/>
        <v>2403333.3333333335</v>
      </c>
      <c r="AU21" s="299">
        <f t="shared" si="3"/>
        <v>39655000.000000007</v>
      </c>
      <c r="AV21" s="276">
        <f t="shared" si="4"/>
        <v>0</v>
      </c>
      <c r="AX21" s="273">
        <f t="shared" si="5"/>
        <v>39655000.000000007</v>
      </c>
      <c r="AY21" s="273">
        <v>0</v>
      </c>
      <c r="AZ21" s="273">
        <v>0</v>
      </c>
      <c r="BA21" s="273">
        <v>0</v>
      </c>
      <c r="BB21" s="272">
        <f t="shared" si="6"/>
        <v>39655000.000000007</v>
      </c>
    </row>
    <row r="22" spans="1:54">
      <c r="A22" s="213" t="s">
        <v>762</v>
      </c>
      <c r="B22" s="214" t="s">
        <v>763</v>
      </c>
      <c r="C22" s="214" t="s">
        <v>763</v>
      </c>
      <c r="D22" s="214">
        <v>382</v>
      </c>
      <c r="E22" s="215">
        <v>382</v>
      </c>
      <c r="F22" s="216">
        <v>7673</v>
      </c>
      <c r="G22" s="213" t="s">
        <v>563</v>
      </c>
      <c r="H22" s="213" t="s">
        <v>764</v>
      </c>
      <c r="I22" s="213" t="s">
        <v>765</v>
      </c>
      <c r="J22" s="213" t="s">
        <v>766</v>
      </c>
      <c r="K22" s="213" t="s">
        <v>767</v>
      </c>
      <c r="L22" s="213" t="s">
        <v>768</v>
      </c>
      <c r="M22" s="213" t="s">
        <v>769</v>
      </c>
      <c r="N22" s="213" t="s">
        <v>770</v>
      </c>
      <c r="O22" s="213" t="s">
        <v>771</v>
      </c>
      <c r="P22" s="213" t="s">
        <v>772</v>
      </c>
      <c r="Q22" s="217">
        <v>1</v>
      </c>
      <c r="R22" s="213" t="s">
        <v>790</v>
      </c>
      <c r="S22" s="213" t="s">
        <v>791</v>
      </c>
      <c r="T22" s="214">
        <v>80111620</v>
      </c>
      <c r="U22" s="213" t="s">
        <v>792</v>
      </c>
      <c r="V22" s="214">
        <v>1</v>
      </c>
      <c r="W22" s="214">
        <v>1</v>
      </c>
      <c r="X22" s="214">
        <v>330</v>
      </c>
      <c r="Y22" s="219" t="s">
        <v>776</v>
      </c>
      <c r="Z22" s="220" t="s">
        <v>777</v>
      </c>
      <c r="AA22" s="308">
        <v>39655000</v>
      </c>
      <c r="AB22" s="221">
        <v>3605000</v>
      </c>
      <c r="AC22" s="220" t="s">
        <v>793</v>
      </c>
      <c r="AD22" s="220" t="s">
        <v>779</v>
      </c>
      <c r="AE22" s="228"/>
      <c r="AF22" s="223"/>
      <c r="AG22" s="226"/>
      <c r="AH22" s="275"/>
      <c r="AI22" s="332">
        <f t="shared" si="0"/>
        <v>1201666.6666666667</v>
      </c>
      <c r="AJ22" s="332">
        <f t="shared" si="1"/>
        <v>3605000</v>
      </c>
      <c r="AK22" s="332">
        <v>3605000</v>
      </c>
      <c r="AL22" s="332">
        <v>3605000</v>
      </c>
      <c r="AM22" s="302">
        <v>3605000</v>
      </c>
      <c r="AN22" s="302">
        <v>3605000</v>
      </c>
      <c r="AO22" s="302">
        <v>3605000</v>
      </c>
      <c r="AP22" s="302">
        <v>3605000</v>
      </c>
      <c r="AQ22" s="302">
        <v>3605000</v>
      </c>
      <c r="AR22" s="302">
        <v>3605000</v>
      </c>
      <c r="AS22" s="302">
        <v>3605000</v>
      </c>
      <c r="AT22" s="302">
        <f t="shared" si="2"/>
        <v>2403333.3333333335</v>
      </c>
      <c r="AU22" s="299">
        <f t="shared" si="3"/>
        <v>39655000.000000007</v>
      </c>
      <c r="AV22" s="276">
        <f t="shared" si="4"/>
        <v>0</v>
      </c>
      <c r="AX22" s="273">
        <f t="shared" si="5"/>
        <v>39655000.000000007</v>
      </c>
      <c r="AY22" s="273">
        <v>0</v>
      </c>
      <c r="AZ22" s="273">
        <v>0</v>
      </c>
      <c r="BA22" s="273">
        <v>0</v>
      </c>
      <c r="BB22" s="272">
        <f t="shared" si="6"/>
        <v>39655000.000000007</v>
      </c>
    </row>
    <row r="23" spans="1:54">
      <c r="A23" s="213" t="s">
        <v>762</v>
      </c>
      <c r="B23" s="214" t="s">
        <v>763</v>
      </c>
      <c r="C23" s="214" t="s">
        <v>763</v>
      </c>
      <c r="D23" s="214">
        <v>383</v>
      </c>
      <c r="E23" s="215">
        <v>383</v>
      </c>
      <c r="F23" s="216">
        <v>7673</v>
      </c>
      <c r="G23" s="213" t="s">
        <v>563</v>
      </c>
      <c r="H23" s="213" t="s">
        <v>764</v>
      </c>
      <c r="I23" s="213" t="s">
        <v>765</v>
      </c>
      <c r="J23" s="213" t="s">
        <v>766</v>
      </c>
      <c r="K23" s="213" t="s">
        <v>767</v>
      </c>
      <c r="L23" s="213" t="s">
        <v>768</v>
      </c>
      <c r="M23" s="213" t="s">
        <v>769</v>
      </c>
      <c r="N23" s="213" t="s">
        <v>770</v>
      </c>
      <c r="O23" s="213" t="s">
        <v>771</v>
      </c>
      <c r="P23" s="213" t="s">
        <v>772</v>
      </c>
      <c r="Q23" s="217">
        <v>1</v>
      </c>
      <c r="R23" s="213" t="s">
        <v>790</v>
      </c>
      <c r="S23" s="213" t="s">
        <v>791</v>
      </c>
      <c r="T23" s="214">
        <v>80111620</v>
      </c>
      <c r="U23" s="213" t="s">
        <v>792</v>
      </c>
      <c r="V23" s="214">
        <v>1</v>
      </c>
      <c r="W23" s="214">
        <v>1</v>
      </c>
      <c r="X23" s="214">
        <v>330</v>
      </c>
      <c r="Y23" s="219" t="s">
        <v>776</v>
      </c>
      <c r="Z23" s="220" t="s">
        <v>777</v>
      </c>
      <c r="AA23" s="308">
        <v>39655000</v>
      </c>
      <c r="AB23" s="221">
        <v>3605000</v>
      </c>
      <c r="AC23" s="220" t="s">
        <v>793</v>
      </c>
      <c r="AD23" s="220" t="s">
        <v>779</v>
      </c>
      <c r="AE23" s="228"/>
      <c r="AF23" s="223"/>
      <c r="AG23" s="226"/>
      <c r="AH23" s="275"/>
      <c r="AI23" s="332">
        <f t="shared" si="0"/>
        <v>1201666.6666666667</v>
      </c>
      <c r="AJ23" s="332">
        <f t="shared" si="1"/>
        <v>3605000</v>
      </c>
      <c r="AK23" s="332">
        <v>3605000</v>
      </c>
      <c r="AL23" s="332">
        <v>3605000</v>
      </c>
      <c r="AM23" s="302">
        <v>3605000</v>
      </c>
      <c r="AN23" s="302">
        <v>3605000</v>
      </c>
      <c r="AO23" s="302">
        <v>3605000</v>
      </c>
      <c r="AP23" s="302">
        <v>3605000</v>
      </c>
      <c r="AQ23" s="302">
        <v>3605000</v>
      </c>
      <c r="AR23" s="302">
        <v>3605000</v>
      </c>
      <c r="AS23" s="302">
        <v>3605000</v>
      </c>
      <c r="AT23" s="302">
        <f t="shared" si="2"/>
        <v>2403333.3333333335</v>
      </c>
      <c r="AU23" s="299">
        <f t="shared" si="3"/>
        <v>39655000.000000007</v>
      </c>
      <c r="AV23" s="276">
        <f t="shared" si="4"/>
        <v>0</v>
      </c>
      <c r="AX23" s="273">
        <f t="shared" si="5"/>
        <v>39655000.000000007</v>
      </c>
      <c r="AY23" s="273">
        <v>0</v>
      </c>
      <c r="AZ23" s="273">
        <v>0</v>
      </c>
      <c r="BA23" s="273">
        <v>0</v>
      </c>
      <c r="BB23" s="272">
        <f t="shared" si="6"/>
        <v>39655000.000000007</v>
      </c>
    </row>
    <row r="24" spans="1:54">
      <c r="A24" s="213" t="s">
        <v>762</v>
      </c>
      <c r="B24" s="214" t="s">
        <v>763</v>
      </c>
      <c r="C24" s="214" t="s">
        <v>763</v>
      </c>
      <c r="D24" s="214">
        <v>384</v>
      </c>
      <c r="E24" s="215">
        <v>384</v>
      </c>
      <c r="F24" s="216">
        <v>7673</v>
      </c>
      <c r="G24" s="213" t="s">
        <v>563</v>
      </c>
      <c r="H24" s="213" t="s">
        <v>764</v>
      </c>
      <c r="I24" s="213" t="s">
        <v>765</v>
      </c>
      <c r="J24" s="213" t="s">
        <v>766</v>
      </c>
      <c r="K24" s="213" t="s">
        <v>767</v>
      </c>
      <c r="L24" s="213" t="s">
        <v>768</v>
      </c>
      <c r="M24" s="213" t="s">
        <v>769</v>
      </c>
      <c r="N24" s="213" t="s">
        <v>770</v>
      </c>
      <c r="O24" s="213" t="s">
        <v>771</v>
      </c>
      <c r="P24" s="213" t="s">
        <v>772</v>
      </c>
      <c r="Q24" s="217">
        <v>1</v>
      </c>
      <c r="R24" s="213" t="s">
        <v>790</v>
      </c>
      <c r="S24" s="213" t="s">
        <v>791</v>
      </c>
      <c r="T24" s="214">
        <v>80111620</v>
      </c>
      <c r="U24" s="213" t="s">
        <v>792</v>
      </c>
      <c r="V24" s="214">
        <v>1</v>
      </c>
      <c r="W24" s="214">
        <v>1</v>
      </c>
      <c r="X24" s="214">
        <v>330</v>
      </c>
      <c r="Y24" s="219" t="s">
        <v>776</v>
      </c>
      <c r="Z24" s="220" t="s">
        <v>777</v>
      </c>
      <c r="AA24" s="308">
        <v>39655000</v>
      </c>
      <c r="AB24" s="221">
        <v>3605000</v>
      </c>
      <c r="AC24" s="220" t="s">
        <v>793</v>
      </c>
      <c r="AD24" s="220" t="s">
        <v>779</v>
      </c>
      <c r="AE24" s="228"/>
      <c r="AF24" s="223"/>
      <c r="AG24" s="226"/>
      <c r="AH24" s="275"/>
      <c r="AI24" s="332">
        <f t="shared" si="0"/>
        <v>1201666.6666666667</v>
      </c>
      <c r="AJ24" s="332">
        <f t="shared" si="1"/>
        <v>3605000</v>
      </c>
      <c r="AK24" s="332">
        <v>3605000</v>
      </c>
      <c r="AL24" s="332">
        <v>3605000</v>
      </c>
      <c r="AM24" s="302">
        <v>3605000</v>
      </c>
      <c r="AN24" s="302">
        <v>3605000</v>
      </c>
      <c r="AO24" s="302">
        <v>3605000</v>
      </c>
      <c r="AP24" s="302">
        <v>3605000</v>
      </c>
      <c r="AQ24" s="302">
        <v>3605000</v>
      </c>
      <c r="AR24" s="302">
        <v>3605000</v>
      </c>
      <c r="AS24" s="302">
        <v>3605000</v>
      </c>
      <c r="AT24" s="302">
        <f t="shared" si="2"/>
        <v>2403333.3333333335</v>
      </c>
      <c r="AU24" s="299">
        <f t="shared" si="3"/>
        <v>39655000.000000007</v>
      </c>
      <c r="AV24" s="276">
        <f t="shared" si="4"/>
        <v>0</v>
      </c>
      <c r="AX24" s="273">
        <f t="shared" si="5"/>
        <v>39655000.000000007</v>
      </c>
      <c r="AY24" s="273">
        <v>0</v>
      </c>
      <c r="AZ24" s="273">
        <v>0</v>
      </c>
      <c r="BA24" s="273">
        <v>0</v>
      </c>
      <c r="BB24" s="272">
        <f t="shared" si="6"/>
        <v>39655000.000000007</v>
      </c>
    </row>
    <row r="25" spans="1:54">
      <c r="A25" s="213" t="s">
        <v>762</v>
      </c>
      <c r="B25" s="214" t="s">
        <v>763</v>
      </c>
      <c r="C25" s="214" t="s">
        <v>763</v>
      </c>
      <c r="D25" s="214">
        <v>385</v>
      </c>
      <c r="E25" s="215">
        <v>385</v>
      </c>
      <c r="F25" s="216">
        <v>7673</v>
      </c>
      <c r="G25" s="213" t="s">
        <v>563</v>
      </c>
      <c r="H25" s="213" t="s">
        <v>764</v>
      </c>
      <c r="I25" s="213" t="s">
        <v>765</v>
      </c>
      <c r="J25" s="213" t="s">
        <v>766</v>
      </c>
      <c r="K25" s="213" t="s">
        <v>767</v>
      </c>
      <c r="L25" s="213" t="s">
        <v>768</v>
      </c>
      <c r="M25" s="213" t="s">
        <v>769</v>
      </c>
      <c r="N25" s="213" t="s">
        <v>770</v>
      </c>
      <c r="O25" s="213" t="s">
        <v>771</v>
      </c>
      <c r="P25" s="213" t="s">
        <v>772</v>
      </c>
      <c r="Q25" s="217">
        <v>1</v>
      </c>
      <c r="R25" s="213" t="s">
        <v>790</v>
      </c>
      <c r="S25" s="213" t="s">
        <v>791</v>
      </c>
      <c r="T25" s="214">
        <v>80111620</v>
      </c>
      <c r="U25" s="213" t="s">
        <v>792</v>
      </c>
      <c r="V25" s="214">
        <v>1</v>
      </c>
      <c r="W25" s="214">
        <v>1</v>
      </c>
      <c r="X25" s="214">
        <v>330</v>
      </c>
      <c r="Y25" s="219" t="s">
        <v>776</v>
      </c>
      <c r="Z25" s="220" t="s">
        <v>777</v>
      </c>
      <c r="AA25" s="308">
        <v>39655000</v>
      </c>
      <c r="AB25" s="221">
        <v>3605000</v>
      </c>
      <c r="AC25" s="220" t="s">
        <v>793</v>
      </c>
      <c r="AD25" s="220" t="s">
        <v>779</v>
      </c>
      <c r="AE25" s="228"/>
      <c r="AF25" s="223"/>
      <c r="AG25" s="226"/>
      <c r="AH25" s="275"/>
      <c r="AI25" s="332">
        <f t="shared" si="0"/>
        <v>1201666.6666666667</v>
      </c>
      <c r="AJ25" s="332">
        <f t="shared" si="1"/>
        <v>3605000</v>
      </c>
      <c r="AK25" s="332">
        <v>3605000</v>
      </c>
      <c r="AL25" s="332">
        <v>3605000</v>
      </c>
      <c r="AM25" s="302">
        <v>3605000</v>
      </c>
      <c r="AN25" s="302">
        <v>3605000</v>
      </c>
      <c r="AO25" s="302">
        <v>3605000</v>
      </c>
      <c r="AP25" s="302">
        <v>3605000</v>
      </c>
      <c r="AQ25" s="302">
        <v>3605000</v>
      </c>
      <c r="AR25" s="302">
        <v>3605000</v>
      </c>
      <c r="AS25" s="302">
        <v>3605000</v>
      </c>
      <c r="AT25" s="302">
        <f t="shared" si="2"/>
        <v>2403333.3333333335</v>
      </c>
      <c r="AU25" s="299">
        <f t="shared" si="3"/>
        <v>39655000.000000007</v>
      </c>
      <c r="AV25" s="276">
        <f t="shared" si="4"/>
        <v>0</v>
      </c>
      <c r="AX25" s="273">
        <f t="shared" si="5"/>
        <v>39655000.000000007</v>
      </c>
      <c r="AY25" s="273">
        <v>0</v>
      </c>
      <c r="AZ25" s="273">
        <v>0</v>
      </c>
      <c r="BA25" s="273">
        <v>0</v>
      </c>
      <c r="BB25" s="272">
        <f t="shared" si="6"/>
        <v>39655000.000000007</v>
      </c>
    </row>
    <row r="26" spans="1:54">
      <c r="A26" s="213" t="s">
        <v>762</v>
      </c>
      <c r="B26" s="214" t="s">
        <v>763</v>
      </c>
      <c r="C26" s="214" t="s">
        <v>763</v>
      </c>
      <c r="D26" s="214">
        <v>386</v>
      </c>
      <c r="E26" s="215">
        <v>386</v>
      </c>
      <c r="F26" s="216">
        <v>7673</v>
      </c>
      <c r="G26" s="213" t="s">
        <v>563</v>
      </c>
      <c r="H26" s="213" t="s">
        <v>764</v>
      </c>
      <c r="I26" s="213" t="s">
        <v>765</v>
      </c>
      <c r="J26" s="213" t="s">
        <v>766</v>
      </c>
      <c r="K26" s="213" t="s">
        <v>767</v>
      </c>
      <c r="L26" s="213" t="s">
        <v>768</v>
      </c>
      <c r="M26" s="213" t="s">
        <v>769</v>
      </c>
      <c r="N26" s="213" t="s">
        <v>770</v>
      </c>
      <c r="O26" s="213" t="s">
        <v>771</v>
      </c>
      <c r="P26" s="213" t="s">
        <v>772</v>
      </c>
      <c r="Q26" s="217">
        <v>1</v>
      </c>
      <c r="R26" s="213" t="s">
        <v>790</v>
      </c>
      <c r="S26" s="213" t="s">
        <v>791</v>
      </c>
      <c r="T26" s="214">
        <v>80111620</v>
      </c>
      <c r="U26" s="213" t="s">
        <v>792</v>
      </c>
      <c r="V26" s="214">
        <v>1</v>
      </c>
      <c r="W26" s="214">
        <v>1</v>
      </c>
      <c r="X26" s="214">
        <v>330</v>
      </c>
      <c r="Y26" s="219" t="s">
        <v>776</v>
      </c>
      <c r="Z26" s="220" t="s">
        <v>777</v>
      </c>
      <c r="AA26" s="308">
        <v>39655000</v>
      </c>
      <c r="AB26" s="221">
        <v>3605000</v>
      </c>
      <c r="AC26" s="220" t="s">
        <v>793</v>
      </c>
      <c r="AD26" s="220" t="s">
        <v>779</v>
      </c>
      <c r="AE26" s="228"/>
      <c r="AF26" s="223"/>
      <c r="AG26" s="226"/>
      <c r="AH26" s="275"/>
      <c r="AI26" s="332">
        <f t="shared" si="0"/>
        <v>1201666.6666666667</v>
      </c>
      <c r="AJ26" s="332">
        <f t="shared" si="1"/>
        <v>3605000</v>
      </c>
      <c r="AK26" s="332">
        <v>3605000</v>
      </c>
      <c r="AL26" s="332">
        <v>3605000</v>
      </c>
      <c r="AM26" s="302">
        <v>3605000</v>
      </c>
      <c r="AN26" s="302">
        <v>3605000</v>
      </c>
      <c r="AO26" s="302">
        <v>3605000</v>
      </c>
      <c r="AP26" s="302">
        <v>3605000</v>
      </c>
      <c r="AQ26" s="302">
        <v>3605000</v>
      </c>
      <c r="AR26" s="302">
        <v>3605000</v>
      </c>
      <c r="AS26" s="302">
        <v>3605000</v>
      </c>
      <c r="AT26" s="302">
        <f t="shared" si="2"/>
        <v>2403333.3333333335</v>
      </c>
      <c r="AU26" s="299">
        <f t="shared" si="3"/>
        <v>39655000.000000007</v>
      </c>
      <c r="AV26" s="276">
        <f t="shared" si="4"/>
        <v>0</v>
      </c>
      <c r="AX26" s="273">
        <f t="shared" si="5"/>
        <v>39655000.000000007</v>
      </c>
      <c r="AY26" s="273">
        <v>0</v>
      </c>
      <c r="AZ26" s="273">
        <v>0</v>
      </c>
      <c r="BA26" s="273">
        <v>0</v>
      </c>
      <c r="BB26" s="272">
        <f t="shared" si="6"/>
        <v>39655000.000000007</v>
      </c>
    </row>
    <row r="27" spans="1:54">
      <c r="A27" s="213" t="s">
        <v>762</v>
      </c>
      <c r="B27" s="214" t="s">
        <v>763</v>
      </c>
      <c r="C27" s="214" t="s">
        <v>763</v>
      </c>
      <c r="D27" s="214">
        <v>387</v>
      </c>
      <c r="E27" s="215">
        <v>387</v>
      </c>
      <c r="F27" s="216">
        <v>7673</v>
      </c>
      <c r="G27" s="213" t="s">
        <v>563</v>
      </c>
      <c r="H27" s="213" t="s">
        <v>764</v>
      </c>
      <c r="I27" s="213" t="s">
        <v>765</v>
      </c>
      <c r="J27" s="213" t="s">
        <v>766</v>
      </c>
      <c r="K27" s="213" t="s">
        <v>767</v>
      </c>
      <c r="L27" s="213" t="s">
        <v>768</v>
      </c>
      <c r="M27" s="213" t="s">
        <v>769</v>
      </c>
      <c r="N27" s="213" t="s">
        <v>770</v>
      </c>
      <c r="O27" s="213" t="s">
        <v>771</v>
      </c>
      <c r="P27" s="213" t="s">
        <v>772</v>
      </c>
      <c r="Q27" s="217">
        <v>1</v>
      </c>
      <c r="R27" s="213" t="s">
        <v>790</v>
      </c>
      <c r="S27" s="213" t="s">
        <v>791</v>
      </c>
      <c r="T27" s="214">
        <v>80111620</v>
      </c>
      <c r="U27" s="213" t="s">
        <v>792</v>
      </c>
      <c r="V27" s="214">
        <v>1</v>
      </c>
      <c r="W27" s="214">
        <v>1</v>
      </c>
      <c r="X27" s="214">
        <v>330</v>
      </c>
      <c r="Y27" s="219" t="s">
        <v>776</v>
      </c>
      <c r="Z27" s="220" t="s">
        <v>777</v>
      </c>
      <c r="AA27" s="308">
        <v>39655000</v>
      </c>
      <c r="AB27" s="221">
        <v>3605000</v>
      </c>
      <c r="AC27" s="220" t="s">
        <v>793</v>
      </c>
      <c r="AD27" s="220" t="s">
        <v>779</v>
      </c>
      <c r="AE27" s="229"/>
      <c r="AF27" s="223"/>
      <c r="AG27" s="224"/>
      <c r="AH27" s="274"/>
      <c r="AI27" s="332">
        <f t="shared" si="0"/>
        <v>1201666.6666666667</v>
      </c>
      <c r="AJ27" s="332">
        <f t="shared" si="1"/>
        <v>3605000</v>
      </c>
      <c r="AK27" s="332">
        <v>3605000</v>
      </c>
      <c r="AL27" s="332">
        <v>3605000</v>
      </c>
      <c r="AM27" s="302">
        <v>3605000</v>
      </c>
      <c r="AN27" s="302">
        <v>3605000</v>
      </c>
      <c r="AO27" s="302">
        <v>3605000</v>
      </c>
      <c r="AP27" s="302">
        <v>3605000</v>
      </c>
      <c r="AQ27" s="302">
        <v>3605000</v>
      </c>
      <c r="AR27" s="302">
        <v>3605000</v>
      </c>
      <c r="AS27" s="302">
        <v>3605000</v>
      </c>
      <c r="AT27" s="302">
        <f t="shared" si="2"/>
        <v>2403333.3333333335</v>
      </c>
      <c r="AU27" s="299">
        <f t="shared" si="3"/>
        <v>39655000.000000007</v>
      </c>
      <c r="AV27" s="276">
        <f t="shared" si="4"/>
        <v>0</v>
      </c>
      <c r="AX27" s="273">
        <f t="shared" si="5"/>
        <v>39655000.000000007</v>
      </c>
      <c r="AY27" s="273">
        <v>0</v>
      </c>
      <c r="AZ27" s="273">
        <v>0</v>
      </c>
      <c r="BA27" s="273">
        <v>0</v>
      </c>
      <c r="BB27" s="272">
        <f t="shared" si="6"/>
        <v>39655000.000000007</v>
      </c>
    </row>
    <row r="28" spans="1:54">
      <c r="A28" s="213" t="s">
        <v>762</v>
      </c>
      <c r="B28" s="214" t="s">
        <v>763</v>
      </c>
      <c r="C28" s="214" t="s">
        <v>763</v>
      </c>
      <c r="D28" s="214">
        <v>388</v>
      </c>
      <c r="E28" s="215">
        <v>388</v>
      </c>
      <c r="F28" s="216">
        <v>7673</v>
      </c>
      <c r="G28" s="213" t="s">
        <v>563</v>
      </c>
      <c r="H28" s="213" t="s">
        <v>764</v>
      </c>
      <c r="I28" s="213" t="s">
        <v>765</v>
      </c>
      <c r="J28" s="213" t="s">
        <v>766</v>
      </c>
      <c r="K28" s="213" t="s">
        <v>767</v>
      </c>
      <c r="L28" s="213" t="s">
        <v>768</v>
      </c>
      <c r="M28" s="213" t="s">
        <v>769</v>
      </c>
      <c r="N28" s="213" t="s">
        <v>770</v>
      </c>
      <c r="O28" s="213" t="s">
        <v>771</v>
      </c>
      <c r="P28" s="213" t="s">
        <v>772</v>
      </c>
      <c r="Q28" s="217">
        <v>1</v>
      </c>
      <c r="R28" s="213" t="s">
        <v>790</v>
      </c>
      <c r="S28" s="213" t="s">
        <v>791</v>
      </c>
      <c r="T28" s="214">
        <v>80111620</v>
      </c>
      <c r="U28" s="213" t="s">
        <v>794</v>
      </c>
      <c r="V28" s="214">
        <v>1</v>
      </c>
      <c r="W28" s="214">
        <v>1</v>
      </c>
      <c r="X28" s="214">
        <v>330</v>
      </c>
      <c r="Y28" s="219" t="s">
        <v>776</v>
      </c>
      <c r="Z28" s="220" t="s">
        <v>777</v>
      </c>
      <c r="AA28" s="308">
        <v>39655000</v>
      </c>
      <c r="AB28" s="221">
        <v>3605000</v>
      </c>
      <c r="AC28" s="220" t="s">
        <v>795</v>
      </c>
      <c r="AD28" s="220" t="s">
        <v>779</v>
      </c>
      <c r="AE28" s="222"/>
      <c r="AF28" s="223"/>
      <c r="AG28" s="224"/>
      <c r="AH28" s="274"/>
      <c r="AI28" s="332">
        <f t="shared" si="0"/>
        <v>1201666.6666666667</v>
      </c>
      <c r="AJ28" s="332">
        <f t="shared" si="1"/>
        <v>3605000</v>
      </c>
      <c r="AK28" s="332">
        <v>3605000</v>
      </c>
      <c r="AL28" s="332">
        <v>3605000</v>
      </c>
      <c r="AM28" s="302">
        <v>3605000</v>
      </c>
      <c r="AN28" s="302">
        <v>3605000</v>
      </c>
      <c r="AO28" s="302">
        <v>3605000</v>
      </c>
      <c r="AP28" s="302">
        <v>3605000</v>
      </c>
      <c r="AQ28" s="302">
        <v>3605000</v>
      </c>
      <c r="AR28" s="302">
        <v>3605000</v>
      </c>
      <c r="AS28" s="302">
        <v>3605000</v>
      </c>
      <c r="AT28" s="302">
        <f t="shared" si="2"/>
        <v>2403333.3333333335</v>
      </c>
      <c r="AU28" s="299">
        <f t="shared" si="3"/>
        <v>39655000.000000007</v>
      </c>
      <c r="AV28" s="276">
        <f t="shared" si="4"/>
        <v>0</v>
      </c>
      <c r="AX28" s="273">
        <f t="shared" si="5"/>
        <v>39655000.000000007</v>
      </c>
      <c r="AY28" s="273">
        <v>0</v>
      </c>
      <c r="AZ28" s="273">
        <v>0</v>
      </c>
      <c r="BA28" s="273">
        <v>0</v>
      </c>
      <c r="BB28" s="272">
        <f t="shared" si="6"/>
        <v>39655000.000000007</v>
      </c>
    </row>
    <row r="29" spans="1:54">
      <c r="A29" s="213" t="s">
        <v>762</v>
      </c>
      <c r="B29" s="214" t="s">
        <v>763</v>
      </c>
      <c r="C29" s="214" t="s">
        <v>763</v>
      </c>
      <c r="D29" s="214">
        <v>389</v>
      </c>
      <c r="E29" s="215">
        <v>389</v>
      </c>
      <c r="F29" s="216">
        <v>7673</v>
      </c>
      <c r="G29" s="213" t="s">
        <v>563</v>
      </c>
      <c r="H29" s="213" t="s">
        <v>764</v>
      </c>
      <c r="I29" s="213" t="s">
        <v>765</v>
      </c>
      <c r="J29" s="213" t="s">
        <v>766</v>
      </c>
      <c r="K29" s="213" t="s">
        <v>767</v>
      </c>
      <c r="L29" s="213" t="s">
        <v>768</v>
      </c>
      <c r="M29" s="213" t="s">
        <v>769</v>
      </c>
      <c r="N29" s="213" t="s">
        <v>770</v>
      </c>
      <c r="O29" s="213" t="s">
        <v>771</v>
      </c>
      <c r="P29" s="213" t="s">
        <v>772</v>
      </c>
      <c r="Q29" s="217">
        <v>1</v>
      </c>
      <c r="R29" s="213" t="s">
        <v>790</v>
      </c>
      <c r="S29" s="213" t="s">
        <v>791</v>
      </c>
      <c r="T29" s="214">
        <v>80111620</v>
      </c>
      <c r="U29" s="213" t="s">
        <v>794</v>
      </c>
      <c r="V29" s="214">
        <v>1</v>
      </c>
      <c r="W29" s="214">
        <v>1</v>
      </c>
      <c r="X29" s="214">
        <v>330</v>
      </c>
      <c r="Y29" s="219" t="s">
        <v>776</v>
      </c>
      <c r="Z29" s="220" t="s">
        <v>777</v>
      </c>
      <c r="AA29" s="308">
        <v>39655000</v>
      </c>
      <c r="AB29" s="221">
        <v>3605000</v>
      </c>
      <c r="AC29" s="220" t="s">
        <v>795</v>
      </c>
      <c r="AD29" s="220" t="s">
        <v>779</v>
      </c>
      <c r="AE29" s="222"/>
      <c r="AF29" s="223"/>
      <c r="AG29" s="224"/>
      <c r="AH29" s="274"/>
      <c r="AI29" s="332">
        <f t="shared" si="0"/>
        <v>1201666.6666666667</v>
      </c>
      <c r="AJ29" s="332">
        <f t="shared" si="1"/>
        <v>3605000</v>
      </c>
      <c r="AK29" s="332">
        <v>3605000</v>
      </c>
      <c r="AL29" s="332">
        <v>3605000</v>
      </c>
      <c r="AM29" s="302">
        <v>3605000</v>
      </c>
      <c r="AN29" s="302">
        <v>3605000</v>
      </c>
      <c r="AO29" s="302">
        <v>3605000</v>
      </c>
      <c r="AP29" s="302">
        <v>3605000</v>
      </c>
      <c r="AQ29" s="302">
        <v>3605000</v>
      </c>
      <c r="AR29" s="302">
        <v>3605000</v>
      </c>
      <c r="AS29" s="302">
        <v>3605000</v>
      </c>
      <c r="AT29" s="302">
        <f t="shared" si="2"/>
        <v>2403333.3333333335</v>
      </c>
      <c r="AU29" s="299">
        <f t="shared" si="3"/>
        <v>39655000.000000007</v>
      </c>
      <c r="AV29" s="276">
        <f t="shared" si="4"/>
        <v>0</v>
      </c>
      <c r="AX29" s="273">
        <f t="shared" si="5"/>
        <v>39655000.000000007</v>
      </c>
      <c r="AY29" s="273">
        <v>0</v>
      </c>
      <c r="AZ29" s="273">
        <v>0</v>
      </c>
      <c r="BA29" s="273">
        <v>0</v>
      </c>
      <c r="BB29" s="272">
        <f t="shared" si="6"/>
        <v>39655000.000000007</v>
      </c>
    </row>
    <row r="30" spans="1:54">
      <c r="A30" s="213" t="s">
        <v>762</v>
      </c>
      <c r="B30" s="214" t="s">
        <v>763</v>
      </c>
      <c r="C30" s="214" t="s">
        <v>763</v>
      </c>
      <c r="D30" s="214">
        <v>390</v>
      </c>
      <c r="E30" s="215">
        <v>390</v>
      </c>
      <c r="F30" s="216">
        <v>7673</v>
      </c>
      <c r="G30" s="213" t="s">
        <v>563</v>
      </c>
      <c r="H30" s="213" t="s">
        <v>764</v>
      </c>
      <c r="I30" s="213" t="s">
        <v>765</v>
      </c>
      <c r="J30" s="213" t="s">
        <v>766</v>
      </c>
      <c r="K30" s="213" t="s">
        <v>767</v>
      </c>
      <c r="L30" s="213" t="s">
        <v>768</v>
      </c>
      <c r="M30" s="213" t="s">
        <v>769</v>
      </c>
      <c r="N30" s="213" t="s">
        <v>770</v>
      </c>
      <c r="O30" s="213" t="s">
        <v>771</v>
      </c>
      <c r="P30" s="213" t="s">
        <v>772</v>
      </c>
      <c r="Q30" s="217">
        <v>1</v>
      </c>
      <c r="R30" s="213" t="s">
        <v>790</v>
      </c>
      <c r="S30" s="213" t="s">
        <v>791</v>
      </c>
      <c r="T30" s="214">
        <v>80111620</v>
      </c>
      <c r="U30" s="213" t="s">
        <v>794</v>
      </c>
      <c r="V30" s="214">
        <v>1</v>
      </c>
      <c r="W30" s="214">
        <v>1</v>
      </c>
      <c r="X30" s="214">
        <v>330</v>
      </c>
      <c r="Y30" s="219" t="s">
        <v>776</v>
      </c>
      <c r="Z30" s="220" t="s">
        <v>777</v>
      </c>
      <c r="AA30" s="308">
        <v>39655000</v>
      </c>
      <c r="AB30" s="221">
        <v>3605000</v>
      </c>
      <c r="AC30" s="220" t="s">
        <v>795</v>
      </c>
      <c r="AD30" s="220" t="s">
        <v>779</v>
      </c>
      <c r="AE30" s="228"/>
      <c r="AF30" s="223"/>
      <c r="AG30" s="226"/>
      <c r="AH30" s="275"/>
      <c r="AI30" s="332">
        <f t="shared" si="0"/>
        <v>1201666.6666666667</v>
      </c>
      <c r="AJ30" s="332">
        <f t="shared" si="1"/>
        <v>3605000</v>
      </c>
      <c r="AK30" s="332">
        <v>3605000</v>
      </c>
      <c r="AL30" s="332">
        <v>3605000</v>
      </c>
      <c r="AM30" s="302">
        <v>3605000</v>
      </c>
      <c r="AN30" s="302">
        <v>3605000</v>
      </c>
      <c r="AO30" s="302">
        <v>3605000</v>
      </c>
      <c r="AP30" s="302">
        <v>3605000</v>
      </c>
      <c r="AQ30" s="302">
        <v>3605000</v>
      </c>
      <c r="AR30" s="302">
        <v>3605000</v>
      </c>
      <c r="AS30" s="302">
        <v>3605000</v>
      </c>
      <c r="AT30" s="302">
        <f t="shared" si="2"/>
        <v>2403333.3333333335</v>
      </c>
      <c r="AU30" s="299">
        <f t="shared" si="3"/>
        <v>39655000.000000007</v>
      </c>
      <c r="AV30" s="276">
        <f t="shared" si="4"/>
        <v>0</v>
      </c>
      <c r="AX30" s="273">
        <f t="shared" si="5"/>
        <v>39655000.000000007</v>
      </c>
      <c r="AY30" s="273">
        <v>0</v>
      </c>
      <c r="AZ30" s="273">
        <v>0</v>
      </c>
      <c r="BA30" s="273">
        <v>0</v>
      </c>
      <c r="BB30" s="272">
        <f t="shared" si="6"/>
        <v>39655000.000000007</v>
      </c>
    </row>
    <row r="31" spans="1:54">
      <c r="A31" s="213" t="s">
        <v>762</v>
      </c>
      <c r="B31" s="214" t="s">
        <v>763</v>
      </c>
      <c r="C31" s="214" t="s">
        <v>763</v>
      </c>
      <c r="D31" s="214">
        <v>391</v>
      </c>
      <c r="E31" s="215">
        <v>391</v>
      </c>
      <c r="F31" s="216">
        <v>7673</v>
      </c>
      <c r="G31" s="213" t="s">
        <v>563</v>
      </c>
      <c r="H31" s="213" t="s">
        <v>764</v>
      </c>
      <c r="I31" s="213" t="s">
        <v>765</v>
      </c>
      <c r="J31" s="213" t="s">
        <v>766</v>
      </c>
      <c r="K31" s="213" t="s">
        <v>767</v>
      </c>
      <c r="L31" s="213" t="s">
        <v>768</v>
      </c>
      <c r="M31" s="213" t="s">
        <v>769</v>
      </c>
      <c r="N31" s="213" t="s">
        <v>770</v>
      </c>
      <c r="O31" s="213" t="s">
        <v>771</v>
      </c>
      <c r="P31" s="213" t="s">
        <v>772</v>
      </c>
      <c r="Q31" s="217">
        <v>1</v>
      </c>
      <c r="R31" s="213" t="s">
        <v>790</v>
      </c>
      <c r="S31" s="213" t="s">
        <v>791</v>
      </c>
      <c r="T31" s="214">
        <v>80111620</v>
      </c>
      <c r="U31" s="213" t="s">
        <v>794</v>
      </c>
      <c r="V31" s="214">
        <v>1</v>
      </c>
      <c r="W31" s="214">
        <v>1</v>
      </c>
      <c r="X31" s="214">
        <v>330</v>
      </c>
      <c r="Y31" s="219" t="s">
        <v>776</v>
      </c>
      <c r="Z31" s="220" t="s">
        <v>777</v>
      </c>
      <c r="AA31" s="308">
        <v>39655000</v>
      </c>
      <c r="AB31" s="221">
        <v>3605000</v>
      </c>
      <c r="AC31" s="220" t="s">
        <v>795</v>
      </c>
      <c r="AD31" s="220" t="s">
        <v>779</v>
      </c>
      <c r="AE31" s="228"/>
      <c r="AF31" s="223"/>
      <c r="AG31" s="226"/>
      <c r="AH31" s="275"/>
      <c r="AI31" s="332">
        <f t="shared" si="0"/>
        <v>1201666.6666666667</v>
      </c>
      <c r="AJ31" s="332">
        <f t="shared" si="1"/>
        <v>3605000</v>
      </c>
      <c r="AK31" s="332">
        <v>3605000</v>
      </c>
      <c r="AL31" s="332">
        <v>3605000</v>
      </c>
      <c r="AM31" s="302">
        <v>3605000</v>
      </c>
      <c r="AN31" s="302">
        <v>3605000</v>
      </c>
      <c r="AO31" s="302">
        <v>3605000</v>
      </c>
      <c r="AP31" s="302">
        <v>3605000</v>
      </c>
      <c r="AQ31" s="302">
        <v>3605000</v>
      </c>
      <c r="AR31" s="302">
        <v>3605000</v>
      </c>
      <c r="AS31" s="302">
        <v>3605000</v>
      </c>
      <c r="AT31" s="302">
        <f t="shared" si="2"/>
        <v>2403333.3333333335</v>
      </c>
      <c r="AU31" s="299">
        <f t="shared" si="3"/>
        <v>39655000.000000007</v>
      </c>
      <c r="AV31" s="276">
        <f t="shared" si="4"/>
        <v>0</v>
      </c>
      <c r="AX31" s="273">
        <f t="shared" si="5"/>
        <v>39655000.000000007</v>
      </c>
      <c r="AY31" s="273">
        <v>0</v>
      </c>
      <c r="AZ31" s="273">
        <v>0</v>
      </c>
      <c r="BA31" s="273">
        <v>0</v>
      </c>
      <c r="BB31" s="272">
        <f t="shared" si="6"/>
        <v>39655000.000000007</v>
      </c>
    </row>
    <row r="32" spans="1:54" hidden="1">
      <c r="A32" s="213" t="s">
        <v>762</v>
      </c>
      <c r="B32" s="214" t="s">
        <v>763</v>
      </c>
      <c r="C32" s="214" t="s">
        <v>763</v>
      </c>
      <c r="D32" s="214">
        <v>392</v>
      </c>
      <c r="E32" s="215">
        <v>392</v>
      </c>
      <c r="F32" s="216">
        <v>7673</v>
      </c>
      <c r="G32" s="213" t="s">
        <v>563</v>
      </c>
      <c r="H32" s="213" t="s">
        <v>764</v>
      </c>
      <c r="I32" s="213" t="s">
        <v>765</v>
      </c>
      <c r="J32" s="213" t="s">
        <v>766</v>
      </c>
      <c r="K32" s="213" t="s">
        <v>767</v>
      </c>
      <c r="L32" s="213" t="s">
        <v>768</v>
      </c>
      <c r="M32" s="213" t="s">
        <v>769</v>
      </c>
      <c r="N32" s="213" t="s">
        <v>770</v>
      </c>
      <c r="O32" s="213" t="s">
        <v>796</v>
      </c>
      <c r="P32" s="213" t="s">
        <v>797</v>
      </c>
      <c r="Q32" s="217">
        <v>1</v>
      </c>
      <c r="R32" s="213" t="s">
        <v>773</v>
      </c>
      <c r="S32" s="213" t="s">
        <v>774</v>
      </c>
      <c r="T32" s="214">
        <v>80111620</v>
      </c>
      <c r="U32" s="213" t="s">
        <v>798</v>
      </c>
      <c r="V32" s="214">
        <v>1</v>
      </c>
      <c r="W32" s="214">
        <v>1</v>
      </c>
      <c r="X32" s="214">
        <v>330</v>
      </c>
      <c r="Y32" s="219" t="s">
        <v>776</v>
      </c>
      <c r="Z32" s="220" t="s">
        <v>777</v>
      </c>
      <c r="AA32" s="308">
        <v>92818000</v>
      </c>
      <c r="AB32" s="221">
        <v>8438000</v>
      </c>
      <c r="AC32" s="220" t="s">
        <v>799</v>
      </c>
      <c r="AD32" s="220" t="s">
        <v>800</v>
      </c>
      <c r="AE32" s="230"/>
      <c r="AF32" s="223"/>
      <c r="AG32" s="226"/>
      <c r="AH32" s="226"/>
      <c r="AI32" s="332">
        <f t="shared" si="0"/>
        <v>2812666.666666667</v>
      </c>
      <c r="AJ32" s="332">
        <f t="shared" si="1"/>
        <v>8438000</v>
      </c>
      <c r="AK32" s="332">
        <v>8438000</v>
      </c>
      <c r="AL32" s="332">
        <v>8438000</v>
      </c>
      <c r="AM32" s="302">
        <v>8438000</v>
      </c>
      <c r="AN32" s="302">
        <v>8438000</v>
      </c>
      <c r="AO32" s="302">
        <v>8438000</v>
      </c>
      <c r="AP32" s="302">
        <v>8438000</v>
      </c>
      <c r="AQ32" s="302">
        <v>8438000</v>
      </c>
      <c r="AR32" s="302">
        <v>8438000</v>
      </c>
      <c r="AS32" s="302">
        <v>8438000</v>
      </c>
      <c r="AT32" s="302">
        <f t="shared" si="2"/>
        <v>5625333.333333334</v>
      </c>
      <c r="AU32" s="299">
        <f t="shared" si="3"/>
        <v>92818000</v>
      </c>
      <c r="AV32" s="276">
        <f t="shared" si="4"/>
        <v>0</v>
      </c>
      <c r="AX32" s="273">
        <v>0</v>
      </c>
      <c r="AY32" s="273">
        <v>0</v>
      </c>
      <c r="AZ32" s="273">
        <f>+AU32</f>
        <v>92818000</v>
      </c>
      <c r="BA32" s="273">
        <v>0</v>
      </c>
      <c r="BB32" s="272">
        <f t="shared" si="6"/>
        <v>92818000</v>
      </c>
    </row>
    <row r="33" spans="1:54" hidden="1">
      <c r="A33" s="213" t="s">
        <v>762</v>
      </c>
      <c r="B33" s="214" t="s">
        <v>763</v>
      </c>
      <c r="C33" s="214" t="s">
        <v>763</v>
      </c>
      <c r="D33" s="214">
        <v>393</v>
      </c>
      <c r="E33" s="215">
        <v>393</v>
      </c>
      <c r="F33" s="216">
        <v>7673</v>
      </c>
      <c r="G33" s="213" t="s">
        <v>563</v>
      </c>
      <c r="H33" s="213" t="s">
        <v>764</v>
      </c>
      <c r="I33" s="213" t="s">
        <v>765</v>
      </c>
      <c r="J33" s="213" t="s">
        <v>766</v>
      </c>
      <c r="K33" s="213" t="s">
        <v>767</v>
      </c>
      <c r="L33" s="213" t="s">
        <v>768</v>
      </c>
      <c r="M33" s="213" t="s">
        <v>769</v>
      </c>
      <c r="N33" s="213" t="s">
        <v>770</v>
      </c>
      <c r="O33" s="213" t="s">
        <v>796</v>
      </c>
      <c r="P33" s="213" t="s">
        <v>797</v>
      </c>
      <c r="Q33" s="217">
        <v>1</v>
      </c>
      <c r="R33" s="213" t="s">
        <v>773</v>
      </c>
      <c r="S33" s="213" t="s">
        <v>774</v>
      </c>
      <c r="T33" s="214">
        <v>80111620</v>
      </c>
      <c r="U33" s="213" t="s">
        <v>801</v>
      </c>
      <c r="V33" s="214">
        <v>1</v>
      </c>
      <c r="W33" s="214">
        <v>1</v>
      </c>
      <c r="X33" s="214">
        <v>330</v>
      </c>
      <c r="Y33" s="219" t="s">
        <v>776</v>
      </c>
      <c r="Z33" s="220" t="s">
        <v>777</v>
      </c>
      <c r="AA33" s="308">
        <v>63811000</v>
      </c>
      <c r="AB33" s="221">
        <v>5801000</v>
      </c>
      <c r="AC33" s="220" t="s">
        <v>802</v>
      </c>
      <c r="AD33" s="220" t="s">
        <v>800</v>
      </c>
      <c r="AE33" s="230"/>
      <c r="AF33" s="223"/>
      <c r="AG33" s="229"/>
      <c r="AH33" s="229"/>
      <c r="AI33" s="332">
        <f t="shared" si="0"/>
        <v>1933666.6666666665</v>
      </c>
      <c r="AJ33" s="332">
        <f t="shared" si="1"/>
        <v>5801000</v>
      </c>
      <c r="AK33" s="332">
        <v>5801000</v>
      </c>
      <c r="AL33" s="332">
        <v>5801000</v>
      </c>
      <c r="AM33" s="302">
        <v>5801000</v>
      </c>
      <c r="AN33" s="302">
        <v>5801000</v>
      </c>
      <c r="AO33" s="302">
        <v>5801000</v>
      </c>
      <c r="AP33" s="302">
        <v>5801000</v>
      </c>
      <c r="AQ33" s="302">
        <v>5801000</v>
      </c>
      <c r="AR33" s="302">
        <v>5801000</v>
      </c>
      <c r="AS33" s="302">
        <v>5801000</v>
      </c>
      <c r="AT33" s="302">
        <f t="shared" si="2"/>
        <v>3867333.333333333</v>
      </c>
      <c r="AU33" s="299">
        <f t="shared" si="3"/>
        <v>63811000</v>
      </c>
      <c r="AV33" s="276">
        <f t="shared" si="4"/>
        <v>0</v>
      </c>
      <c r="AX33" s="273">
        <v>0</v>
      </c>
      <c r="AY33" s="273">
        <v>0</v>
      </c>
      <c r="AZ33" s="273">
        <f t="shared" ref="AZ33:AZ52" si="7">+AU33</f>
        <v>63811000</v>
      </c>
      <c r="BA33" s="273">
        <v>0</v>
      </c>
      <c r="BB33" s="272">
        <f t="shared" si="6"/>
        <v>63811000</v>
      </c>
    </row>
    <row r="34" spans="1:54" hidden="1">
      <c r="A34" s="213" t="s">
        <v>762</v>
      </c>
      <c r="B34" s="214" t="s">
        <v>763</v>
      </c>
      <c r="C34" s="214" t="s">
        <v>763</v>
      </c>
      <c r="D34" s="214">
        <v>394</v>
      </c>
      <c r="E34" s="215">
        <v>394</v>
      </c>
      <c r="F34" s="216">
        <v>7673</v>
      </c>
      <c r="G34" s="213" t="s">
        <v>563</v>
      </c>
      <c r="H34" s="213" t="s">
        <v>764</v>
      </c>
      <c r="I34" s="213" t="s">
        <v>765</v>
      </c>
      <c r="J34" s="213" t="s">
        <v>766</v>
      </c>
      <c r="K34" s="213" t="s">
        <v>767</v>
      </c>
      <c r="L34" s="213" t="s">
        <v>768</v>
      </c>
      <c r="M34" s="213" t="s">
        <v>769</v>
      </c>
      <c r="N34" s="213" t="s">
        <v>770</v>
      </c>
      <c r="O34" s="213" t="s">
        <v>796</v>
      </c>
      <c r="P34" s="213" t="s">
        <v>797</v>
      </c>
      <c r="Q34" s="217">
        <v>1</v>
      </c>
      <c r="R34" s="213" t="s">
        <v>773</v>
      </c>
      <c r="S34" s="213" t="s">
        <v>774</v>
      </c>
      <c r="T34" s="214">
        <v>80111620</v>
      </c>
      <c r="U34" s="213" t="s">
        <v>803</v>
      </c>
      <c r="V34" s="214">
        <v>1</v>
      </c>
      <c r="W34" s="214">
        <v>1</v>
      </c>
      <c r="X34" s="214">
        <v>330</v>
      </c>
      <c r="Y34" s="219" t="s">
        <v>776</v>
      </c>
      <c r="Z34" s="220" t="s">
        <v>777</v>
      </c>
      <c r="AA34" s="308">
        <v>126500000</v>
      </c>
      <c r="AB34" s="221">
        <v>11500000</v>
      </c>
      <c r="AC34" s="220" t="s">
        <v>804</v>
      </c>
      <c r="AD34" s="220" t="s">
        <v>800</v>
      </c>
      <c r="AE34" s="230"/>
      <c r="AF34" s="231"/>
      <c r="AG34" s="226"/>
      <c r="AH34" s="229"/>
      <c r="AI34" s="332">
        <f t="shared" si="0"/>
        <v>3833333.333333333</v>
      </c>
      <c r="AJ34" s="332">
        <f t="shared" si="1"/>
        <v>11500000</v>
      </c>
      <c r="AK34" s="332">
        <v>11500000</v>
      </c>
      <c r="AL34" s="332">
        <v>11500000</v>
      </c>
      <c r="AM34" s="302">
        <v>11500000</v>
      </c>
      <c r="AN34" s="302">
        <v>11500000</v>
      </c>
      <c r="AO34" s="302">
        <v>11500000</v>
      </c>
      <c r="AP34" s="302">
        <v>11500000</v>
      </c>
      <c r="AQ34" s="302">
        <v>11500000</v>
      </c>
      <c r="AR34" s="302">
        <v>11500000</v>
      </c>
      <c r="AS34" s="302">
        <v>11500000</v>
      </c>
      <c r="AT34" s="302">
        <f t="shared" si="2"/>
        <v>7666666.666666666</v>
      </c>
      <c r="AU34" s="299">
        <f t="shared" si="3"/>
        <v>126500000</v>
      </c>
      <c r="AV34" s="276">
        <f t="shared" si="4"/>
        <v>0</v>
      </c>
      <c r="AX34" s="273">
        <v>0</v>
      </c>
      <c r="AY34" s="273">
        <v>0</v>
      </c>
      <c r="AZ34" s="273">
        <f t="shared" si="7"/>
        <v>126500000</v>
      </c>
      <c r="BA34" s="273">
        <v>0</v>
      </c>
      <c r="BB34" s="272">
        <f t="shared" si="6"/>
        <v>126500000</v>
      </c>
    </row>
    <row r="35" spans="1:54" hidden="1">
      <c r="A35" s="213" t="s">
        <v>762</v>
      </c>
      <c r="B35" s="214" t="s">
        <v>763</v>
      </c>
      <c r="C35" s="214" t="s">
        <v>763</v>
      </c>
      <c r="D35" s="214">
        <v>395</v>
      </c>
      <c r="E35" s="215">
        <v>395</v>
      </c>
      <c r="F35" s="216">
        <v>7673</v>
      </c>
      <c r="G35" s="213" t="s">
        <v>563</v>
      </c>
      <c r="H35" s="213" t="s">
        <v>764</v>
      </c>
      <c r="I35" s="213" t="s">
        <v>765</v>
      </c>
      <c r="J35" s="213" t="s">
        <v>766</v>
      </c>
      <c r="K35" s="213" t="s">
        <v>767</v>
      </c>
      <c r="L35" s="213" t="s">
        <v>768</v>
      </c>
      <c r="M35" s="213" t="s">
        <v>769</v>
      </c>
      <c r="N35" s="213" t="s">
        <v>770</v>
      </c>
      <c r="O35" s="213" t="s">
        <v>796</v>
      </c>
      <c r="P35" s="213" t="s">
        <v>797</v>
      </c>
      <c r="Q35" s="217">
        <v>1</v>
      </c>
      <c r="R35" s="213" t="s">
        <v>773</v>
      </c>
      <c r="S35" s="213" t="s">
        <v>774</v>
      </c>
      <c r="T35" s="214">
        <v>80111620</v>
      </c>
      <c r="U35" s="213" t="s">
        <v>805</v>
      </c>
      <c r="V35" s="214">
        <v>1</v>
      </c>
      <c r="W35" s="214">
        <v>1</v>
      </c>
      <c r="X35" s="214">
        <v>330</v>
      </c>
      <c r="Y35" s="219" t="s">
        <v>776</v>
      </c>
      <c r="Z35" s="220" t="s">
        <v>777</v>
      </c>
      <c r="AA35" s="308">
        <v>113300000</v>
      </c>
      <c r="AB35" s="221">
        <v>10300000</v>
      </c>
      <c r="AC35" s="220" t="s">
        <v>806</v>
      </c>
      <c r="AD35" s="220" t="s">
        <v>800</v>
      </c>
      <c r="AE35" s="232"/>
      <c r="AF35" s="223"/>
      <c r="AG35" s="224"/>
      <c r="AH35" s="229"/>
      <c r="AI35" s="332">
        <f t="shared" si="0"/>
        <v>3433333.333333333</v>
      </c>
      <c r="AJ35" s="332">
        <f t="shared" si="1"/>
        <v>10300000</v>
      </c>
      <c r="AK35" s="332">
        <v>10300000</v>
      </c>
      <c r="AL35" s="332">
        <v>10300000</v>
      </c>
      <c r="AM35" s="302">
        <v>10300000</v>
      </c>
      <c r="AN35" s="302">
        <v>10300000</v>
      </c>
      <c r="AO35" s="302">
        <v>10300000</v>
      </c>
      <c r="AP35" s="302">
        <v>10300000</v>
      </c>
      <c r="AQ35" s="302">
        <v>10300000</v>
      </c>
      <c r="AR35" s="302">
        <v>10300000</v>
      </c>
      <c r="AS35" s="302">
        <v>10300000</v>
      </c>
      <c r="AT35" s="302">
        <f t="shared" si="2"/>
        <v>6866666.666666666</v>
      </c>
      <c r="AU35" s="299">
        <f t="shared" si="3"/>
        <v>113300000</v>
      </c>
      <c r="AV35" s="276">
        <f t="shared" si="4"/>
        <v>0</v>
      </c>
      <c r="AX35" s="273">
        <v>0</v>
      </c>
      <c r="AY35" s="273">
        <v>0</v>
      </c>
      <c r="AZ35" s="273">
        <f t="shared" si="7"/>
        <v>113300000</v>
      </c>
      <c r="BA35" s="273">
        <v>0</v>
      </c>
      <c r="BB35" s="272">
        <f t="shared" si="6"/>
        <v>113300000</v>
      </c>
    </row>
    <row r="36" spans="1:54" hidden="1">
      <c r="A36" s="213" t="s">
        <v>762</v>
      </c>
      <c r="B36" s="214" t="s">
        <v>763</v>
      </c>
      <c r="C36" s="214" t="s">
        <v>763</v>
      </c>
      <c r="D36" s="214">
        <v>396</v>
      </c>
      <c r="E36" s="215">
        <v>396</v>
      </c>
      <c r="F36" s="216">
        <v>7673</v>
      </c>
      <c r="G36" s="213" t="s">
        <v>563</v>
      </c>
      <c r="H36" s="213" t="s">
        <v>764</v>
      </c>
      <c r="I36" s="213" t="s">
        <v>765</v>
      </c>
      <c r="J36" s="213" t="s">
        <v>766</v>
      </c>
      <c r="K36" s="213" t="s">
        <v>767</v>
      </c>
      <c r="L36" s="213" t="s">
        <v>768</v>
      </c>
      <c r="M36" s="213" t="s">
        <v>769</v>
      </c>
      <c r="N36" s="213" t="s">
        <v>770</v>
      </c>
      <c r="O36" s="213" t="s">
        <v>796</v>
      </c>
      <c r="P36" s="213" t="s">
        <v>797</v>
      </c>
      <c r="Q36" s="217">
        <v>1</v>
      </c>
      <c r="R36" s="213" t="s">
        <v>773</v>
      </c>
      <c r="S36" s="213" t="s">
        <v>774</v>
      </c>
      <c r="T36" s="214">
        <v>80111620</v>
      </c>
      <c r="U36" s="213" t="s">
        <v>807</v>
      </c>
      <c r="V36" s="214">
        <v>1</v>
      </c>
      <c r="W36" s="214">
        <v>1</v>
      </c>
      <c r="X36" s="214">
        <v>330</v>
      </c>
      <c r="Y36" s="219" t="s">
        <v>776</v>
      </c>
      <c r="Z36" s="220" t="s">
        <v>777</v>
      </c>
      <c r="AA36" s="308">
        <v>92818000</v>
      </c>
      <c r="AB36" s="221">
        <v>8438000</v>
      </c>
      <c r="AC36" s="220" t="s">
        <v>808</v>
      </c>
      <c r="AD36" s="220" t="s">
        <v>800</v>
      </c>
      <c r="AE36" s="230"/>
      <c r="AF36" s="223"/>
      <c r="AG36" s="224"/>
      <c r="AH36" s="229"/>
      <c r="AI36" s="332">
        <f t="shared" si="0"/>
        <v>2812666.666666667</v>
      </c>
      <c r="AJ36" s="332">
        <f t="shared" si="1"/>
        <v>8438000</v>
      </c>
      <c r="AK36" s="332">
        <v>8438000</v>
      </c>
      <c r="AL36" s="332">
        <v>8438000</v>
      </c>
      <c r="AM36" s="302">
        <v>8438000</v>
      </c>
      <c r="AN36" s="302">
        <v>8438000</v>
      </c>
      <c r="AO36" s="302">
        <v>8438000</v>
      </c>
      <c r="AP36" s="302">
        <v>8438000</v>
      </c>
      <c r="AQ36" s="302">
        <v>8438000</v>
      </c>
      <c r="AR36" s="302">
        <v>8438000</v>
      </c>
      <c r="AS36" s="302">
        <v>8438000</v>
      </c>
      <c r="AT36" s="302">
        <f t="shared" si="2"/>
        <v>5625333.333333334</v>
      </c>
      <c r="AU36" s="299">
        <f t="shared" si="3"/>
        <v>92818000</v>
      </c>
      <c r="AV36" s="276">
        <f t="shared" si="4"/>
        <v>0</v>
      </c>
      <c r="AX36" s="273">
        <v>0</v>
      </c>
      <c r="AY36" s="273">
        <v>0</v>
      </c>
      <c r="AZ36" s="273">
        <f t="shared" si="7"/>
        <v>92818000</v>
      </c>
      <c r="BA36" s="273">
        <v>0</v>
      </c>
      <c r="BB36" s="272">
        <f t="shared" si="6"/>
        <v>92818000</v>
      </c>
    </row>
    <row r="37" spans="1:54" hidden="1">
      <c r="A37" s="213" t="s">
        <v>762</v>
      </c>
      <c r="B37" s="214" t="s">
        <v>763</v>
      </c>
      <c r="C37" s="214" t="s">
        <v>763</v>
      </c>
      <c r="D37" s="214">
        <v>397</v>
      </c>
      <c r="E37" s="215">
        <v>397</v>
      </c>
      <c r="F37" s="216">
        <v>7673</v>
      </c>
      <c r="G37" s="213" t="s">
        <v>563</v>
      </c>
      <c r="H37" s="213" t="s">
        <v>764</v>
      </c>
      <c r="I37" s="213" t="s">
        <v>765</v>
      </c>
      <c r="J37" s="213" t="s">
        <v>766</v>
      </c>
      <c r="K37" s="213" t="s">
        <v>767</v>
      </c>
      <c r="L37" s="213" t="s">
        <v>768</v>
      </c>
      <c r="M37" s="213" t="s">
        <v>769</v>
      </c>
      <c r="N37" s="213" t="s">
        <v>770</v>
      </c>
      <c r="O37" s="213" t="s">
        <v>796</v>
      </c>
      <c r="P37" s="213" t="s">
        <v>797</v>
      </c>
      <c r="Q37" s="217">
        <v>1</v>
      </c>
      <c r="R37" s="213" t="s">
        <v>773</v>
      </c>
      <c r="S37" s="213" t="s">
        <v>774</v>
      </c>
      <c r="T37" s="214">
        <v>80111620</v>
      </c>
      <c r="U37" s="213" t="s">
        <v>809</v>
      </c>
      <c r="V37" s="214">
        <v>1</v>
      </c>
      <c r="W37" s="214">
        <v>1</v>
      </c>
      <c r="X37" s="214">
        <v>330</v>
      </c>
      <c r="Y37" s="219" t="s">
        <v>776</v>
      </c>
      <c r="Z37" s="220" t="s">
        <v>777</v>
      </c>
      <c r="AA37" s="308">
        <v>67980000</v>
      </c>
      <c r="AB37" s="221">
        <v>6180000</v>
      </c>
      <c r="AC37" s="220" t="s">
        <v>810</v>
      </c>
      <c r="AD37" s="220" t="s">
        <v>800</v>
      </c>
      <c r="AE37" s="230"/>
      <c r="AF37" s="223"/>
      <c r="AG37" s="224"/>
      <c r="AH37" s="229"/>
      <c r="AI37" s="332">
        <f t="shared" si="0"/>
        <v>2060000</v>
      </c>
      <c r="AJ37" s="332">
        <f t="shared" si="1"/>
        <v>6180000</v>
      </c>
      <c r="AK37" s="332">
        <v>6180000</v>
      </c>
      <c r="AL37" s="332">
        <v>6180000</v>
      </c>
      <c r="AM37" s="302">
        <v>6180000</v>
      </c>
      <c r="AN37" s="302">
        <v>6180000</v>
      </c>
      <c r="AO37" s="302">
        <v>6180000</v>
      </c>
      <c r="AP37" s="302">
        <v>6180000</v>
      </c>
      <c r="AQ37" s="302">
        <v>6180000</v>
      </c>
      <c r="AR37" s="302">
        <v>6180000</v>
      </c>
      <c r="AS37" s="302">
        <v>6180000</v>
      </c>
      <c r="AT37" s="302">
        <f t="shared" si="2"/>
        <v>4120000</v>
      </c>
      <c r="AU37" s="299">
        <f t="shared" si="3"/>
        <v>67980000</v>
      </c>
      <c r="AV37" s="276">
        <f t="shared" si="4"/>
        <v>0</v>
      </c>
      <c r="AX37" s="273">
        <v>0</v>
      </c>
      <c r="AY37" s="273">
        <v>0</v>
      </c>
      <c r="AZ37" s="273">
        <f t="shared" si="7"/>
        <v>67980000</v>
      </c>
      <c r="BA37" s="273">
        <v>0</v>
      </c>
      <c r="BB37" s="272">
        <f t="shared" si="6"/>
        <v>67980000</v>
      </c>
    </row>
    <row r="38" spans="1:54" hidden="1">
      <c r="A38" s="213" t="s">
        <v>762</v>
      </c>
      <c r="B38" s="214" t="s">
        <v>763</v>
      </c>
      <c r="C38" s="214" t="s">
        <v>763</v>
      </c>
      <c r="D38" s="214">
        <v>398</v>
      </c>
      <c r="E38" s="215">
        <v>398</v>
      </c>
      <c r="F38" s="216">
        <v>7673</v>
      </c>
      <c r="G38" s="213" t="s">
        <v>563</v>
      </c>
      <c r="H38" s="213" t="s">
        <v>764</v>
      </c>
      <c r="I38" s="213" t="s">
        <v>765</v>
      </c>
      <c r="J38" s="213" t="s">
        <v>766</v>
      </c>
      <c r="K38" s="213" t="s">
        <v>767</v>
      </c>
      <c r="L38" s="213" t="s">
        <v>768</v>
      </c>
      <c r="M38" s="213" t="s">
        <v>769</v>
      </c>
      <c r="N38" s="213" t="s">
        <v>770</v>
      </c>
      <c r="O38" s="213" t="s">
        <v>796</v>
      </c>
      <c r="P38" s="213" t="s">
        <v>797</v>
      </c>
      <c r="Q38" s="217">
        <v>1</v>
      </c>
      <c r="R38" s="213" t="s">
        <v>773</v>
      </c>
      <c r="S38" s="213" t="s">
        <v>774</v>
      </c>
      <c r="T38" s="214">
        <v>80111620</v>
      </c>
      <c r="U38" s="213" t="s">
        <v>811</v>
      </c>
      <c r="V38" s="214">
        <v>1</v>
      </c>
      <c r="W38" s="214">
        <v>1</v>
      </c>
      <c r="X38" s="214">
        <v>330</v>
      </c>
      <c r="Y38" s="219" t="s">
        <v>776</v>
      </c>
      <c r="Z38" s="220" t="s">
        <v>777</v>
      </c>
      <c r="AA38" s="308">
        <v>62315000</v>
      </c>
      <c r="AB38" s="221">
        <v>5665000</v>
      </c>
      <c r="AC38" s="220" t="s">
        <v>812</v>
      </c>
      <c r="AD38" s="220" t="s">
        <v>800</v>
      </c>
      <c r="AE38" s="230"/>
      <c r="AF38" s="223"/>
      <c r="AG38" s="224"/>
      <c r="AH38" s="229"/>
      <c r="AI38" s="332">
        <f t="shared" si="0"/>
        <v>1888333.3333333335</v>
      </c>
      <c r="AJ38" s="332">
        <f t="shared" si="1"/>
        <v>5665000</v>
      </c>
      <c r="AK38" s="332">
        <v>5665000</v>
      </c>
      <c r="AL38" s="332">
        <v>5665000</v>
      </c>
      <c r="AM38" s="302">
        <v>5665000</v>
      </c>
      <c r="AN38" s="302">
        <v>5665000</v>
      </c>
      <c r="AO38" s="302">
        <v>5665000</v>
      </c>
      <c r="AP38" s="302">
        <v>5665000</v>
      </c>
      <c r="AQ38" s="302">
        <v>5665000</v>
      </c>
      <c r="AR38" s="302">
        <v>5665000</v>
      </c>
      <c r="AS38" s="302">
        <v>5665000</v>
      </c>
      <c r="AT38" s="302">
        <f t="shared" si="2"/>
        <v>3776666.666666667</v>
      </c>
      <c r="AU38" s="299">
        <f t="shared" si="3"/>
        <v>62315000</v>
      </c>
      <c r="AV38" s="276">
        <f t="shared" si="4"/>
        <v>0</v>
      </c>
      <c r="AX38" s="273">
        <v>0</v>
      </c>
      <c r="AY38" s="273">
        <v>0</v>
      </c>
      <c r="AZ38" s="273">
        <f t="shared" si="7"/>
        <v>62315000</v>
      </c>
      <c r="BA38" s="273">
        <v>0</v>
      </c>
      <c r="BB38" s="272">
        <f t="shared" si="6"/>
        <v>62315000</v>
      </c>
    </row>
    <row r="39" spans="1:54" hidden="1">
      <c r="A39" s="213" t="s">
        <v>762</v>
      </c>
      <c r="B39" s="214" t="s">
        <v>763</v>
      </c>
      <c r="C39" s="214" t="s">
        <v>763</v>
      </c>
      <c r="D39" s="214">
        <v>399</v>
      </c>
      <c r="E39" s="215">
        <v>399</v>
      </c>
      <c r="F39" s="216">
        <v>7673</v>
      </c>
      <c r="G39" s="213" t="s">
        <v>563</v>
      </c>
      <c r="H39" s="213" t="s">
        <v>764</v>
      </c>
      <c r="I39" s="213" t="s">
        <v>765</v>
      </c>
      <c r="J39" s="213" t="s">
        <v>766</v>
      </c>
      <c r="K39" s="213" t="s">
        <v>767</v>
      </c>
      <c r="L39" s="213" t="s">
        <v>768</v>
      </c>
      <c r="M39" s="213" t="s">
        <v>769</v>
      </c>
      <c r="N39" s="213" t="s">
        <v>770</v>
      </c>
      <c r="O39" s="213" t="s">
        <v>796</v>
      </c>
      <c r="P39" s="213" t="s">
        <v>797</v>
      </c>
      <c r="Q39" s="217">
        <v>1</v>
      </c>
      <c r="R39" s="213" t="s">
        <v>773</v>
      </c>
      <c r="S39" s="213" t="s">
        <v>774</v>
      </c>
      <c r="T39" s="214">
        <v>80111620</v>
      </c>
      <c r="U39" s="213" t="s">
        <v>813</v>
      </c>
      <c r="V39" s="214">
        <v>1</v>
      </c>
      <c r="W39" s="214">
        <v>1</v>
      </c>
      <c r="X39" s="214">
        <v>330</v>
      </c>
      <c r="Y39" s="219" t="s">
        <v>776</v>
      </c>
      <c r="Z39" s="220" t="s">
        <v>777</v>
      </c>
      <c r="AA39" s="308">
        <v>62315000</v>
      </c>
      <c r="AB39" s="221">
        <v>5665000</v>
      </c>
      <c r="AC39" s="220" t="s">
        <v>814</v>
      </c>
      <c r="AD39" s="220" t="s">
        <v>800</v>
      </c>
      <c r="AE39" s="232"/>
      <c r="AF39" s="223"/>
      <c r="AG39" s="224"/>
      <c r="AH39" s="229"/>
      <c r="AI39" s="332">
        <f t="shared" si="0"/>
        <v>1888333.3333333335</v>
      </c>
      <c r="AJ39" s="332">
        <f t="shared" si="1"/>
        <v>5665000</v>
      </c>
      <c r="AK39" s="332">
        <v>5665000</v>
      </c>
      <c r="AL39" s="332">
        <v>5665000</v>
      </c>
      <c r="AM39" s="302">
        <v>5665000</v>
      </c>
      <c r="AN39" s="302">
        <v>5665000</v>
      </c>
      <c r="AO39" s="302">
        <v>5665000</v>
      </c>
      <c r="AP39" s="302">
        <v>5665000</v>
      </c>
      <c r="AQ39" s="302">
        <v>5665000</v>
      </c>
      <c r="AR39" s="302">
        <v>5665000</v>
      </c>
      <c r="AS39" s="302">
        <v>5665000</v>
      </c>
      <c r="AT39" s="302">
        <f t="shared" si="2"/>
        <v>3776666.666666667</v>
      </c>
      <c r="AU39" s="299">
        <f t="shared" si="3"/>
        <v>62315000</v>
      </c>
      <c r="AV39" s="276">
        <f t="shared" si="4"/>
        <v>0</v>
      </c>
      <c r="AX39" s="273">
        <v>0</v>
      </c>
      <c r="AY39" s="273">
        <v>0</v>
      </c>
      <c r="AZ39" s="273">
        <f t="shared" si="7"/>
        <v>62315000</v>
      </c>
      <c r="BA39" s="273">
        <v>0</v>
      </c>
      <c r="BB39" s="272">
        <f t="shared" si="6"/>
        <v>62315000</v>
      </c>
    </row>
    <row r="40" spans="1:54" hidden="1">
      <c r="A40" s="213" t="s">
        <v>762</v>
      </c>
      <c r="B40" s="214" t="s">
        <v>763</v>
      </c>
      <c r="C40" s="214" t="s">
        <v>763</v>
      </c>
      <c r="D40" s="214">
        <v>400</v>
      </c>
      <c r="E40" s="215">
        <v>400</v>
      </c>
      <c r="F40" s="216">
        <v>7673</v>
      </c>
      <c r="G40" s="213" t="s">
        <v>563</v>
      </c>
      <c r="H40" s="213" t="s">
        <v>764</v>
      </c>
      <c r="I40" s="213" t="s">
        <v>765</v>
      </c>
      <c r="J40" s="213" t="s">
        <v>766</v>
      </c>
      <c r="K40" s="213" t="s">
        <v>767</v>
      </c>
      <c r="L40" s="213" t="s">
        <v>768</v>
      </c>
      <c r="M40" s="213" t="s">
        <v>769</v>
      </c>
      <c r="N40" s="213" t="s">
        <v>770</v>
      </c>
      <c r="O40" s="213" t="s">
        <v>796</v>
      </c>
      <c r="P40" s="213" t="s">
        <v>797</v>
      </c>
      <c r="Q40" s="217">
        <v>1</v>
      </c>
      <c r="R40" s="213" t="s">
        <v>773</v>
      </c>
      <c r="S40" s="213" t="s">
        <v>774</v>
      </c>
      <c r="T40" s="214">
        <v>80111620</v>
      </c>
      <c r="U40" s="213" t="s">
        <v>815</v>
      </c>
      <c r="V40" s="214">
        <v>1</v>
      </c>
      <c r="W40" s="214">
        <v>1</v>
      </c>
      <c r="X40" s="214">
        <v>330</v>
      </c>
      <c r="Y40" s="219" t="s">
        <v>776</v>
      </c>
      <c r="Z40" s="220" t="s">
        <v>777</v>
      </c>
      <c r="AA40" s="308">
        <v>82500000</v>
      </c>
      <c r="AB40" s="221">
        <v>7500000</v>
      </c>
      <c r="AC40" s="220" t="s">
        <v>816</v>
      </c>
      <c r="AD40" s="220" t="s">
        <v>800</v>
      </c>
      <c r="AE40" s="230"/>
      <c r="AF40" s="223"/>
      <c r="AG40" s="224"/>
      <c r="AH40" s="229"/>
      <c r="AI40" s="332">
        <f t="shared" si="0"/>
        <v>2500000</v>
      </c>
      <c r="AJ40" s="332">
        <f t="shared" si="1"/>
        <v>7500000</v>
      </c>
      <c r="AK40" s="332">
        <v>7500000</v>
      </c>
      <c r="AL40" s="332">
        <v>7500000</v>
      </c>
      <c r="AM40" s="302">
        <v>7500000</v>
      </c>
      <c r="AN40" s="302">
        <v>7500000</v>
      </c>
      <c r="AO40" s="302">
        <v>7500000</v>
      </c>
      <c r="AP40" s="302">
        <v>7500000</v>
      </c>
      <c r="AQ40" s="302">
        <v>7500000</v>
      </c>
      <c r="AR40" s="302">
        <v>7500000</v>
      </c>
      <c r="AS40" s="302">
        <v>7500000</v>
      </c>
      <c r="AT40" s="302">
        <f t="shared" si="2"/>
        <v>5000000</v>
      </c>
      <c r="AU40" s="299">
        <f t="shared" si="3"/>
        <v>82500000</v>
      </c>
      <c r="AV40" s="276">
        <f t="shared" si="4"/>
        <v>0</v>
      </c>
      <c r="AX40" s="273">
        <v>0</v>
      </c>
      <c r="AY40" s="273">
        <v>0</v>
      </c>
      <c r="AZ40" s="273">
        <f t="shared" si="7"/>
        <v>82500000</v>
      </c>
      <c r="BA40" s="273">
        <v>0</v>
      </c>
      <c r="BB40" s="272">
        <f t="shared" si="6"/>
        <v>82500000</v>
      </c>
    </row>
    <row r="41" spans="1:54" hidden="1">
      <c r="A41" s="213" t="s">
        <v>762</v>
      </c>
      <c r="B41" s="214" t="s">
        <v>763</v>
      </c>
      <c r="C41" s="214" t="s">
        <v>763</v>
      </c>
      <c r="D41" s="214">
        <v>401</v>
      </c>
      <c r="E41" s="215">
        <v>401</v>
      </c>
      <c r="F41" s="216">
        <v>7673</v>
      </c>
      <c r="G41" s="213" t="s">
        <v>563</v>
      </c>
      <c r="H41" s="213" t="s">
        <v>764</v>
      </c>
      <c r="I41" s="213" t="s">
        <v>765</v>
      </c>
      <c r="J41" s="213" t="s">
        <v>766</v>
      </c>
      <c r="K41" s="213" t="s">
        <v>767</v>
      </c>
      <c r="L41" s="213" t="s">
        <v>768</v>
      </c>
      <c r="M41" s="213" t="s">
        <v>769</v>
      </c>
      <c r="N41" s="213" t="s">
        <v>770</v>
      </c>
      <c r="O41" s="213" t="s">
        <v>796</v>
      </c>
      <c r="P41" s="213" t="s">
        <v>797</v>
      </c>
      <c r="Q41" s="217">
        <v>1</v>
      </c>
      <c r="R41" s="213" t="s">
        <v>790</v>
      </c>
      <c r="S41" s="213" t="s">
        <v>791</v>
      </c>
      <c r="T41" s="214">
        <v>80111620</v>
      </c>
      <c r="U41" s="213" t="s">
        <v>817</v>
      </c>
      <c r="V41" s="214">
        <v>1</v>
      </c>
      <c r="W41" s="214">
        <v>1</v>
      </c>
      <c r="X41" s="214">
        <v>330</v>
      </c>
      <c r="Y41" s="219" t="s">
        <v>776</v>
      </c>
      <c r="Z41" s="220" t="s">
        <v>777</v>
      </c>
      <c r="AA41" s="308">
        <v>33990000</v>
      </c>
      <c r="AB41" s="221">
        <v>3090000</v>
      </c>
      <c r="AC41" s="220" t="s">
        <v>818</v>
      </c>
      <c r="AD41" s="220" t="s">
        <v>800</v>
      </c>
      <c r="AE41" s="230"/>
      <c r="AF41" s="223"/>
      <c r="AG41" s="224"/>
      <c r="AH41" s="229"/>
      <c r="AI41" s="332">
        <f t="shared" si="0"/>
        <v>1030000</v>
      </c>
      <c r="AJ41" s="332">
        <f t="shared" si="1"/>
        <v>3090000</v>
      </c>
      <c r="AK41" s="332">
        <v>3090000</v>
      </c>
      <c r="AL41" s="332">
        <v>3090000</v>
      </c>
      <c r="AM41" s="302">
        <v>3090000</v>
      </c>
      <c r="AN41" s="302">
        <v>3090000</v>
      </c>
      <c r="AO41" s="302">
        <v>3090000</v>
      </c>
      <c r="AP41" s="302">
        <v>3090000</v>
      </c>
      <c r="AQ41" s="302">
        <v>3090000</v>
      </c>
      <c r="AR41" s="302">
        <v>3090000</v>
      </c>
      <c r="AS41" s="302">
        <v>3090000</v>
      </c>
      <c r="AT41" s="302">
        <f t="shared" si="2"/>
        <v>2060000</v>
      </c>
      <c r="AU41" s="299">
        <f t="shared" si="3"/>
        <v>33990000</v>
      </c>
      <c r="AV41" s="276">
        <f t="shared" si="4"/>
        <v>0</v>
      </c>
      <c r="AX41" s="273">
        <v>0</v>
      </c>
      <c r="AY41" s="273">
        <v>0</v>
      </c>
      <c r="AZ41" s="273">
        <f t="shared" si="7"/>
        <v>33990000</v>
      </c>
      <c r="BA41" s="273">
        <v>0</v>
      </c>
      <c r="BB41" s="272">
        <f t="shared" si="6"/>
        <v>33990000</v>
      </c>
    </row>
    <row r="42" spans="1:54" hidden="1">
      <c r="A42" s="213" t="s">
        <v>762</v>
      </c>
      <c r="B42" s="214" t="s">
        <v>763</v>
      </c>
      <c r="C42" s="214" t="s">
        <v>763</v>
      </c>
      <c r="D42" s="214">
        <v>402</v>
      </c>
      <c r="E42" s="215">
        <v>402</v>
      </c>
      <c r="F42" s="216">
        <v>7673</v>
      </c>
      <c r="G42" s="213" t="s">
        <v>563</v>
      </c>
      <c r="H42" s="213" t="s">
        <v>764</v>
      </c>
      <c r="I42" s="213" t="s">
        <v>765</v>
      </c>
      <c r="J42" s="213" t="s">
        <v>766</v>
      </c>
      <c r="K42" s="213" t="s">
        <v>767</v>
      </c>
      <c r="L42" s="213" t="s">
        <v>768</v>
      </c>
      <c r="M42" s="213" t="s">
        <v>769</v>
      </c>
      <c r="N42" s="213" t="s">
        <v>770</v>
      </c>
      <c r="O42" s="213" t="s">
        <v>796</v>
      </c>
      <c r="P42" s="213" t="s">
        <v>797</v>
      </c>
      <c r="Q42" s="217">
        <v>1</v>
      </c>
      <c r="R42" s="213" t="s">
        <v>790</v>
      </c>
      <c r="S42" s="213" t="s">
        <v>791</v>
      </c>
      <c r="T42" s="214">
        <v>80111620</v>
      </c>
      <c r="U42" s="213" t="s">
        <v>819</v>
      </c>
      <c r="V42" s="214">
        <v>1</v>
      </c>
      <c r="W42" s="214">
        <v>1</v>
      </c>
      <c r="X42" s="214">
        <v>330</v>
      </c>
      <c r="Y42" s="219" t="s">
        <v>776</v>
      </c>
      <c r="Z42" s="220" t="s">
        <v>777</v>
      </c>
      <c r="AA42" s="308">
        <v>56650000</v>
      </c>
      <c r="AB42" s="221">
        <v>5150000</v>
      </c>
      <c r="AC42" s="220" t="s">
        <v>820</v>
      </c>
      <c r="AD42" s="220" t="s">
        <v>800</v>
      </c>
      <c r="AE42" s="230"/>
      <c r="AF42" s="223"/>
      <c r="AG42" s="229"/>
      <c r="AH42" s="229"/>
      <c r="AI42" s="332">
        <f t="shared" si="0"/>
        <v>1716666.6666666665</v>
      </c>
      <c r="AJ42" s="332">
        <f t="shared" si="1"/>
        <v>5150000</v>
      </c>
      <c r="AK42" s="332">
        <v>5150000</v>
      </c>
      <c r="AL42" s="332">
        <v>5150000</v>
      </c>
      <c r="AM42" s="302">
        <v>5150000</v>
      </c>
      <c r="AN42" s="302">
        <v>5150000</v>
      </c>
      <c r="AO42" s="302">
        <v>5150000</v>
      </c>
      <c r="AP42" s="302">
        <v>5150000</v>
      </c>
      <c r="AQ42" s="302">
        <v>5150000</v>
      </c>
      <c r="AR42" s="302">
        <v>5150000</v>
      </c>
      <c r="AS42" s="302">
        <v>5150000</v>
      </c>
      <c r="AT42" s="302">
        <f t="shared" si="2"/>
        <v>3433333.333333333</v>
      </c>
      <c r="AU42" s="299">
        <f t="shared" si="3"/>
        <v>56650000</v>
      </c>
      <c r="AV42" s="276">
        <f t="shared" si="4"/>
        <v>0</v>
      </c>
      <c r="AX42" s="273">
        <v>0</v>
      </c>
      <c r="AY42" s="273">
        <v>0</v>
      </c>
      <c r="AZ42" s="273">
        <f t="shared" si="7"/>
        <v>56650000</v>
      </c>
      <c r="BA42" s="273">
        <v>0</v>
      </c>
      <c r="BB42" s="272">
        <f t="shared" si="6"/>
        <v>56650000</v>
      </c>
    </row>
    <row r="43" spans="1:54" hidden="1">
      <c r="A43" s="213" t="s">
        <v>762</v>
      </c>
      <c r="B43" s="214" t="s">
        <v>763</v>
      </c>
      <c r="C43" s="214" t="s">
        <v>763</v>
      </c>
      <c r="D43" s="214">
        <v>403</v>
      </c>
      <c r="E43" s="215">
        <v>403</v>
      </c>
      <c r="F43" s="216">
        <v>7673</v>
      </c>
      <c r="G43" s="213" t="s">
        <v>563</v>
      </c>
      <c r="H43" s="213" t="s">
        <v>764</v>
      </c>
      <c r="I43" s="213" t="s">
        <v>765</v>
      </c>
      <c r="J43" s="213" t="s">
        <v>766</v>
      </c>
      <c r="K43" s="213" t="s">
        <v>767</v>
      </c>
      <c r="L43" s="213" t="s">
        <v>768</v>
      </c>
      <c r="M43" s="213" t="s">
        <v>769</v>
      </c>
      <c r="N43" s="213" t="s">
        <v>770</v>
      </c>
      <c r="O43" s="213" t="s">
        <v>796</v>
      </c>
      <c r="P43" s="213" t="s">
        <v>797</v>
      </c>
      <c r="Q43" s="217">
        <v>1</v>
      </c>
      <c r="R43" s="213" t="s">
        <v>790</v>
      </c>
      <c r="S43" s="213" t="s">
        <v>791</v>
      </c>
      <c r="T43" s="214">
        <v>80111620</v>
      </c>
      <c r="U43" s="213" t="s">
        <v>819</v>
      </c>
      <c r="V43" s="214">
        <v>1</v>
      </c>
      <c r="W43" s="214">
        <v>1</v>
      </c>
      <c r="X43" s="214">
        <v>330</v>
      </c>
      <c r="Y43" s="219" t="s">
        <v>776</v>
      </c>
      <c r="Z43" s="220" t="s">
        <v>777</v>
      </c>
      <c r="AA43" s="308">
        <v>56650000</v>
      </c>
      <c r="AB43" s="221">
        <v>5150000</v>
      </c>
      <c r="AC43" s="220" t="s">
        <v>820</v>
      </c>
      <c r="AD43" s="233" t="s">
        <v>800</v>
      </c>
      <c r="AE43" s="230"/>
      <c r="AF43" s="223"/>
      <c r="AG43" s="224"/>
      <c r="AH43" s="229"/>
      <c r="AI43" s="332">
        <f t="shared" si="0"/>
        <v>1716666.6666666665</v>
      </c>
      <c r="AJ43" s="332">
        <f t="shared" si="1"/>
        <v>5150000</v>
      </c>
      <c r="AK43" s="332">
        <v>5150000</v>
      </c>
      <c r="AL43" s="332">
        <v>5150000</v>
      </c>
      <c r="AM43" s="302">
        <v>5150000</v>
      </c>
      <c r="AN43" s="302">
        <v>5150000</v>
      </c>
      <c r="AO43" s="302">
        <v>5150000</v>
      </c>
      <c r="AP43" s="302">
        <v>5150000</v>
      </c>
      <c r="AQ43" s="302">
        <v>5150000</v>
      </c>
      <c r="AR43" s="302">
        <v>5150000</v>
      </c>
      <c r="AS43" s="302">
        <v>5150000</v>
      </c>
      <c r="AT43" s="302">
        <f t="shared" si="2"/>
        <v>3433333.333333333</v>
      </c>
      <c r="AU43" s="299">
        <f t="shared" si="3"/>
        <v>56650000</v>
      </c>
      <c r="AV43" s="276">
        <f t="shared" si="4"/>
        <v>0</v>
      </c>
      <c r="AX43" s="273">
        <v>0</v>
      </c>
      <c r="AY43" s="273">
        <v>0</v>
      </c>
      <c r="AZ43" s="273">
        <f t="shared" si="7"/>
        <v>56650000</v>
      </c>
      <c r="BA43" s="273">
        <v>0</v>
      </c>
      <c r="BB43" s="272">
        <f t="shared" si="6"/>
        <v>56650000</v>
      </c>
    </row>
    <row r="44" spans="1:54" hidden="1">
      <c r="A44" s="213" t="s">
        <v>762</v>
      </c>
      <c r="B44" s="214" t="s">
        <v>763</v>
      </c>
      <c r="C44" s="214" t="s">
        <v>763</v>
      </c>
      <c r="D44" s="214">
        <v>404</v>
      </c>
      <c r="E44" s="215">
        <v>404</v>
      </c>
      <c r="F44" s="216">
        <v>7673</v>
      </c>
      <c r="G44" s="213" t="s">
        <v>563</v>
      </c>
      <c r="H44" s="213" t="s">
        <v>764</v>
      </c>
      <c r="I44" s="213" t="s">
        <v>765</v>
      </c>
      <c r="J44" s="213" t="s">
        <v>766</v>
      </c>
      <c r="K44" s="213" t="s">
        <v>767</v>
      </c>
      <c r="L44" s="213" t="s">
        <v>768</v>
      </c>
      <c r="M44" s="213" t="s">
        <v>769</v>
      </c>
      <c r="N44" s="213" t="s">
        <v>770</v>
      </c>
      <c r="O44" s="213" t="s">
        <v>796</v>
      </c>
      <c r="P44" s="213" t="s">
        <v>797</v>
      </c>
      <c r="Q44" s="217">
        <v>1</v>
      </c>
      <c r="R44" s="213" t="s">
        <v>790</v>
      </c>
      <c r="S44" s="213" t="s">
        <v>791</v>
      </c>
      <c r="T44" s="214">
        <v>80111620</v>
      </c>
      <c r="U44" s="213" t="s">
        <v>819</v>
      </c>
      <c r="V44" s="214">
        <v>1</v>
      </c>
      <c r="W44" s="214">
        <v>1</v>
      </c>
      <c r="X44" s="214">
        <v>330</v>
      </c>
      <c r="Y44" s="219" t="s">
        <v>776</v>
      </c>
      <c r="Z44" s="220" t="s">
        <v>777</v>
      </c>
      <c r="AA44" s="308">
        <v>56650000</v>
      </c>
      <c r="AB44" s="221">
        <v>5150000</v>
      </c>
      <c r="AC44" s="220" t="s">
        <v>820</v>
      </c>
      <c r="AD44" s="220" t="s">
        <v>800</v>
      </c>
      <c r="AE44" s="230"/>
      <c r="AF44" s="223"/>
      <c r="AG44" s="224"/>
      <c r="AH44" s="229"/>
      <c r="AI44" s="332">
        <f t="shared" si="0"/>
        <v>1716666.6666666665</v>
      </c>
      <c r="AJ44" s="332">
        <f t="shared" si="1"/>
        <v>5150000</v>
      </c>
      <c r="AK44" s="332">
        <v>5150000</v>
      </c>
      <c r="AL44" s="332">
        <v>5150000</v>
      </c>
      <c r="AM44" s="302">
        <v>5150000</v>
      </c>
      <c r="AN44" s="302">
        <v>5150000</v>
      </c>
      <c r="AO44" s="302">
        <v>5150000</v>
      </c>
      <c r="AP44" s="302">
        <v>5150000</v>
      </c>
      <c r="AQ44" s="302">
        <v>5150000</v>
      </c>
      <c r="AR44" s="302">
        <v>5150000</v>
      </c>
      <c r="AS44" s="302">
        <v>5150000</v>
      </c>
      <c r="AT44" s="302">
        <f t="shared" si="2"/>
        <v>3433333.333333333</v>
      </c>
      <c r="AU44" s="299">
        <f t="shared" si="3"/>
        <v>56650000</v>
      </c>
      <c r="AV44" s="276">
        <f t="shared" si="4"/>
        <v>0</v>
      </c>
      <c r="AX44" s="273">
        <v>0</v>
      </c>
      <c r="AY44" s="273">
        <v>0</v>
      </c>
      <c r="AZ44" s="273">
        <f t="shared" si="7"/>
        <v>56650000</v>
      </c>
      <c r="BA44" s="273">
        <v>0</v>
      </c>
      <c r="BB44" s="272">
        <f t="shared" si="6"/>
        <v>56650000</v>
      </c>
    </row>
    <row r="45" spans="1:54" hidden="1">
      <c r="A45" s="213" t="s">
        <v>762</v>
      </c>
      <c r="B45" s="214" t="s">
        <v>763</v>
      </c>
      <c r="C45" s="214" t="s">
        <v>763</v>
      </c>
      <c r="D45" s="214">
        <v>405</v>
      </c>
      <c r="E45" s="215">
        <v>405</v>
      </c>
      <c r="F45" s="216">
        <v>7673</v>
      </c>
      <c r="G45" s="213" t="s">
        <v>563</v>
      </c>
      <c r="H45" s="213" t="s">
        <v>764</v>
      </c>
      <c r="I45" s="213" t="s">
        <v>765</v>
      </c>
      <c r="J45" s="213" t="s">
        <v>766</v>
      </c>
      <c r="K45" s="213" t="s">
        <v>767</v>
      </c>
      <c r="L45" s="213" t="s">
        <v>768</v>
      </c>
      <c r="M45" s="213" t="s">
        <v>769</v>
      </c>
      <c r="N45" s="213" t="s">
        <v>770</v>
      </c>
      <c r="O45" s="213" t="s">
        <v>796</v>
      </c>
      <c r="P45" s="213" t="s">
        <v>797</v>
      </c>
      <c r="Q45" s="217">
        <v>1</v>
      </c>
      <c r="R45" s="213" t="s">
        <v>790</v>
      </c>
      <c r="S45" s="213" t="s">
        <v>791</v>
      </c>
      <c r="T45" s="214">
        <v>80111620</v>
      </c>
      <c r="U45" s="213" t="s">
        <v>819</v>
      </c>
      <c r="V45" s="214">
        <v>1</v>
      </c>
      <c r="W45" s="214">
        <v>1</v>
      </c>
      <c r="X45" s="214">
        <v>330</v>
      </c>
      <c r="Y45" s="219" t="s">
        <v>776</v>
      </c>
      <c r="Z45" s="220" t="s">
        <v>777</v>
      </c>
      <c r="AA45" s="308">
        <v>56650000</v>
      </c>
      <c r="AB45" s="221">
        <v>5150000</v>
      </c>
      <c r="AC45" s="220" t="s">
        <v>820</v>
      </c>
      <c r="AD45" s="220" t="s">
        <v>800</v>
      </c>
      <c r="AE45" s="232"/>
      <c r="AF45" s="223"/>
      <c r="AG45" s="224"/>
      <c r="AH45" s="229"/>
      <c r="AI45" s="332">
        <f t="shared" si="0"/>
        <v>1716666.6666666665</v>
      </c>
      <c r="AJ45" s="332">
        <f t="shared" si="1"/>
        <v>5150000</v>
      </c>
      <c r="AK45" s="332">
        <v>5150000</v>
      </c>
      <c r="AL45" s="332">
        <v>5150000</v>
      </c>
      <c r="AM45" s="302">
        <v>5150000</v>
      </c>
      <c r="AN45" s="302">
        <v>5150000</v>
      </c>
      <c r="AO45" s="302">
        <v>5150000</v>
      </c>
      <c r="AP45" s="302">
        <v>5150000</v>
      </c>
      <c r="AQ45" s="302">
        <v>5150000</v>
      </c>
      <c r="AR45" s="302">
        <v>5150000</v>
      </c>
      <c r="AS45" s="302">
        <v>5150000</v>
      </c>
      <c r="AT45" s="302">
        <f t="shared" si="2"/>
        <v>3433333.333333333</v>
      </c>
      <c r="AU45" s="299">
        <f t="shared" si="3"/>
        <v>56650000</v>
      </c>
      <c r="AV45" s="276">
        <f t="shared" si="4"/>
        <v>0</v>
      </c>
      <c r="AX45" s="273">
        <v>0</v>
      </c>
      <c r="AY45" s="273">
        <v>0</v>
      </c>
      <c r="AZ45" s="273">
        <f t="shared" si="7"/>
        <v>56650000</v>
      </c>
      <c r="BA45" s="273">
        <v>0</v>
      </c>
      <c r="BB45" s="272">
        <f t="shared" si="6"/>
        <v>56650000</v>
      </c>
    </row>
    <row r="46" spans="1:54" hidden="1">
      <c r="A46" s="213" t="s">
        <v>762</v>
      </c>
      <c r="B46" s="214" t="s">
        <v>763</v>
      </c>
      <c r="C46" s="214" t="s">
        <v>763</v>
      </c>
      <c r="D46" s="214">
        <v>406</v>
      </c>
      <c r="E46" s="215">
        <v>406</v>
      </c>
      <c r="F46" s="216">
        <v>7673</v>
      </c>
      <c r="G46" s="213" t="s">
        <v>563</v>
      </c>
      <c r="H46" s="213" t="s">
        <v>764</v>
      </c>
      <c r="I46" s="213" t="s">
        <v>765</v>
      </c>
      <c r="J46" s="213" t="s">
        <v>766</v>
      </c>
      <c r="K46" s="213" t="s">
        <v>767</v>
      </c>
      <c r="L46" s="213" t="s">
        <v>768</v>
      </c>
      <c r="M46" s="213" t="s">
        <v>769</v>
      </c>
      <c r="N46" s="213" t="s">
        <v>770</v>
      </c>
      <c r="O46" s="213" t="s">
        <v>796</v>
      </c>
      <c r="P46" s="213" t="s">
        <v>797</v>
      </c>
      <c r="Q46" s="217">
        <v>1</v>
      </c>
      <c r="R46" s="213" t="s">
        <v>790</v>
      </c>
      <c r="S46" s="213" t="s">
        <v>791</v>
      </c>
      <c r="T46" s="214">
        <v>80111620</v>
      </c>
      <c r="U46" s="213" t="s">
        <v>819</v>
      </c>
      <c r="V46" s="214">
        <v>1</v>
      </c>
      <c r="W46" s="214">
        <v>1</v>
      </c>
      <c r="X46" s="214">
        <v>330</v>
      </c>
      <c r="Y46" s="219" t="s">
        <v>776</v>
      </c>
      <c r="Z46" s="220" t="s">
        <v>777</v>
      </c>
      <c r="AA46" s="308">
        <v>56650000</v>
      </c>
      <c r="AB46" s="221">
        <v>5150000</v>
      </c>
      <c r="AC46" s="220" t="s">
        <v>820</v>
      </c>
      <c r="AD46" s="220" t="s">
        <v>800</v>
      </c>
      <c r="AE46" s="230"/>
      <c r="AF46" s="223"/>
      <c r="AG46" s="224"/>
      <c r="AH46" s="229"/>
      <c r="AI46" s="332">
        <f t="shared" si="0"/>
        <v>1716666.6666666665</v>
      </c>
      <c r="AJ46" s="332">
        <f t="shared" si="1"/>
        <v>5150000</v>
      </c>
      <c r="AK46" s="332">
        <v>5150000</v>
      </c>
      <c r="AL46" s="332">
        <v>5150000</v>
      </c>
      <c r="AM46" s="302">
        <v>5150000</v>
      </c>
      <c r="AN46" s="302">
        <v>5150000</v>
      </c>
      <c r="AO46" s="302">
        <v>5150000</v>
      </c>
      <c r="AP46" s="302">
        <v>5150000</v>
      </c>
      <c r="AQ46" s="302">
        <v>5150000</v>
      </c>
      <c r="AR46" s="302">
        <v>5150000</v>
      </c>
      <c r="AS46" s="302">
        <v>5150000</v>
      </c>
      <c r="AT46" s="302">
        <f t="shared" si="2"/>
        <v>3433333.333333333</v>
      </c>
      <c r="AU46" s="299">
        <f t="shared" si="3"/>
        <v>56650000</v>
      </c>
      <c r="AV46" s="276">
        <f t="shared" si="4"/>
        <v>0</v>
      </c>
      <c r="AX46" s="273">
        <v>0</v>
      </c>
      <c r="AY46" s="273">
        <v>0</v>
      </c>
      <c r="AZ46" s="273">
        <f t="shared" si="7"/>
        <v>56650000</v>
      </c>
      <c r="BA46" s="273">
        <v>0</v>
      </c>
      <c r="BB46" s="272">
        <f t="shared" si="6"/>
        <v>56650000</v>
      </c>
    </row>
    <row r="47" spans="1:54" hidden="1">
      <c r="A47" s="213" t="s">
        <v>762</v>
      </c>
      <c r="B47" s="214" t="s">
        <v>763</v>
      </c>
      <c r="C47" s="214" t="s">
        <v>763</v>
      </c>
      <c r="D47" s="214">
        <v>407</v>
      </c>
      <c r="E47" s="215">
        <v>407</v>
      </c>
      <c r="F47" s="216">
        <v>7673</v>
      </c>
      <c r="G47" s="213" t="s">
        <v>563</v>
      </c>
      <c r="H47" s="213" t="s">
        <v>764</v>
      </c>
      <c r="I47" s="213" t="s">
        <v>765</v>
      </c>
      <c r="J47" s="213" t="s">
        <v>766</v>
      </c>
      <c r="K47" s="213" t="s">
        <v>767</v>
      </c>
      <c r="L47" s="213" t="s">
        <v>768</v>
      </c>
      <c r="M47" s="213" t="s">
        <v>769</v>
      </c>
      <c r="N47" s="213" t="s">
        <v>770</v>
      </c>
      <c r="O47" s="213" t="s">
        <v>796</v>
      </c>
      <c r="P47" s="213" t="s">
        <v>797</v>
      </c>
      <c r="Q47" s="217">
        <v>1</v>
      </c>
      <c r="R47" s="213" t="s">
        <v>790</v>
      </c>
      <c r="S47" s="213" t="s">
        <v>791</v>
      </c>
      <c r="T47" s="214">
        <v>80111620</v>
      </c>
      <c r="U47" s="213" t="s">
        <v>819</v>
      </c>
      <c r="V47" s="214">
        <v>1</v>
      </c>
      <c r="W47" s="214">
        <v>1</v>
      </c>
      <c r="X47" s="214">
        <v>330</v>
      </c>
      <c r="Y47" s="219" t="s">
        <v>776</v>
      </c>
      <c r="Z47" s="220" t="s">
        <v>777</v>
      </c>
      <c r="AA47" s="308">
        <v>56650000</v>
      </c>
      <c r="AB47" s="221">
        <v>5150000</v>
      </c>
      <c r="AC47" s="220" t="s">
        <v>820</v>
      </c>
      <c r="AD47" s="220" t="s">
        <v>800</v>
      </c>
      <c r="AE47" s="232"/>
      <c r="AF47" s="223"/>
      <c r="AG47" s="224"/>
      <c r="AH47" s="229"/>
      <c r="AI47" s="332">
        <f t="shared" si="0"/>
        <v>1716666.6666666665</v>
      </c>
      <c r="AJ47" s="332">
        <f t="shared" si="1"/>
        <v>5150000</v>
      </c>
      <c r="AK47" s="332">
        <v>5150000</v>
      </c>
      <c r="AL47" s="332">
        <v>5150000</v>
      </c>
      <c r="AM47" s="302">
        <v>5150000</v>
      </c>
      <c r="AN47" s="302">
        <v>5150000</v>
      </c>
      <c r="AO47" s="302">
        <v>5150000</v>
      </c>
      <c r="AP47" s="302">
        <v>5150000</v>
      </c>
      <c r="AQ47" s="302">
        <v>5150000</v>
      </c>
      <c r="AR47" s="302">
        <v>5150000</v>
      </c>
      <c r="AS47" s="302">
        <v>5150000</v>
      </c>
      <c r="AT47" s="302">
        <f t="shared" si="2"/>
        <v>3433333.333333333</v>
      </c>
      <c r="AU47" s="299">
        <f t="shared" si="3"/>
        <v>56650000</v>
      </c>
      <c r="AV47" s="276">
        <f t="shared" si="4"/>
        <v>0</v>
      </c>
      <c r="AX47" s="273">
        <v>0</v>
      </c>
      <c r="AY47" s="273">
        <v>0</v>
      </c>
      <c r="AZ47" s="273">
        <f t="shared" si="7"/>
        <v>56650000</v>
      </c>
      <c r="BA47" s="273">
        <v>0</v>
      </c>
      <c r="BB47" s="272">
        <f t="shared" si="6"/>
        <v>56650000</v>
      </c>
    </row>
    <row r="48" spans="1:54" hidden="1">
      <c r="A48" s="213" t="s">
        <v>762</v>
      </c>
      <c r="B48" s="214" t="s">
        <v>763</v>
      </c>
      <c r="C48" s="214" t="s">
        <v>763</v>
      </c>
      <c r="D48" s="214">
        <v>408</v>
      </c>
      <c r="E48" s="215">
        <v>408</v>
      </c>
      <c r="F48" s="216">
        <v>7673</v>
      </c>
      <c r="G48" s="213" t="s">
        <v>563</v>
      </c>
      <c r="H48" s="213" t="s">
        <v>764</v>
      </c>
      <c r="I48" s="213" t="s">
        <v>765</v>
      </c>
      <c r="J48" s="213" t="s">
        <v>766</v>
      </c>
      <c r="K48" s="213" t="s">
        <v>767</v>
      </c>
      <c r="L48" s="213" t="s">
        <v>768</v>
      </c>
      <c r="M48" s="213" t="s">
        <v>769</v>
      </c>
      <c r="N48" s="213" t="s">
        <v>770</v>
      </c>
      <c r="O48" s="213" t="s">
        <v>796</v>
      </c>
      <c r="P48" s="213" t="s">
        <v>797</v>
      </c>
      <c r="Q48" s="217">
        <v>1</v>
      </c>
      <c r="R48" s="213" t="s">
        <v>790</v>
      </c>
      <c r="S48" s="213" t="s">
        <v>791</v>
      </c>
      <c r="T48" s="214">
        <v>80111620</v>
      </c>
      <c r="U48" s="213" t="s">
        <v>819</v>
      </c>
      <c r="V48" s="214">
        <v>1</v>
      </c>
      <c r="W48" s="214">
        <v>1</v>
      </c>
      <c r="X48" s="214">
        <v>330</v>
      </c>
      <c r="Y48" s="219" t="s">
        <v>776</v>
      </c>
      <c r="Z48" s="220" t="s">
        <v>777</v>
      </c>
      <c r="AA48" s="308">
        <v>56650000</v>
      </c>
      <c r="AB48" s="221">
        <v>5150000</v>
      </c>
      <c r="AC48" s="220" t="s">
        <v>820</v>
      </c>
      <c r="AD48" s="220" t="s">
        <v>800</v>
      </c>
      <c r="AE48" s="230"/>
      <c r="AF48" s="223"/>
      <c r="AG48" s="224"/>
      <c r="AH48" s="229"/>
      <c r="AI48" s="332">
        <f t="shared" si="0"/>
        <v>1716666.6666666665</v>
      </c>
      <c r="AJ48" s="332">
        <f t="shared" si="1"/>
        <v>5150000</v>
      </c>
      <c r="AK48" s="332">
        <v>5150000</v>
      </c>
      <c r="AL48" s="332">
        <v>5150000</v>
      </c>
      <c r="AM48" s="302">
        <v>5150000</v>
      </c>
      <c r="AN48" s="302">
        <v>5150000</v>
      </c>
      <c r="AO48" s="302">
        <v>5150000</v>
      </c>
      <c r="AP48" s="302">
        <v>5150000</v>
      </c>
      <c r="AQ48" s="302">
        <v>5150000</v>
      </c>
      <c r="AR48" s="302">
        <v>5150000</v>
      </c>
      <c r="AS48" s="302">
        <v>5150000</v>
      </c>
      <c r="AT48" s="302">
        <f t="shared" si="2"/>
        <v>3433333.333333333</v>
      </c>
      <c r="AU48" s="299">
        <f t="shared" si="3"/>
        <v>56650000</v>
      </c>
      <c r="AV48" s="276">
        <f t="shared" si="4"/>
        <v>0</v>
      </c>
      <c r="AX48" s="273">
        <v>0</v>
      </c>
      <c r="AY48" s="273">
        <v>0</v>
      </c>
      <c r="AZ48" s="273">
        <f t="shared" si="7"/>
        <v>56650000</v>
      </c>
      <c r="BA48" s="273">
        <v>0</v>
      </c>
      <c r="BB48" s="272">
        <f t="shared" si="6"/>
        <v>56650000</v>
      </c>
    </row>
    <row r="49" spans="1:54" hidden="1">
      <c r="A49" s="213" t="s">
        <v>762</v>
      </c>
      <c r="B49" s="214" t="s">
        <v>763</v>
      </c>
      <c r="C49" s="214" t="s">
        <v>763</v>
      </c>
      <c r="D49" s="214">
        <v>409</v>
      </c>
      <c r="E49" s="215">
        <v>409</v>
      </c>
      <c r="F49" s="216">
        <v>7673</v>
      </c>
      <c r="G49" s="213" t="s">
        <v>563</v>
      </c>
      <c r="H49" s="213" t="s">
        <v>764</v>
      </c>
      <c r="I49" s="213" t="s">
        <v>765</v>
      </c>
      <c r="J49" s="213" t="s">
        <v>766</v>
      </c>
      <c r="K49" s="213" t="s">
        <v>767</v>
      </c>
      <c r="L49" s="213" t="s">
        <v>768</v>
      </c>
      <c r="M49" s="213" t="s">
        <v>769</v>
      </c>
      <c r="N49" s="213" t="s">
        <v>770</v>
      </c>
      <c r="O49" s="213" t="s">
        <v>796</v>
      </c>
      <c r="P49" s="213" t="s">
        <v>797</v>
      </c>
      <c r="Q49" s="217">
        <v>1</v>
      </c>
      <c r="R49" s="213" t="s">
        <v>790</v>
      </c>
      <c r="S49" s="213" t="s">
        <v>791</v>
      </c>
      <c r="T49" s="214">
        <v>80111620</v>
      </c>
      <c r="U49" s="213" t="s">
        <v>819</v>
      </c>
      <c r="V49" s="214">
        <v>1</v>
      </c>
      <c r="W49" s="214">
        <v>1</v>
      </c>
      <c r="X49" s="214">
        <v>330</v>
      </c>
      <c r="Y49" s="219" t="s">
        <v>776</v>
      </c>
      <c r="Z49" s="220" t="s">
        <v>777</v>
      </c>
      <c r="AA49" s="308">
        <v>56650000</v>
      </c>
      <c r="AB49" s="221">
        <v>5150000</v>
      </c>
      <c r="AC49" s="220" t="s">
        <v>820</v>
      </c>
      <c r="AD49" s="220" t="s">
        <v>800</v>
      </c>
      <c r="AE49" s="230"/>
      <c r="AF49" s="223"/>
      <c r="AG49" s="224"/>
      <c r="AH49" s="229"/>
      <c r="AI49" s="332">
        <f t="shared" si="0"/>
        <v>1716666.6666666665</v>
      </c>
      <c r="AJ49" s="332">
        <f t="shared" si="1"/>
        <v>5150000</v>
      </c>
      <c r="AK49" s="332">
        <v>5150000</v>
      </c>
      <c r="AL49" s="332">
        <v>5150000</v>
      </c>
      <c r="AM49" s="302">
        <v>5150000</v>
      </c>
      <c r="AN49" s="302">
        <v>5150000</v>
      </c>
      <c r="AO49" s="302">
        <v>5150000</v>
      </c>
      <c r="AP49" s="302">
        <v>5150000</v>
      </c>
      <c r="AQ49" s="302">
        <v>5150000</v>
      </c>
      <c r="AR49" s="302">
        <v>5150000</v>
      </c>
      <c r="AS49" s="302">
        <v>5150000</v>
      </c>
      <c r="AT49" s="302">
        <f t="shared" si="2"/>
        <v>3433333.333333333</v>
      </c>
      <c r="AU49" s="299">
        <f t="shared" si="3"/>
        <v>56650000</v>
      </c>
      <c r="AV49" s="276">
        <f t="shared" si="4"/>
        <v>0</v>
      </c>
      <c r="AX49" s="273">
        <v>0</v>
      </c>
      <c r="AY49" s="273">
        <v>0</v>
      </c>
      <c r="AZ49" s="273">
        <f t="shared" si="7"/>
        <v>56650000</v>
      </c>
      <c r="BA49" s="273">
        <v>0</v>
      </c>
      <c r="BB49" s="272">
        <f t="shared" si="6"/>
        <v>56650000</v>
      </c>
    </row>
    <row r="50" spans="1:54" hidden="1">
      <c r="A50" s="213" t="s">
        <v>762</v>
      </c>
      <c r="B50" s="214" t="s">
        <v>763</v>
      </c>
      <c r="C50" s="214" t="s">
        <v>763</v>
      </c>
      <c r="D50" s="214">
        <v>410</v>
      </c>
      <c r="E50" s="215">
        <v>410</v>
      </c>
      <c r="F50" s="216">
        <v>7673</v>
      </c>
      <c r="G50" s="213" t="s">
        <v>563</v>
      </c>
      <c r="H50" s="213" t="s">
        <v>764</v>
      </c>
      <c r="I50" s="213" t="s">
        <v>765</v>
      </c>
      <c r="J50" s="213" t="s">
        <v>766</v>
      </c>
      <c r="K50" s="213" t="s">
        <v>767</v>
      </c>
      <c r="L50" s="213" t="s">
        <v>768</v>
      </c>
      <c r="M50" s="213" t="s">
        <v>769</v>
      </c>
      <c r="N50" s="213" t="s">
        <v>770</v>
      </c>
      <c r="O50" s="213" t="s">
        <v>796</v>
      </c>
      <c r="P50" s="213" t="s">
        <v>797</v>
      </c>
      <c r="Q50" s="217">
        <v>1</v>
      </c>
      <c r="R50" s="213" t="s">
        <v>790</v>
      </c>
      <c r="S50" s="213" t="s">
        <v>791</v>
      </c>
      <c r="T50" s="214">
        <v>80111620</v>
      </c>
      <c r="U50" s="213" t="s">
        <v>819</v>
      </c>
      <c r="V50" s="214">
        <v>1</v>
      </c>
      <c r="W50" s="214">
        <v>1</v>
      </c>
      <c r="X50" s="214">
        <v>330</v>
      </c>
      <c r="Y50" s="219" t="s">
        <v>776</v>
      </c>
      <c r="Z50" s="220" t="s">
        <v>777</v>
      </c>
      <c r="AA50" s="308">
        <v>56650000</v>
      </c>
      <c r="AB50" s="221">
        <v>5150000</v>
      </c>
      <c r="AC50" s="220" t="s">
        <v>820</v>
      </c>
      <c r="AD50" s="220" t="s">
        <v>800</v>
      </c>
      <c r="AE50" s="230"/>
      <c r="AF50" s="223"/>
      <c r="AG50" s="224"/>
      <c r="AH50" s="229"/>
      <c r="AI50" s="332">
        <f t="shared" si="0"/>
        <v>1716666.6666666665</v>
      </c>
      <c r="AJ50" s="332">
        <f t="shared" si="1"/>
        <v>5150000</v>
      </c>
      <c r="AK50" s="332">
        <v>5150000</v>
      </c>
      <c r="AL50" s="332">
        <v>5150000</v>
      </c>
      <c r="AM50" s="302">
        <v>5150000</v>
      </c>
      <c r="AN50" s="302">
        <v>5150000</v>
      </c>
      <c r="AO50" s="302">
        <v>5150000</v>
      </c>
      <c r="AP50" s="302">
        <v>5150000</v>
      </c>
      <c r="AQ50" s="302">
        <v>5150000</v>
      </c>
      <c r="AR50" s="302">
        <v>5150000</v>
      </c>
      <c r="AS50" s="302">
        <v>5150000</v>
      </c>
      <c r="AT50" s="302">
        <f t="shared" si="2"/>
        <v>3433333.333333333</v>
      </c>
      <c r="AU50" s="299">
        <f t="shared" si="3"/>
        <v>56650000</v>
      </c>
      <c r="AV50" s="276">
        <f t="shared" si="4"/>
        <v>0</v>
      </c>
      <c r="AX50" s="273">
        <v>0</v>
      </c>
      <c r="AY50" s="273">
        <v>0</v>
      </c>
      <c r="AZ50" s="273">
        <f t="shared" si="7"/>
        <v>56650000</v>
      </c>
      <c r="BA50" s="273">
        <v>0</v>
      </c>
      <c r="BB50" s="272">
        <f t="shared" si="6"/>
        <v>56650000</v>
      </c>
    </row>
    <row r="51" spans="1:54" hidden="1">
      <c r="A51" s="213" t="s">
        <v>762</v>
      </c>
      <c r="B51" s="214" t="s">
        <v>763</v>
      </c>
      <c r="C51" s="214" t="s">
        <v>763</v>
      </c>
      <c r="D51" s="214">
        <v>411</v>
      </c>
      <c r="E51" s="215">
        <v>411</v>
      </c>
      <c r="F51" s="216">
        <v>7673</v>
      </c>
      <c r="G51" s="213" t="s">
        <v>563</v>
      </c>
      <c r="H51" s="213" t="s">
        <v>764</v>
      </c>
      <c r="I51" s="213" t="s">
        <v>765</v>
      </c>
      <c r="J51" s="213" t="s">
        <v>766</v>
      </c>
      <c r="K51" s="213" t="s">
        <v>767</v>
      </c>
      <c r="L51" s="213" t="s">
        <v>768</v>
      </c>
      <c r="M51" s="213" t="s">
        <v>769</v>
      </c>
      <c r="N51" s="213" t="s">
        <v>770</v>
      </c>
      <c r="O51" s="213" t="s">
        <v>796</v>
      </c>
      <c r="P51" s="213" t="s">
        <v>797</v>
      </c>
      <c r="Q51" s="217">
        <v>1</v>
      </c>
      <c r="R51" s="213" t="s">
        <v>790</v>
      </c>
      <c r="S51" s="213" t="s">
        <v>791</v>
      </c>
      <c r="T51" s="214">
        <v>80111620</v>
      </c>
      <c r="U51" s="213" t="s">
        <v>819</v>
      </c>
      <c r="V51" s="214">
        <v>1</v>
      </c>
      <c r="W51" s="214">
        <v>1</v>
      </c>
      <c r="X51" s="214">
        <v>330</v>
      </c>
      <c r="Y51" s="219" t="s">
        <v>776</v>
      </c>
      <c r="Z51" s="220" t="s">
        <v>777</v>
      </c>
      <c r="AA51" s="308">
        <v>56650000</v>
      </c>
      <c r="AB51" s="221">
        <v>5150000</v>
      </c>
      <c r="AC51" s="220" t="s">
        <v>820</v>
      </c>
      <c r="AD51" s="220" t="s">
        <v>800</v>
      </c>
      <c r="AE51" s="230"/>
      <c r="AF51" s="223"/>
      <c r="AG51" s="226"/>
      <c r="AH51" s="226"/>
      <c r="AI51" s="332">
        <f t="shared" si="0"/>
        <v>1716666.6666666665</v>
      </c>
      <c r="AJ51" s="332">
        <f t="shared" si="1"/>
        <v>5150000</v>
      </c>
      <c r="AK51" s="332">
        <v>5150000</v>
      </c>
      <c r="AL51" s="332">
        <v>5150000</v>
      </c>
      <c r="AM51" s="302">
        <v>5150000</v>
      </c>
      <c r="AN51" s="302">
        <v>5150000</v>
      </c>
      <c r="AO51" s="302">
        <v>5150000</v>
      </c>
      <c r="AP51" s="302">
        <v>5150000</v>
      </c>
      <c r="AQ51" s="302">
        <v>5150000</v>
      </c>
      <c r="AR51" s="302">
        <v>5150000</v>
      </c>
      <c r="AS51" s="302">
        <v>5150000</v>
      </c>
      <c r="AT51" s="302">
        <f t="shared" si="2"/>
        <v>3433333.333333333</v>
      </c>
      <c r="AU51" s="299">
        <f t="shared" si="3"/>
        <v>56650000</v>
      </c>
      <c r="AV51" s="276">
        <f t="shared" si="4"/>
        <v>0</v>
      </c>
      <c r="AX51" s="273">
        <v>0</v>
      </c>
      <c r="AY51" s="273">
        <v>0</v>
      </c>
      <c r="AZ51" s="273">
        <f t="shared" si="7"/>
        <v>56650000</v>
      </c>
      <c r="BA51" s="273">
        <v>0</v>
      </c>
      <c r="BB51" s="272">
        <f t="shared" si="6"/>
        <v>56650000</v>
      </c>
    </row>
    <row r="52" spans="1:54" hidden="1">
      <c r="A52" s="213" t="s">
        <v>762</v>
      </c>
      <c r="B52" s="214" t="s">
        <v>763</v>
      </c>
      <c r="C52" s="214" t="s">
        <v>763</v>
      </c>
      <c r="D52" s="214">
        <v>412</v>
      </c>
      <c r="E52" s="215">
        <v>412</v>
      </c>
      <c r="F52" s="216">
        <v>7673</v>
      </c>
      <c r="G52" s="213" t="s">
        <v>563</v>
      </c>
      <c r="H52" s="213" t="s">
        <v>764</v>
      </c>
      <c r="I52" s="213" t="s">
        <v>765</v>
      </c>
      <c r="J52" s="213" t="s">
        <v>766</v>
      </c>
      <c r="K52" s="213" t="s">
        <v>767</v>
      </c>
      <c r="L52" s="213" t="s">
        <v>768</v>
      </c>
      <c r="M52" s="213" t="s">
        <v>769</v>
      </c>
      <c r="N52" s="213" t="s">
        <v>770</v>
      </c>
      <c r="O52" s="213" t="s">
        <v>796</v>
      </c>
      <c r="P52" s="213" t="s">
        <v>797</v>
      </c>
      <c r="Q52" s="217">
        <v>1</v>
      </c>
      <c r="R52" s="213" t="s">
        <v>773</v>
      </c>
      <c r="S52" s="213" t="s">
        <v>774</v>
      </c>
      <c r="T52" s="214">
        <v>80111600</v>
      </c>
      <c r="U52" s="213" t="s">
        <v>821</v>
      </c>
      <c r="V52" s="214">
        <v>1</v>
      </c>
      <c r="W52" s="214">
        <v>1</v>
      </c>
      <c r="X52" s="214">
        <v>330</v>
      </c>
      <c r="Y52" s="219" t="s">
        <v>776</v>
      </c>
      <c r="Z52" s="220" t="s">
        <v>777</v>
      </c>
      <c r="AA52" s="308">
        <v>88000000</v>
      </c>
      <c r="AB52" s="221">
        <v>8000000</v>
      </c>
      <c r="AC52" s="220" t="s">
        <v>822</v>
      </c>
      <c r="AD52" s="220" t="s">
        <v>823</v>
      </c>
      <c r="AE52" s="230"/>
      <c r="AF52" s="223"/>
      <c r="AG52" s="226"/>
      <c r="AH52" s="226"/>
      <c r="AI52" s="332">
        <f t="shared" si="0"/>
        <v>2666666.666666667</v>
      </c>
      <c r="AJ52" s="332">
        <f t="shared" si="1"/>
        <v>8000000</v>
      </c>
      <c r="AK52" s="332">
        <v>8000000</v>
      </c>
      <c r="AL52" s="332">
        <v>8000000</v>
      </c>
      <c r="AM52" s="302">
        <v>8000000</v>
      </c>
      <c r="AN52" s="302">
        <v>8000000</v>
      </c>
      <c r="AO52" s="302">
        <v>8000000</v>
      </c>
      <c r="AP52" s="302">
        <v>8000000</v>
      </c>
      <c r="AQ52" s="302">
        <v>8000000</v>
      </c>
      <c r="AR52" s="302">
        <v>8000000</v>
      </c>
      <c r="AS52" s="302">
        <v>8000000</v>
      </c>
      <c r="AT52" s="302">
        <f t="shared" si="2"/>
        <v>5333333.333333334</v>
      </c>
      <c r="AU52" s="299">
        <f t="shared" si="3"/>
        <v>88000000</v>
      </c>
      <c r="AV52" s="276">
        <f t="shared" si="4"/>
        <v>0</v>
      </c>
      <c r="AX52" s="273">
        <v>0</v>
      </c>
      <c r="AY52" s="273">
        <v>0</v>
      </c>
      <c r="AZ52" s="273">
        <f t="shared" si="7"/>
        <v>88000000</v>
      </c>
      <c r="BA52" s="273">
        <v>0</v>
      </c>
      <c r="BB52" s="272">
        <f t="shared" si="6"/>
        <v>88000000</v>
      </c>
    </row>
    <row r="53" spans="1:54" s="257" customFormat="1">
      <c r="A53" s="247" t="s">
        <v>762</v>
      </c>
      <c r="B53" s="248" t="s">
        <v>763</v>
      </c>
      <c r="C53" s="248" t="s">
        <v>763</v>
      </c>
      <c r="D53" s="248">
        <v>413</v>
      </c>
      <c r="E53" s="248">
        <v>413</v>
      </c>
      <c r="F53" s="249">
        <v>7673</v>
      </c>
      <c r="G53" s="247" t="s">
        <v>563</v>
      </c>
      <c r="H53" s="247" t="s">
        <v>824</v>
      </c>
      <c r="I53" s="247" t="s">
        <v>825</v>
      </c>
      <c r="J53" s="247" t="s">
        <v>766</v>
      </c>
      <c r="K53" s="247" t="s">
        <v>767</v>
      </c>
      <c r="L53" s="247" t="s">
        <v>768</v>
      </c>
      <c r="M53" s="247" t="s">
        <v>769</v>
      </c>
      <c r="N53" s="247" t="s">
        <v>770</v>
      </c>
      <c r="O53" s="247" t="s">
        <v>771</v>
      </c>
      <c r="P53" s="247" t="s">
        <v>772</v>
      </c>
      <c r="Q53" s="250">
        <v>1</v>
      </c>
      <c r="R53" s="247" t="s">
        <v>826</v>
      </c>
      <c r="S53" s="247" t="s">
        <v>827</v>
      </c>
      <c r="T53" s="248">
        <v>72151605</v>
      </c>
      <c r="U53" s="247" t="s">
        <v>828</v>
      </c>
      <c r="V53" s="248">
        <v>3</v>
      </c>
      <c r="W53" s="248">
        <v>5</v>
      </c>
      <c r="X53" s="248">
        <v>210</v>
      </c>
      <c r="Y53" s="247" t="s">
        <v>829</v>
      </c>
      <c r="Z53" s="251" t="s">
        <v>777</v>
      </c>
      <c r="AA53" s="354">
        <v>157760500</v>
      </c>
      <c r="AB53" s="252">
        <v>22537214.285714287</v>
      </c>
      <c r="AC53" s="251" t="s">
        <v>830</v>
      </c>
      <c r="AD53" s="251" t="s">
        <v>831</v>
      </c>
      <c r="AE53" s="253"/>
      <c r="AF53" s="254"/>
      <c r="AG53" s="255"/>
      <c r="AH53" s="277"/>
      <c r="AI53" s="333">
        <v>0</v>
      </c>
      <c r="AJ53" s="333">
        <v>0</v>
      </c>
      <c r="AK53" s="333">
        <v>0</v>
      </c>
      <c r="AL53" s="333">
        <v>0</v>
      </c>
      <c r="AM53" s="334">
        <v>0</v>
      </c>
      <c r="AN53" s="333">
        <v>22537214.285714287</v>
      </c>
      <c r="AO53" s="333">
        <v>22537214.285714287</v>
      </c>
      <c r="AP53" s="333">
        <v>22537214.285714287</v>
      </c>
      <c r="AQ53" s="333">
        <v>22537214.285714287</v>
      </c>
      <c r="AR53" s="333">
        <v>22537214.285714287</v>
      </c>
      <c r="AS53" s="333">
        <v>22537214.285714287</v>
      </c>
      <c r="AT53" s="333">
        <v>22537214.285714287</v>
      </c>
      <c r="AU53" s="300">
        <f t="shared" si="3"/>
        <v>157760500.00000003</v>
      </c>
      <c r="AV53" s="280">
        <f t="shared" si="4"/>
        <v>0</v>
      </c>
      <c r="AW53" s="278"/>
      <c r="AX53" s="278">
        <f>AU53</f>
        <v>157760500.00000003</v>
      </c>
      <c r="AY53" s="278">
        <v>0</v>
      </c>
      <c r="AZ53" s="278">
        <v>0</v>
      </c>
      <c r="BA53" s="278">
        <v>0</v>
      </c>
      <c r="BB53" s="279">
        <f t="shared" si="6"/>
        <v>157760500.00000003</v>
      </c>
    </row>
    <row r="54" spans="1:54" s="323" customFormat="1">
      <c r="A54" s="309" t="s">
        <v>762</v>
      </c>
      <c r="B54" s="310" t="s">
        <v>763</v>
      </c>
      <c r="C54" s="310" t="s">
        <v>763</v>
      </c>
      <c r="D54" s="310">
        <v>414</v>
      </c>
      <c r="E54" s="310">
        <v>414</v>
      </c>
      <c r="F54" s="311">
        <v>7673</v>
      </c>
      <c r="G54" s="309" t="s">
        <v>563</v>
      </c>
      <c r="H54" s="309" t="s">
        <v>832</v>
      </c>
      <c r="I54" s="309" t="s">
        <v>833</v>
      </c>
      <c r="J54" s="309" t="s">
        <v>766</v>
      </c>
      <c r="K54" s="309" t="s">
        <v>767</v>
      </c>
      <c r="L54" s="309" t="s">
        <v>768</v>
      </c>
      <c r="M54" s="309" t="s">
        <v>769</v>
      </c>
      <c r="N54" s="309" t="s">
        <v>770</v>
      </c>
      <c r="O54" s="309" t="s">
        <v>771</v>
      </c>
      <c r="P54" s="309" t="s">
        <v>772</v>
      </c>
      <c r="Q54" s="312">
        <v>1</v>
      </c>
      <c r="R54" s="309" t="s">
        <v>834</v>
      </c>
      <c r="S54" s="309" t="s">
        <v>835</v>
      </c>
      <c r="T54" s="310" t="s">
        <v>836</v>
      </c>
      <c r="U54" s="309" t="s">
        <v>837</v>
      </c>
      <c r="V54" s="310">
        <v>3</v>
      </c>
      <c r="W54" s="310">
        <v>5</v>
      </c>
      <c r="X54" s="310">
        <v>30</v>
      </c>
      <c r="Y54" s="309" t="s">
        <v>838</v>
      </c>
      <c r="Z54" s="313" t="s">
        <v>777</v>
      </c>
      <c r="AA54" s="352">
        <v>92608376</v>
      </c>
      <c r="AB54" s="314">
        <v>92608376</v>
      </c>
      <c r="AC54" s="313" t="s">
        <v>839</v>
      </c>
      <c r="AD54" s="313" t="s">
        <v>779</v>
      </c>
      <c r="AE54" s="315"/>
      <c r="AF54" s="316"/>
      <c r="AG54" s="317"/>
      <c r="AH54" s="318"/>
      <c r="AI54" s="335">
        <v>0</v>
      </c>
      <c r="AJ54" s="335">
        <v>0</v>
      </c>
      <c r="AK54" s="335">
        <v>0</v>
      </c>
      <c r="AL54" s="335">
        <v>0</v>
      </c>
      <c r="AM54" s="336">
        <v>0</v>
      </c>
      <c r="AN54" s="336">
        <v>0</v>
      </c>
      <c r="AO54" s="336">
        <v>0</v>
      </c>
      <c r="AP54" s="336">
        <v>0</v>
      </c>
      <c r="AQ54" s="336">
        <v>0</v>
      </c>
      <c r="AR54" s="336">
        <v>92608376</v>
      </c>
      <c r="AS54" s="336">
        <v>0</v>
      </c>
      <c r="AT54" s="336">
        <v>0</v>
      </c>
      <c r="AU54" s="319">
        <f t="shared" si="3"/>
        <v>92608376</v>
      </c>
      <c r="AV54" s="320">
        <f t="shared" si="4"/>
        <v>0</v>
      </c>
      <c r="AW54" s="321"/>
      <c r="AX54" s="321">
        <f>+AU54</f>
        <v>92608376</v>
      </c>
      <c r="AY54" s="321">
        <v>0</v>
      </c>
      <c r="AZ54" s="321">
        <v>0</v>
      </c>
      <c r="BA54" s="321">
        <v>0</v>
      </c>
      <c r="BB54" s="322">
        <f t="shared" si="6"/>
        <v>92608376</v>
      </c>
    </row>
    <row r="55" spans="1:54" s="257" customFormat="1" hidden="1">
      <c r="A55" s="247" t="s">
        <v>762</v>
      </c>
      <c r="B55" s="248" t="s">
        <v>763</v>
      </c>
      <c r="C55" s="248" t="s">
        <v>763</v>
      </c>
      <c r="D55" s="248">
        <v>415</v>
      </c>
      <c r="E55" s="248">
        <v>415</v>
      </c>
      <c r="F55" s="249">
        <v>7673</v>
      </c>
      <c r="G55" s="247" t="s">
        <v>563</v>
      </c>
      <c r="H55" s="247" t="s">
        <v>840</v>
      </c>
      <c r="I55" s="247" t="s">
        <v>602</v>
      </c>
      <c r="J55" s="247" t="s">
        <v>766</v>
      </c>
      <c r="K55" s="247" t="s">
        <v>767</v>
      </c>
      <c r="L55" s="247" t="s">
        <v>768</v>
      </c>
      <c r="M55" s="247" t="s">
        <v>769</v>
      </c>
      <c r="N55" s="247" t="s">
        <v>770</v>
      </c>
      <c r="O55" s="247" t="s">
        <v>796</v>
      </c>
      <c r="P55" s="247" t="s">
        <v>841</v>
      </c>
      <c r="Q55" s="250">
        <v>1</v>
      </c>
      <c r="R55" s="247" t="s">
        <v>790</v>
      </c>
      <c r="S55" s="247" t="s">
        <v>791</v>
      </c>
      <c r="T55" s="248" t="s">
        <v>842</v>
      </c>
      <c r="U55" s="247" t="s">
        <v>843</v>
      </c>
      <c r="V55" s="248">
        <v>4</v>
      </c>
      <c r="W55" s="248">
        <v>5</v>
      </c>
      <c r="X55" s="248">
        <v>240</v>
      </c>
      <c r="Y55" s="258" t="s">
        <v>776</v>
      </c>
      <c r="Z55" s="251" t="s">
        <v>777</v>
      </c>
      <c r="AA55" s="252">
        <v>184761500</v>
      </c>
      <c r="AB55" s="252">
        <v>23095187.5</v>
      </c>
      <c r="AC55" s="251" t="s">
        <v>844</v>
      </c>
      <c r="AD55" s="251" t="s">
        <v>800</v>
      </c>
      <c r="AE55" s="253"/>
      <c r="AF55" s="254"/>
      <c r="AG55" s="255"/>
      <c r="AH55" s="255"/>
      <c r="AI55" s="333">
        <v>0</v>
      </c>
      <c r="AJ55" s="333">
        <v>0</v>
      </c>
      <c r="AK55" s="333">
        <v>0</v>
      </c>
      <c r="AL55" s="333">
        <v>0</v>
      </c>
      <c r="AM55" s="334">
        <v>0</v>
      </c>
      <c r="AN55" s="334">
        <v>0</v>
      </c>
      <c r="AO55" s="334">
        <v>0</v>
      </c>
      <c r="AP55" s="334">
        <f>AA55*40%</f>
        <v>73904600</v>
      </c>
      <c r="AQ55" s="334">
        <v>0</v>
      </c>
      <c r="AR55" s="334">
        <f>AA55*30%</f>
        <v>55428450</v>
      </c>
      <c r="AS55" s="334">
        <v>0</v>
      </c>
      <c r="AT55" s="334">
        <f>AA55*30%</f>
        <v>55428450</v>
      </c>
      <c r="AU55" s="300">
        <f>SUM(AI55:AT55)</f>
        <v>184761500</v>
      </c>
      <c r="AV55" s="280">
        <f t="shared" si="4"/>
        <v>0</v>
      </c>
      <c r="AW55" s="278"/>
      <c r="AX55" s="278">
        <v>0</v>
      </c>
      <c r="AY55" s="278">
        <f>+AU55</f>
        <v>184761500</v>
      </c>
      <c r="AZ55" s="278">
        <v>0</v>
      </c>
      <c r="BA55" s="278">
        <v>0</v>
      </c>
      <c r="BB55" s="279">
        <f t="shared" si="6"/>
        <v>184761500</v>
      </c>
    </row>
    <row r="56" spans="1:54" s="257" customFormat="1">
      <c r="A56" s="247" t="s">
        <v>762</v>
      </c>
      <c r="B56" s="248" t="s">
        <v>763</v>
      </c>
      <c r="C56" s="248" t="s">
        <v>763</v>
      </c>
      <c r="D56" s="248" t="s">
        <v>845</v>
      </c>
      <c r="E56" s="248">
        <v>934</v>
      </c>
      <c r="F56" s="249">
        <v>7673</v>
      </c>
      <c r="G56" s="247" t="s">
        <v>563</v>
      </c>
      <c r="H56" s="247" t="s">
        <v>846</v>
      </c>
      <c r="I56" s="247" t="s">
        <v>602</v>
      </c>
      <c r="J56" s="247" t="s">
        <v>766</v>
      </c>
      <c r="K56" s="247" t="s">
        <v>767</v>
      </c>
      <c r="L56" s="247" t="s">
        <v>768</v>
      </c>
      <c r="M56" s="247" t="s">
        <v>769</v>
      </c>
      <c r="N56" s="259" t="s">
        <v>770</v>
      </c>
      <c r="O56" s="247" t="s">
        <v>771</v>
      </c>
      <c r="P56" s="247" t="s">
        <v>772</v>
      </c>
      <c r="Q56" s="250">
        <v>1</v>
      </c>
      <c r="R56" s="247" t="s">
        <v>847</v>
      </c>
      <c r="S56" s="247" t="s">
        <v>848</v>
      </c>
      <c r="T56" s="248" t="s">
        <v>849</v>
      </c>
      <c r="U56" s="247" t="s">
        <v>850</v>
      </c>
      <c r="V56" s="248">
        <v>8</v>
      </c>
      <c r="W56" s="248">
        <v>11</v>
      </c>
      <c r="X56" s="248">
        <v>360</v>
      </c>
      <c r="Y56" s="260" t="s">
        <v>838</v>
      </c>
      <c r="Z56" s="251" t="s">
        <v>777</v>
      </c>
      <c r="AA56" s="354">
        <v>3360000</v>
      </c>
      <c r="AB56" s="252">
        <v>280000</v>
      </c>
      <c r="AC56" s="251" t="s">
        <v>851</v>
      </c>
      <c r="AD56" s="251" t="s">
        <v>852</v>
      </c>
      <c r="AE56" s="253"/>
      <c r="AF56" s="254"/>
      <c r="AG56" s="261"/>
      <c r="AH56" s="278"/>
      <c r="AI56" s="334">
        <v>280000</v>
      </c>
      <c r="AJ56" s="334">
        <v>280000</v>
      </c>
      <c r="AK56" s="334">
        <v>280000</v>
      </c>
      <c r="AL56" s="334">
        <v>280000</v>
      </c>
      <c r="AM56" s="334">
        <v>280000</v>
      </c>
      <c r="AN56" s="334">
        <v>280000</v>
      </c>
      <c r="AO56" s="334">
        <v>280000</v>
      </c>
      <c r="AP56" s="334">
        <v>280000</v>
      </c>
      <c r="AQ56" s="334">
        <v>280000</v>
      </c>
      <c r="AR56" s="334">
        <v>280000</v>
      </c>
      <c r="AS56" s="334">
        <v>280000</v>
      </c>
      <c r="AT56" s="334">
        <v>280000</v>
      </c>
      <c r="AU56" s="300">
        <f t="shared" si="3"/>
        <v>3360000</v>
      </c>
      <c r="AV56" s="280">
        <f t="shared" si="4"/>
        <v>0</v>
      </c>
      <c r="AW56" s="278"/>
      <c r="AX56" s="278">
        <f>+AU56</f>
        <v>3360000</v>
      </c>
      <c r="AY56" s="278">
        <v>0</v>
      </c>
      <c r="AZ56" s="278">
        <v>0</v>
      </c>
      <c r="BA56" s="278">
        <v>0</v>
      </c>
      <c r="BB56" s="279">
        <f t="shared" si="6"/>
        <v>3360000</v>
      </c>
    </row>
    <row r="57" spans="1:54" s="296" customFormat="1">
      <c r="A57" s="281" t="s">
        <v>762</v>
      </c>
      <c r="B57" s="282" t="s">
        <v>763</v>
      </c>
      <c r="C57" s="282" t="s">
        <v>763</v>
      </c>
      <c r="D57" s="282" t="s">
        <v>853</v>
      </c>
      <c r="E57" s="282">
        <v>935</v>
      </c>
      <c r="F57" s="283">
        <v>7673</v>
      </c>
      <c r="G57" s="281" t="s">
        <v>563</v>
      </c>
      <c r="H57" s="281" t="s">
        <v>854</v>
      </c>
      <c r="I57" s="281" t="s">
        <v>855</v>
      </c>
      <c r="J57" s="281" t="s">
        <v>766</v>
      </c>
      <c r="K57" s="281" t="s">
        <v>767</v>
      </c>
      <c r="L57" s="281" t="s">
        <v>768</v>
      </c>
      <c r="M57" s="281" t="s">
        <v>769</v>
      </c>
      <c r="N57" s="284" t="s">
        <v>770</v>
      </c>
      <c r="O57" s="281" t="s">
        <v>771</v>
      </c>
      <c r="P57" s="281" t="s">
        <v>772</v>
      </c>
      <c r="Q57" s="285">
        <v>0.86</v>
      </c>
      <c r="R57" s="281" t="s">
        <v>856</v>
      </c>
      <c r="S57" s="281" t="s">
        <v>857</v>
      </c>
      <c r="T57" s="282">
        <v>80141607</v>
      </c>
      <c r="U57" s="281" t="s">
        <v>858</v>
      </c>
      <c r="V57" s="282">
        <v>2</v>
      </c>
      <c r="W57" s="282">
        <v>3</v>
      </c>
      <c r="X57" s="286">
        <v>240</v>
      </c>
      <c r="Y57" s="287" t="s">
        <v>829</v>
      </c>
      <c r="Z57" s="288" t="s">
        <v>777</v>
      </c>
      <c r="AA57" s="353">
        <f>58000000*86%</f>
        <v>49880000</v>
      </c>
      <c r="AB57" s="289">
        <f>7250000*86%</f>
        <v>6235000</v>
      </c>
      <c r="AC57" s="288" t="s">
        <v>859</v>
      </c>
      <c r="AD57" s="288" t="s">
        <v>860</v>
      </c>
      <c r="AE57" s="290"/>
      <c r="AF57" s="291"/>
      <c r="AG57" s="292"/>
      <c r="AH57" s="293"/>
      <c r="AI57" s="337">
        <v>0</v>
      </c>
      <c r="AJ57" s="337">
        <v>0</v>
      </c>
      <c r="AK57" s="338">
        <v>0</v>
      </c>
      <c r="AL57" s="338">
        <v>0</v>
      </c>
      <c r="AM57" s="338">
        <v>0</v>
      </c>
      <c r="AN57" s="339">
        <f t="shared" ref="AN57:AS57" si="8">7250000*86%</f>
        <v>6235000</v>
      </c>
      <c r="AO57" s="339">
        <f t="shared" si="8"/>
        <v>6235000</v>
      </c>
      <c r="AP57" s="339">
        <f t="shared" si="8"/>
        <v>6235000</v>
      </c>
      <c r="AQ57" s="339">
        <f t="shared" si="8"/>
        <v>6235000</v>
      </c>
      <c r="AR57" s="339">
        <f t="shared" si="8"/>
        <v>6235000</v>
      </c>
      <c r="AS57" s="339">
        <f t="shared" si="8"/>
        <v>6235000</v>
      </c>
      <c r="AT57" s="339">
        <f>(7250000*86%)*2</f>
        <v>12470000</v>
      </c>
      <c r="AU57" s="301">
        <f>SUM(AI57:AT57)</f>
        <v>49880000</v>
      </c>
      <c r="AV57" s="295">
        <f t="shared" si="4"/>
        <v>0</v>
      </c>
      <c r="AW57" s="293"/>
      <c r="AX57" s="293">
        <f>AU57*86%</f>
        <v>42896800</v>
      </c>
      <c r="AY57" s="293">
        <v>0</v>
      </c>
      <c r="AZ57" s="293">
        <f>AU57*14%</f>
        <v>6983200.0000000009</v>
      </c>
      <c r="BA57" s="293">
        <v>0</v>
      </c>
      <c r="BB57" s="294">
        <f t="shared" si="6"/>
        <v>49880000</v>
      </c>
    </row>
    <row r="58" spans="1:54" s="296" customFormat="1" hidden="1">
      <c r="A58" s="281" t="s">
        <v>762</v>
      </c>
      <c r="B58" s="282" t="s">
        <v>763</v>
      </c>
      <c r="C58" s="282" t="s">
        <v>763</v>
      </c>
      <c r="D58" s="282" t="s">
        <v>853</v>
      </c>
      <c r="E58" s="282">
        <v>935</v>
      </c>
      <c r="F58" s="283">
        <v>7673</v>
      </c>
      <c r="G58" s="281" t="s">
        <v>563</v>
      </c>
      <c r="H58" s="281" t="s">
        <v>854</v>
      </c>
      <c r="I58" s="281" t="s">
        <v>855</v>
      </c>
      <c r="J58" s="281" t="s">
        <v>766</v>
      </c>
      <c r="K58" s="281" t="s">
        <v>767</v>
      </c>
      <c r="L58" s="281" t="s">
        <v>768</v>
      </c>
      <c r="M58" s="281" t="s">
        <v>769</v>
      </c>
      <c r="N58" s="284" t="s">
        <v>770</v>
      </c>
      <c r="O58" s="281" t="s">
        <v>771</v>
      </c>
      <c r="P58" s="281" t="s">
        <v>797</v>
      </c>
      <c r="Q58" s="285">
        <v>0.14000000000000001</v>
      </c>
      <c r="R58" s="281" t="s">
        <v>856</v>
      </c>
      <c r="S58" s="281" t="s">
        <v>857</v>
      </c>
      <c r="T58" s="282">
        <v>80141607</v>
      </c>
      <c r="U58" s="281" t="s">
        <v>858</v>
      </c>
      <c r="V58" s="282">
        <v>2</v>
      </c>
      <c r="W58" s="282">
        <v>3</v>
      </c>
      <c r="X58" s="286">
        <v>240</v>
      </c>
      <c r="Y58" s="287" t="s">
        <v>829</v>
      </c>
      <c r="Z58" s="288" t="s">
        <v>777</v>
      </c>
      <c r="AA58" s="289">
        <f>58000000*14%</f>
        <v>8120000.0000000009</v>
      </c>
      <c r="AB58" s="289">
        <f>7250000*14%</f>
        <v>1015000.0000000001</v>
      </c>
      <c r="AC58" s="288" t="s">
        <v>859</v>
      </c>
      <c r="AD58" s="288" t="s">
        <v>860</v>
      </c>
      <c r="AE58" s="290"/>
      <c r="AF58" s="291"/>
      <c r="AG58" s="292"/>
      <c r="AH58" s="292"/>
      <c r="AI58" s="337">
        <v>0</v>
      </c>
      <c r="AJ58" s="337">
        <v>0</v>
      </c>
      <c r="AK58" s="338">
        <v>0</v>
      </c>
      <c r="AL58" s="338">
        <v>0</v>
      </c>
      <c r="AM58" s="338">
        <v>0</v>
      </c>
      <c r="AN58" s="342">
        <f t="shared" ref="AN58:AS58" si="9">7250000*14%</f>
        <v>1015000.0000000001</v>
      </c>
      <c r="AO58" s="342">
        <f t="shared" si="9"/>
        <v>1015000.0000000001</v>
      </c>
      <c r="AP58" s="342">
        <f t="shared" si="9"/>
        <v>1015000.0000000001</v>
      </c>
      <c r="AQ58" s="342">
        <f t="shared" si="9"/>
        <v>1015000.0000000001</v>
      </c>
      <c r="AR58" s="342">
        <f t="shared" si="9"/>
        <v>1015000.0000000001</v>
      </c>
      <c r="AS58" s="342">
        <f t="shared" si="9"/>
        <v>1015000.0000000001</v>
      </c>
      <c r="AT58" s="342">
        <f>(7250000*14%)*2</f>
        <v>2030000.0000000002</v>
      </c>
      <c r="AU58" s="301">
        <f t="shared" ref="AU58" si="10">SUM(AI58:AT58)</f>
        <v>8120000.0000000009</v>
      </c>
      <c r="AV58" s="295">
        <f t="shared" ref="AV58" si="11">+AU58-AA58</f>
        <v>0</v>
      </c>
      <c r="AW58" s="293"/>
      <c r="AX58" s="293">
        <f>AU58*86%</f>
        <v>6983200.0000000009</v>
      </c>
      <c r="AY58" s="293">
        <v>0</v>
      </c>
      <c r="AZ58" s="293">
        <f>AU58*14%</f>
        <v>1136800.0000000002</v>
      </c>
      <c r="BA58" s="293">
        <v>0</v>
      </c>
      <c r="BB58" s="294">
        <f t="shared" ref="BB58" si="12">SUM(AX58:BA58)</f>
        <v>8120000.0000000009</v>
      </c>
    </row>
    <row r="59" spans="1:54" s="296" customFormat="1">
      <c r="A59" s="281" t="s">
        <v>762</v>
      </c>
      <c r="B59" s="282" t="s">
        <v>763</v>
      </c>
      <c r="C59" s="282" t="s">
        <v>763</v>
      </c>
      <c r="D59" s="282" t="s">
        <v>861</v>
      </c>
      <c r="E59" s="282">
        <v>937</v>
      </c>
      <c r="F59" s="283">
        <v>7673</v>
      </c>
      <c r="G59" s="281" t="s">
        <v>563</v>
      </c>
      <c r="H59" s="281" t="s">
        <v>862</v>
      </c>
      <c r="I59" s="281" t="s">
        <v>863</v>
      </c>
      <c r="J59" s="281" t="s">
        <v>766</v>
      </c>
      <c r="K59" s="281" t="s">
        <v>767</v>
      </c>
      <c r="L59" s="281" t="s">
        <v>768</v>
      </c>
      <c r="M59" s="281" t="s">
        <v>769</v>
      </c>
      <c r="N59" s="284" t="s">
        <v>770</v>
      </c>
      <c r="O59" s="281" t="s">
        <v>771</v>
      </c>
      <c r="P59" s="281" t="s">
        <v>772</v>
      </c>
      <c r="Q59" s="285">
        <v>0.71</v>
      </c>
      <c r="R59" s="281" t="s">
        <v>864</v>
      </c>
      <c r="S59" s="281" t="s">
        <v>865</v>
      </c>
      <c r="T59" s="282" t="s">
        <v>866</v>
      </c>
      <c r="U59" s="281" t="s">
        <v>867</v>
      </c>
      <c r="V59" s="282">
        <v>4</v>
      </c>
      <c r="W59" s="282">
        <v>5</v>
      </c>
      <c r="X59" s="286">
        <v>60</v>
      </c>
      <c r="Y59" s="287" t="s">
        <v>868</v>
      </c>
      <c r="Z59" s="288" t="s">
        <v>777</v>
      </c>
      <c r="AA59" s="353">
        <f>5117000*71%</f>
        <v>3633070</v>
      </c>
      <c r="AB59" s="289">
        <f>2558500*71%</f>
        <v>1816535</v>
      </c>
      <c r="AC59" s="288" t="s">
        <v>869</v>
      </c>
      <c r="AD59" s="288" t="s">
        <v>870</v>
      </c>
      <c r="AE59" s="290"/>
      <c r="AF59" s="291"/>
      <c r="AG59" s="292"/>
      <c r="AH59" s="293"/>
      <c r="AI59" s="337">
        <v>0</v>
      </c>
      <c r="AJ59" s="337">
        <v>0</v>
      </c>
      <c r="AK59" s="338">
        <v>0</v>
      </c>
      <c r="AL59" s="338">
        <v>0</v>
      </c>
      <c r="AM59" s="338">
        <v>0</v>
      </c>
      <c r="AN59" s="338">
        <v>0</v>
      </c>
      <c r="AO59" s="338">
        <v>0</v>
      </c>
      <c r="AP59" s="338">
        <v>0</v>
      </c>
      <c r="AQ59" s="338">
        <v>0</v>
      </c>
      <c r="AR59" s="338">
        <v>0</v>
      </c>
      <c r="AS59" s="338">
        <v>0</v>
      </c>
      <c r="AT59" s="339">
        <f>5117000*71%</f>
        <v>3633070</v>
      </c>
      <c r="AU59" s="301">
        <f t="shared" si="3"/>
        <v>3633070</v>
      </c>
      <c r="AV59" s="295">
        <f t="shared" si="4"/>
        <v>0</v>
      </c>
      <c r="AW59" s="293"/>
      <c r="AX59" s="293">
        <f>AU59*71%</f>
        <v>2579479.6999999997</v>
      </c>
      <c r="AY59" s="293">
        <v>0</v>
      </c>
      <c r="AZ59" s="293">
        <f>AU59*29%</f>
        <v>1053590.2999999998</v>
      </c>
      <c r="BA59" s="293">
        <v>0</v>
      </c>
      <c r="BB59" s="294">
        <f>SUM(AX59:BA59)</f>
        <v>3633069.9999999995</v>
      </c>
    </row>
    <row r="60" spans="1:54" s="296" customFormat="1" hidden="1">
      <c r="A60" s="281" t="s">
        <v>762</v>
      </c>
      <c r="B60" s="282" t="s">
        <v>763</v>
      </c>
      <c r="C60" s="282" t="s">
        <v>763</v>
      </c>
      <c r="D60" s="282" t="s">
        <v>861</v>
      </c>
      <c r="E60" s="282">
        <v>937</v>
      </c>
      <c r="F60" s="283">
        <v>7673</v>
      </c>
      <c r="G60" s="281" t="s">
        <v>563</v>
      </c>
      <c r="H60" s="281" t="s">
        <v>862</v>
      </c>
      <c r="I60" s="281" t="s">
        <v>863</v>
      </c>
      <c r="J60" s="281" t="s">
        <v>766</v>
      </c>
      <c r="K60" s="281" t="s">
        <v>767</v>
      </c>
      <c r="L60" s="281" t="s">
        <v>768</v>
      </c>
      <c r="M60" s="281" t="s">
        <v>769</v>
      </c>
      <c r="N60" s="284" t="s">
        <v>770</v>
      </c>
      <c r="O60" s="281" t="s">
        <v>771</v>
      </c>
      <c r="P60" s="281" t="s">
        <v>797</v>
      </c>
      <c r="Q60" s="285">
        <v>0.28999999999999998</v>
      </c>
      <c r="R60" s="281" t="s">
        <v>864</v>
      </c>
      <c r="S60" s="281" t="s">
        <v>865</v>
      </c>
      <c r="T60" s="282" t="s">
        <v>866</v>
      </c>
      <c r="U60" s="281" t="s">
        <v>867</v>
      </c>
      <c r="V60" s="282">
        <v>4</v>
      </c>
      <c r="W60" s="282">
        <v>5</v>
      </c>
      <c r="X60" s="286">
        <v>60</v>
      </c>
      <c r="Y60" s="287" t="s">
        <v>868</v>
      </c>
      <c r="Z60" s="288" t="s">
        <v>777</v>
      </c>
      <c r="AA60" s="289">
        <f>5117000*29%</f>
        <v>1483930</v>
      </c>
      <c r="AB60" s="289">
        <f>2558500*29%</f>
        <v>741965</v>
      </c>
      <c r="AC60" s="288" t="s">
        <v>869</v>
      </c>
      <c r="AD60" s="288" t="s">
        <v>870</v>
      </c>
      <c r="AE60" s="290"/>
      <c r="AF60" s="291"/>
      <c r="AG60" s="292"/>
      <c r="AH60" s="292"/>
      <c r="AI60" s="337">
        <v>0</v>
      </c>
      <c r="AJ60" s="337">
        <v>0</v>
      </c>
      <c r="AK60" s="338">
        <v>0</v>
      </c>
      <c r="AL60" s="338">
        <v>0</v>
      </c>
      <c r="AM60" s="338">
        <v>0</v>
      </c>
      <c r="AN60" s="338">
        <v>0</v>
      </c>
      <c r="AO60" s="338">
        <v>0</v>
      </c>
      <c r="AP60" s="338">
        <v>0</v>
      </c>
      <c r="AQ60" s="338">
        <v>0</v>
      </c>
      <c r="AR60" s="338">
        <v>0</v>
      </c>
      <c r="AS60" s="338">
        <v>0</v>
      </c>
      <c r="AT60" s="342">
        <f>5117000*29%</f>
        <v>1483930</v>
      </c>
      <c r="AU60" s="301">
        <f t="shared" ref="AU60" si="13">SUM(AI60:AT60)</f>
        <v>1483930</v>
      </c>
      <c r="AV60" s="295">
        <f t="shared" ref="AV60" si="14">+AU60-AA60</f>
        <v>0</v>
      </c>
      <c r="AW60" s="293"/>
      <c r="AX60" s="293">
        <f>AU60*71%</f>
        <v>1053590.3</v>
      </c>
      <c r="AY60" s="293">
        <v>0</v>
      </c>
      <c r="AZ60" s="293">
        <f>AU60*29%</f>
        <v>430339.69999999995</v>
      </c>
      <c r="BA60" s="293">
        <v>0</v>
      </c>
      <c r="BB60" s="294">
        <f>SUM(AX60:BA60)</f>
        <v>1483930</v>
      </c>
    </row>
    <row r="61" spans="1:54" s="296" customFormat="1">
      <c r="A61" s="281" t="s">
        <v>762</v>
      </c>
      <c r="B61" s="282" t="s">
        <v>763</v>
      </c>
      <c r="C61" s="282" t="s">
        <v>763</v>
      </c>
      <c r="D61" s="282" t="s">
        <v>871</v>
      </c>
      <c r="E61" s="282">
        <v>938</v>
      </c>
      <c r="F61" s="283">
        <v>7673</v>
      </c>
      <c r="G61" s="281" t="s">
        <v>563</v>
      </c>
      <c r="H61" s="281" t="s">
        <v>872</v>
      </c>
      <c r="I61" s="281" t="s">
        <v>602</v>
      </c>
      <c r="J61" s="281" t="s">
        <v>766</v>
      </c>
      <c r="K61" s="281" t="s">
        <v>767</v>
      </c>
      <c r="L61" s="281" t="s">
        <v>768</v>
      </c>
      <c r="M61" s="281" t="s">
        <v>769</v>
      </c>
      <c r="N61" s="284" t="s">
        <v>770</v>
      </c>
      <c r="O61" s="281" t="s">
        <v>771</v>
      </c>
      <c r="P61" s="281" t="s">
        <v>772</v>
      </c>
      <c r="Q61" s="285">
        <v>0.95</v>
      </c>
      <c r="R61" s="281" t="s">
        <v>873</v>
      </c>
      <c r="S61" s="281" t="s">
        <v>874</v>
      </c>
      <c r="T61" s="282" t="s">
        <v>875</v>
      </c>
      <c r="U61" s="281" t="s">
        <v>876</v>
      </c>
      <c r="V61" s="282">
        <v>3</v>
      </c>
      <c r="W61" s="282">
        <v>5</v>
      </c>
      <c r="X61" s="286">
        <v>360</v>
      </c>
      <c r="Y61" s="287" t="s">
        <v>877</v>
      </c>
      <c r="Z61" s="288" t="s">
        <v>777</v>
      </c>
      <c r="AA61" s="353">
        <f>471340694*95%</f>
        <v>447773659.29999995</v>
      </c>
      <c r="AB61" s="289">
        <f>39278391.1666667*95%</f>
        <v>37314471.608333364</v>
      </c>
      <c r="AC61" s="288" t="s">
        <v>878</v>
      </c>
      <c r="AD61" s="288" t="s">
        <v>852</v>
      </c>
      <c r="AE61" s="290"/>
      <c r="AF61" s="291"/>
      <c r="AG61" s="292"/>
      <c r="AH61" s="293"/>
      <c r="AI61" s="339">
        <f t="shared" ref="AI61:AT61" si="15">39278391.1666667*95%</f>
        <v>37314471.608333364</v>
      </c>
      <c r="AJ61" s="339">
        <f t="shared" si="15"/>
        <v>37314471.608333364</v>
      </c>
      <c r="AK61" s="339">
        <f t="shared" si="15"/>
        <v>37314471.608333364</v>
      </c>
      <c r="AL61" s="339">
        <f t="shared" si="15"/>
        <v>37314471.608333364</v>
      </c>
      <c r="AM61" s="339">
        <f t="shared" si="15"/>
        <v>37314471.608333364</v>
      </c>
      <c r="AN61" s="339">
        <f t="shared" si="15"/>
        <v>37314471.608333364</v>
      </c>
      <c r="AO61" s="339">
        <f t="shared" si="15"/>
        <v>37314471.608333364</v>
      </c>
      <c r="AP61" s="339">
        <f t="shared" si="15"/>
        <v>37314471.608333364</v>
      </c>
      <c r="AQ61" s="339">
        <f t="shared" si="15"/>
        <v>37314471.608333364</v>
      </c>
      <c r="AR61" s="339">
        <f t="shared" si="15"/>
        <v>37314471.608333364</v>
      </c>
      <c r="AS61" s="339">
        <f t="shared" si="15"/>
        <v>37314471.608333364</v>
      </c>
      <c r="AT61" s="339">
        <f t="shared" si="15"/>
        <v>37314471.608333364</v>
      </c>
      <c r="AU61" s="301">
        <f t="shared" si="3"/>
        <v>447773659.30000025</v>
      </c>
      <c r="AV61" s="295">
        <f t="shared" si="4"/>
        <v>0</v>
      </c>
      <c r="AW61" s="293"/>
      <c r="AX61" s="293">
        <f>AU61*95%</f>
        <v>425384976.33500022</v>
      </c>
      <c r="AY61" s="293">
        <v>0</v>
      </c>
      <c r="AZ61" s="293">
        <f>AU61*5%</f>
        <v>22388682.965000015</v>
      </c>
      <c r="BA61" s="293">
        <v>0</v>
      </c>
      <c r="BB61" s="294">
        <f t="shared" si="6"/>
        <v>447773659.30000025</v>
      </c>
    </row>
    <row r="62" spans="1:54" s="296" customFormat="1" hidden="1">
      <c r="A62" s="281" t="s">
        <v>762</v>
      </c>
      <c r="B62" s="282" t="s">
        <v>763</v>
      </c>
      <c r="C62" s="282" t="s">
        <v>763</v>
      </c>
      <c r="D62" s="282" t="s">
        <v>871</v>
      </c>
      <c r="E62" s="282">
        <v>938</v>
      </c>
      <c r="F62" s="283">
        <v>7673</v>
      </c>
      <c r="G62" s="281" t="s">
        <v>563</v>
      </c>
      <c r="H62" s="281" t="s">
        <v>872</v>
      </c>
      <c r="I62" s="281" t="s">
        <v>602</v>
      </c>
      <c r="J62" s="281" t="s">
        <v>766</v>
      </c>
      <c r="K62" s="281" t="s">
        <v>767</v>
      </c>
      <c r="L62" s="281" t="s">
        <v>768</v>
      </c>
      <c r="M62" s="281" t="s">
        <v>769</v>
      </c>
      <c r="N62" s="284" t="s">
        <v>770</v>
      </c>
      <c r="O62" s="281" t="s">
        <v>771</v>
      </c>
      <c r="P62" s="281" t="s">
        <v>797</v>
      </c>
      <c r="Q62" s="285">
        <v>0.05</v>
      </c>
      <c r="R62" s="281" t="s">
        <v>873</v>
      </c>
      <c r="S62" s="281" t="s">
        <v>874</v>
      </c>
      <c r="T62" s="282" t="s">
        <v>875</v>
      </c>
      <c r="U62" s="281" t="s">
        <v>876</v>
      </c>
      <c r="V62" s="282">
        <v>3</v>
      </c>
      <c r="W62" s="282">
        <v>5</v>
      </c>
      <c r="X62" s="286">
        <v>360</v>
      </c>
      <c r="Y62" s="287" t="s">
        <v>877</v>
      </c>
      <c r="Z62" s="288" t="s">
        <v>777</v>
      </c>
      <c r="AA62" s="289">
        <f>471340694*5%</f>
        <v>23567034.700000003</v>
      </c>
      <c r="AB62" s="289">
        <f>39278391.1666667*5%</f>
        <v>1963919.5583333352</v>
      </c>
      <c r="AC62" s="288" t="s">
        <v>878</v>
      </c>
      <c r="AD62" s="288" t="s">
        <v>852</v>
      </c>
      <c r="AE62" s="290"/>
      <c r="AF62" s="291"/>
      <c r="AG62" s="292"/>
      <c r="AH62" s="292"/>
      <c r="AI62" s="342">
        <f t="shared" ref="AI62:AT62" si="16">39278391.1666667*5%</f>
        <v>1963919.5583333352</v>
      </c>
      <c r="AJ62" s="342">
        <f t="shared" si="16"/>
        <v>1963919.5583333352</v>
      </c>
      <c r="AK62" s="342">
        <f t="shared" si="16"/>
        <v>1963919.5583333352</v>
      </c>
      <c r="AL62" s="342">
        <f t="shared" si="16"/>
        <v>1963919.5583333352</v>
      </c>
      <c r="AM62" s="342">
        <f t="shared" si="16"/>
        <v>1963919.5583333352</v>
      </c>
      <c r="AN62" s="342">
        <f t="shared" si="16"/>
        <v>1963919.5583333352</v>
      </c>
      <c r="AO62" s="342">
        <f t="shared" si="16"/>
        <v>1963919.5583333352</v>
      </c>
      <c r="AP62" s="342">
        <f t="shared" si="16"/>
        <v>1963919.5583333352</v>
      </c>
      <c r="AQ62" s="342">
        <f t="shared" si="16"/>
        <v>1963919.5583333352</v>
      </c>
      <c r="AR62" s="342">
        <f t="shared" si="16"/>
        <v>1963919.5583333352</v>
      </c>
      <c r="AS62" s="342">
        <f t="shared" si="16"/>
        <v>1963919.5583333352</v>
      </c>
      <c r="AT62" s="342">
        <f t="shared" si="16"/>
        <v>1963919.5583333352</v>
      </c>
      <c r="AU62" s="301">
        <f t="shared" ref="AU62" si="17">SUM(AI62:AT62)</f>
        <v>23567034.700000018</v>
      </c>
      <c r="AV62" s="295">
        <f t="shared" ref="AV62" si="18">+AU62-AA62</f>
        <v>0</v>
      </c>
      <c r="AW62" s="293"/>
      <c r="AX62" s="293">
        <f>AU62*95%</f>
        <v>22388682.965000015</v>
      </c>
      <c r="AY62" s="293">
        <v>0</v>
      </c>
      <c r="AZ62" s="293">
        <f>AU62*5%</f>
        <v>1178351.735000001</v>
      </c>
      <c r="BA62" s="293">
        <v>0</v>
      </c>
      <c r="BB62" s="294">
        <f t="shared" ref="BB62" si="19">SUM(AX62:BA62)</f>
        <v>23567034.700000014</v>
      </c>
    </row>
    <row r="63" spans="1:54" s="257" customFormat="1">
      <c r="A63" s="247" t="s">
        <v>762</v>
      </c>
      <c r="B63" s="248" t="s">
        <v>763</v>
      </c>
      <c r="C63" s="248" t="s">
        <v>763</v>
      </c>
      <c r="D63" s="248" t="s">
        <v>879</v>
      </c>
      <c r="E63" s="248">
        <v>939</v>
      </c>
      <c r="F63" s="249">
        <v>7673</v>
      </c>
      <c r="G63" s="247" t="s">
        <v>563</v>
      </c>
      <c r="H63" s="247" t="s">
        <v>880</v>
      </c>
      <c r="I63" s="247" t="s">
        <v>863</v>
      </c>
      <c r="J63" s="247" t="s">
        <v>766</v>
      </c>
      <c r="K63" s="247" t="s">
        <v>767</v>
      </c>
      <c r="L63" s="247" t="s">
        <v>768</v>
      </c>
      <c r="M63" s="247" t="s">
        <v>769</v>
      </c>
      <c r="N63" s="259" t="s">
        <v>770</v>
      </c>
      <c r="O63" s="247" t="s">
        <v>771</v>
      </c>
      <c r="P63" s="247" t="s">
        <v>772</v>
      </c>
      <c r="Q63" s="250">
        <v>1</v>
      </c>
      <c r="R63" s="247" t="s">
        <v>881</v>
      </c>
      <c r="S63" s="247" t="s">
        <v>882</v>
      </c>
      <c r="T63" s="248" t="s">
        <v>883</v>
      </c>
      <c r="U63" s="247" t="s">
        <v>884</v>
      </c>
      <c r="V63" s="248">
        <v>2</v>
      </c>
      <c r="W63" s="248">
        <v>2</v>
      </c>
      <c r="X63" s="248">
        <v>30</v>
      </c>
      <c r="Y63" s="260" t="s">
        <v>868</v>
      </c>
      <c r="Z63" s="251" t="s">
        <v>777</v>
      </c>
      <c r="AA63" s="353">
        <v>5539000</v>
      </c>
      <c r="AB63" s="252">
        <v>5539000</v>
      </c>
      <c r="AC63" s="251" t="s">
        <v>885</v>
      </c>
      <c r="AD63" s="251" t="s">
        <v>860</v>
      </c>
      <c r="AE63" s="253"/>
      <c r="AF63" s="254"/>
      <c r="AG63" s="261"/>
      <c r="AH63" s="278"/>
      <c r="AI63" s="333">
        <v>0</v>
      </c>
      <c r="AJ63" s="333">
        <v>0</v>
      </c>
      <c r="AK63" s="334">
        <v>0</v>
      </c>
      <c r="AL63" s="334">
        <v>0</v>
      </c>
      <c r="AM63" s="334">
        <v>0</v>
      </c>
      <c r="AN63" s="334">
        <v>0</v>
      </c>
      <c r="AO63" s="334">
        <v>0</v>
      </c>
      <c r="AP63" s="334">
        <v>0</v>
      </c>
      <c r="AQ63" s="334">
        <v>0</v>
      </c>
      <c r="AR63" s="334">
        <v>0</v>
      </c>
      <c r="AS63" s="334">
        <v>5539000</v>
      </c>
      <c r="AT63" s="334"/>
      <c r="AU63" s="300">
        <f t="shared" si="3"/>
        <v>5539000</v>
      </c>
      <c r="AV63" s="280">
        <f t="shared" si="4"/>
        <v>0</v>
      </c>
      <c r="AW63" s="278"/>
      <c r="AX63" s="278">
        <f>AU63</f>
        <v>5539000</v>
      </c>
      <c r="AY63" s="278">
        <v>0</v>
      </c>
      <c r="AZ63" s="278">
        <v>0</v>
      </c>
      <c r="BA63" s="278">
        <v>0</v>
      </c>
      <c r="BB63" s="279">
        <f t="shared" si="6"/>
        <v>5539000</v>
      </c>
    </row>
    <row r="64" spans="1:54" s="257" customFormat="1">
      <c r="A64" s="247" t="s">
        <v>762</v>
      </c>
      <c r="B64" s="248" t="s">
        <v>763</v>
      </c>
      <c r="C64" s="248" t="s">
        <v>763</v>
      </c>
      <c r="D64" s="248" t="s">
        <v>886</v>
      </c>
      <c r="E64" s="248">
        <v>941</v>
      </c>
      <c r="F64" s="249">
        <v>7673</v>
      </c>
      <c r="G64" s="247" t="s">
        <v>563</v>
      </c>
      <c r="H64" s="247" t="s">
        <v>887</v>
      </c>
      <c r="I64" s="247" t="s">
        <v>888</v>
      </c>
      <c r="J64" s="247" t="s">
        <v>766</v>
      </c>
      <c r="K64" s="247" t="s">
        <v>767</v>
      </c>
      <c r="L64" s="247" t="s">
        <v>768</v>
      </c>
      <c r="M64" s="247" t="s">
        <v>769</v>
      </c>
      <c r="N64" s="259" t="s">
        <v>770</v>
      </c>
      <c r="O64" s="247" t="s">
        <v>771</v>
      </c>
      <c r="P64" s="247" t="s">
        <v>772</v>
      </c>
      <c r="Q64" s="250">
        <v>1</v>
      </c>
      <c r="R64" s="247" t="s">
        <v>889</v>
      </c>
      <c r="S64" s="247" t="s">
        <v>890</v>
      </c>
      <c r="T64" s="248">
        <v>31162800</v>
      </c>
      <c r="U64" s="247" t="s">
        <v>891</v>
      </c>
      <c r="V64" s="248">
        <v>2</v>
      </c>
      <c r="W64" s="248">
        <v>4</v>
      </c>
      <c r="X64" s="262">
        <v>180</v>
      </c>
      <c r="Y64" s="260" t="s">
        <v>838</v>
      </c>
      <c r="Z64" s="251" t="s">
        <v>777</v>
      </c>
      <c r="AA64" s="353">
        <v>20000000</v>
      </c>
      <c r="AB64" s="252">
        <v>3333333.3333333302</v>
      </c>
      <c r="AC64" s="251" t="s">
        <v>892</v>
      </c>
      <c r="AD64" s="251" t="s">
        <v>860</v>
      </c>
      <c r="AE64" s="253"/>
      <c r="AF64" s="254"/>
      <c r="AG64" s="261"/>
      <c r="AH64" s="278"/>
      <c r="AI64" s="333">
        <v>0</v>
      </c>
      <c r="AJ64" s="333">
        <v>0</v>
      </c>
      <c r="AK64" s="334">
        <v>0</v>
      </c>
      <c r="AL64" s="334">
        <v>0</v>
      </c>
      <c r="AM64" s="334">
        <v>0</v>
      </c>
      <c r="AN64" s="334">
        <v>0</v>
      </c>
      <c r="AO64" s="334">
        <v>3333333.3333333302</v>
      </c>
      <c r="AP64" s="334">
        <v>3333333.3333333302</v>
      </c>
      <c r="AQ64" s="334">
        <v>3333333.3333333302</v>
      </c>
      <c r="AR64" s="334">
        <v>3333333.3333333302</v>
      </c>
      <c r="AS64" s="334">
        <v>3333333.3333333302</v>
      </c>
      <c r="AT64" s="334">
        <v>3333333.3333333302</v>
      </c>
      <c r="AU64" s="300">
        <f t="shared" si="3"/>
        <v>19999999.999999981</v>
      </c>
      <c r="AV64" s="280">
        <f t="shared" si="4"/>
        <v>0</v>
      </c>
      <c r="AW64" s="278"/>
      <c r="AX64" s="278">
        <f>AU64</f>
        <v>19999999.999999981</v>
      </c>
      <c r="AY64" s="278">
        <v>0</v>
      </c>
      <c r="AZ64" s="278">
        <v>0</v>
      </c>
      <c r="BA64" s="278">
        <v>0</v>
      </c>
      <c r="BB64" s="279">
        <f t="shared" si="6"/>
        <v>19999999.999999981</v>
      </c>
    </row>
    <row r="65" spans="1:54" s="296" customFormat="1">
      <c r="A65" s="281" t="s">
        <v>762</v>
      </c>
      <c r="B65" s="282" t="s">
        <v>763</v>
      </c>
      <c r="C65" s="282" t="s">
        <v>763</v>
      </c>
      <c r="D65" s="282" t="s">
        <v>893</v>
      </c>
      <c r="E65" s="282">
        <v>942</v>
      </c>
      <c r="F65" s="283">
        <v>7673</v>
      </c>
      <c r="G65" s="281" t="s">
        <v>563</v>
      </c>
      <c r="H65" s="281" t="s">
        <v>894</v>
      </c>
      <c r="I65" s="281" t="s">
        <v>602</v>
      </c>
      <c r="J65" s="281" t="s">
        <v>766</v>
      </c>
      <c r="K65" s="281" t="s">
        <v>767</v>
      </c>
      <c r="L65" s="281" t="s">
        <v>768</v>
      </c>
      <c r="M65" s="281" t="s">
        <v>769</v>
      </c>
      <c r="N65" s="284" t="s">
        <v>770</v>
      </c>
      <c r="O65" s="281" t="s">
        <v>771</v>
      </c>
      <c r="P65" s="281" t="s">
        <v>772</v>
      </c>
      <c r="Q65" s="285">
        <v>0.81</v>
      </c>
      <c r="R65" s="281" t="s">
        <v>847</v>
      </c>
      <c r="S65" s="281" t="s">
        <v>848</v>
      </c>
      <c r="T65" s="282" t="s">
        <v>895</v>
      </c>
      <c r="U65" s="281" t="s">
        <v>896</v>
      </c>
      <c r="V65" s="282">
        <v>3</v>
      </c>
      <c r="W65" s="282">
        <v>4</v>
      </c>
      <c r="X65" s="286">
        <v>360</v>
      </c>
      <c r="Y65" s="287" t="s">
        <v>868</v>
      </c>
      <c r="Z65" s="288" t="s">
        <v>777</v>
      </c>
      <c r="AA65" s="353">
        <f>71651306*81%</f>
        <v>58037557.860000007</v>
      </c>
      <c r="AB65" s="289">
        <f>5970942.16666667*81%</f>
        <v>4836463.1550000031</v>
      </c>
      <c r="AC65" s="288" t="s">
        <v>897</v>
      </c>
      <c r="AD65" s="288" t="s">
        <v>852</v>
      </c>
      <c r="AE65" s="290"/>
      <c r="AF65" s="291"/>
      <c r="AG65" s="297"/>
      <c r="AH65" s="293"/>
      <c r="AI65" s="339">
        <f t="shared" ref="AI65:AT65" si="20">5970942.16666667*81%</f>
        <v>4836463.1550000031</v>
      </c>
      <c r="AJ65" s="339">
        <f t="shared" si="20"/>
        <v>4836463.1550000031</v>
      </c>
      <c r="AK65" s="339">
        <f t="shared" si="20"/>
        <v>4836463.1550000031</v>
      </c>
      <c r="AL65" s="339">
        <f t="shared" si="20"/>
        <v>4836463.1550000031</v>
      </c>
      <c r="AM65" s="339">
        <f t="shared" si="20"/>
        <v>4836463.1550000031</v>
      </c>
      <c r="AN65" s="339">
        <f t="shared" si="20"/>
        <v>4836463.1550000031</v>
      </c>
      <c r="AO65" s="339">
        <f t="shared" si="20"/>
        <v>4836463.1550000031</v>
      </c>
      <c r="AP65" s="339">
        <f t="shared" si="20"/>
        <v>4836463.1550000031</v>
      </c>
      <c r="AQ65" s="339">
        <f t="shared" si="20"/>
        <v>4836463.1550000031</v>
      </c>
      <c r="AR65" s="339">
        <f t="shared" si="20"/>
        <v>4836463.1550000031</v>
      </c>
      <c r="AS65" s="339">
        <f t="shared" si="20"/>
        <v>4836463.1550000031</v>
      </c>
      <c r="AT65" s="339">
        <f t="shared" si="20"/>
        <v>4836463.1550000031</v>
      </c>
      <c r="AU65" s="301">
        <f t="shared" si="3"/>
        <v>58037557.860000022</v>
      </c>
      <c r="AV65" s="295">
        <f t="shared" si="4"/>
        <v>0</v>
      </c>
      <c r="AW65" s="293"/>
      <c r="AX65" s="293">
        <f>AU65*81%</f>
        <v>47010421.866600022</v>
      </c>
      <c r="AY65" s="293">
        <v>0</v>
      </c>
      <c r="AZ65" s="293">
        <f>AU65*19%</f>
        <v>11027135.993400004</v>
      </c>
      <c r="BA65" s="293">
        <v>0</v>
      </c>
      <c r="BB65" s="294">
        <f t="shared" si="6"/>
        <v>58037557.860000029</v>
      </c>
    </row>
    <row r="66" spans="1:54" s="296" customFormat="1" hidden="1">
      <c r="A66" s="281" t="s">
        <v>762</v>
      </c>
      <c r="B66" s="282" t="s">
        <v>763</v>
      </c>
      <c r="C66" s="282" t="s">
        <v>763</v>
      </c>
      <c r="D66" s="282" t="s">
        <v>893</v>
      </c>
      <c r="E66" s="282">
        <v>942</v>
      </c>
      <c r="F66" s="283">
        <v>7673</v>
      </c>
      <c r="G66" s="281" t="s">
        <v>563</v>
      </c>
      <c r="H66" s="281" t="s">
        <v>894</v>
      </c>
      <c r="I66" s="281" t="s">
        <v>602</v>
      </c>
      <c r="J66" s="281" t="s">
        <v>766</v>
      </c>
      <c r="K66" s="281" t="s">
        <v>767</v>
      </c>
      <c r="L66" s="281" t="s">
        <v>768</v>
      </c>
      <c r="M66" s="281" t="s">
        <v>769</v>
      </c>
      <c r="N66" s="284" t="s">
        <v>770</v>
      </c>
      <c r="O66" s="281" t="s">
        <v>771</v>
      </c>
      <c r="P66" s="281" t="s">
        <v>797</v>
      </c>
      <c r="Q66" s="285">
        <v>0.19</v>
      </c>
      <c r="R66" s="281" t="s">
        <v>847</v>
      </c>
      <c r="S66" s="281" t="s">
        <v>848</v>
      </c>
      <c r="T66" s="282" t="s">
        <v>895</v>
      </c>
      <c r="U66" s="281" t="s">
        <v>896</v>
      </c>
      <c r="V66" s="282">
        <v>3</v>
      </c>
      <c r="W66" s="282">
        <v>4</v>
      </c>
      <c r="X66" s="286">
        <v>360</v>
      </c>
      <c r="Y66" s="287" t="s">
        <v>868</v>
      </c>
      <c r="Z66" s="288" t="s">
        <v>777</v>
      </c>
      <c r="AA66" s="289">
        <f>71651306*19%</f>
        <v>13613748.140000001</v>
      </c>
      <c r="AB66" s="289">
        <f>5970942.16666667*19%</f>
        <v>1134479.0116666672</v>
      </c>
      <c r="AC66" s="288" t="s">
        <v>897</v>
      </c>
      <c r="AD66" s="288" t="s">
        <v>852</v>
      </c>
      <c r="AE66" s="290"/>
      <c r="AF66" s="291"/>
      <c r="AG66" s="297"/>
      <c r="AH66" s="292"/>
      <c r="AI66" s="342">
        <f t="shared" ref="AI66:AT66" si="21">5970942.16666667*19%</f>
        <v>1134479.0116666672</v>
      </c>
      <c r="AJ66" s="342">
        <f t="shared" si="21"/>
        <v>1134479.0116666672</v>
      </c>
      <c r="AK66" s="342">
        <f t="shared" si="21"/>
        <v>1134479.0116666672</v>
      </c>
      <c r="AL66" s="342">
        <f t="shared" si="21"/>
        <v>1134479.0116666672</v>
      </c>
      <c r="AM66" s="342">
        <f t="shared" si="21"/>
        <v>1134479.0116666672</v>
      </c>
      <c r="AN66" s="342">
        <f t="shared" si="21"/>
        <v>1134479.0116666672</v>
      </c>
      <c r="AO66" s="342">
        <f t="shared" si="21"/>
        <v>1134479.0116666672</v>
      </c>
      <c r="AP66" s="342">
        <f t="shared" si="21"/>
        <v>1134479.0116666672</v>
      </c>
      <c r="AQ66" s="342">
        <f t="shared" si="21"/>
        <v>1134479.0116666672</v>
      </c>
      <c r="AR66" s="342">
        <f t="shared" si="21"/>
        <v>1134479.0116666672</v>
      </c>
      <c r="AS66" s="342">
        <f t="shared" si="21"/>
        <v>1134479.0116666672</v>
      </c>
      <c r="AT66" s="342">
        <f t="shared" si="21"/>
        <v>1134479.0116666672</v>
      </c>
      <c r="AU66" s="301">
        <f t="shared" ref="AU66" si="22">SUM(AI66:AT66)</f>
        <v>13613748.140000002</v>
      </c>
      <c r="AV66" s="295">
        <f t="shared" ref="AV66" si="23">+AU66-AA66</f>
        <v>0</v>
      </c>
      <c r="AW66" s="293"/>
      <c r="AX66" s="293">
        <f>AU66*81%</f>
        <v>11027135.993400002</v>
      </c>
      <c r="AY66" s="293">
        <v>0</v>
      </c>
      <c r="AZ66" s="293">
        <f>AU66*19%</f>
        <v>2586612.1466000006</v>
      </c>
      <c r="BA66" s="293">
        <v>0</v>
      </c>
      <c r="BB66" s="294">
        <f t="shared" ref="BB66" si="24">SUM(AX66:BA66)</f>
        <v>13613748.140000002</v>
      </c>
    </row>
    <row r="67" spans="1:54" s="296" customFormat="1">
      <c r="A67" s="281" t="s">
        <v>762</v>
      </c>
      <c r="B67" s="282" t="s">
        <v>763</v>
      </c>
      <c r="C67" s="282" t="s">
        <v>763</v>
      </c>
      <c r="D67" s="282" t="s">
        <v>898</v>
      </c>
      <c r="E67" s="282">
        <v>943</v>
      </c>
      <c r="F67" s="283">
        <v>7673</v>
      </c>
      <c r="G67" s="281" t="s">
        <v>563</v>
      </c>
      <c r="H67" s="281" t="s">
        <v>899</v>
      </c>
      <c r="I67" s="281" t="s">
        <v>863</v>
      </c>
      <c r="J67" s="281" t="s">
        <v>766</v>
      </c>
      <c r="K67" s="281" t="s">
        <v>767</v>
      </c>
      <c r="L67" s="281" t="s">
        <v>768</v>
      </c>
      <c r="M67" s="281" t="s">
        <v>769</v>
      </c>
      <c r="N67" s="284" t="s">
        <v>770</v>
      </c>
      <c r="O67" s="281" t="s">
        <v>771</v>
      </c>
      <c r="P67" s="281" t="s">
        <v>772</v>
      </c>
      <c r="Q67" s="285">
        <v>0.91</v>
      </c>
      <c r="R67" s="281" t="s">
        <v>900</v>
      </c>
      <c r="S67" s="281" t="s">
        <v>901</v>
      </c>
      <c r="T67" s="282" t="s">
        <v>902</v>
      </c>
      <c r="U67" s="281" t="s">
        <v>903</v>
      </c>
      <c r="V67" s="282">
        <v>3</v>
      </c>
      <c r="W67" s="282">
        <v>4</v>
      </c>
      <c r="X67" s="282">
        <v>240</v>
      </c>
      <c r="Y67" s="287" t="s">
        <v>838</v>
      </c>
      <c r="Z67" s="288" t="s">
        <v>777</v>
      </c>
      <c r="AA67" s="353">
        <f>5500000*91%</f>
        <v>5005000</v>
      </c>
      <c r="AB67" s="289">
        <f>687500*91%</f>
        <v>625625</v>
      </c>
      <c r="AC67" s="288" t="s">
        <v>904</v>
      </c>
      <c r="AD67" s="288" t="s">
        <v>905</v>
      </c>
      <c r="AE67" s="290"/>
      <c r="AF67" s="291"/>
      <c r="AG67" s="292"/>
      <c r="AH67" s="293"/>
      <c r="AI67" s="337">
        <v>0</v>
      </c>
      <c r="AJ67" s="337">
        <v>0</v>
      </c>
      <c r="AK67" s="337">
        <v>0</v>
      </c>
      <c r="AL67" s="337">
        <v>0</v>
      </c>
      <c r="AM67" s="339">
        <f t="shared" ref="AM67:AT67" si="25">687500*91%</f>
        <v>625625</v>
      </c>
      <c r="AN67" s="339">
        <f t="shared" si="25"/>
        <v>625625</v>
      </c>
      <c r="AO67" s="339">
        <f t="shared" si="25"/>
        <v>625625</v>
      </c>
      <c r="AP67" s="339">
        <f t="shared" si="25"/>
        <v>625625</v>
      </c>
      <c r="AQ67" s="339">
        <f t="shared" si="25"/>
        <v>625625</v>
      </c>
      <c r="AR67" s="339">
        <f t="shared" si="25"/>
        <v>625625</v>
      </c>
      <c r="AS67" s="339">
        <f t="shared" si="25"/>
        <v>625625</v>
      </c>
      <c r="AT67" s="339">
        <f t="shared" si="25"/>
        <v>625625</v>
      </c>
      <c r="AU67" s="301">
        <f t="shared" si="3"/>
        <v>5005000</v>
      </c>
      <c r="AV67" s="295">
        <f t="shared" si="4"/>
        <v>0</v>
      </c>
      <c r="AW67" s="293"/>
      <c r="AX67" s="293">
        <f>AU67*91%</f>
        <v>4554550</v>
      </c>
      <c r="AY67" s="293">
        <v>0</v>
      </c>
      <c r="AZ67" s="293">
        <f>AU67*9%</f>
        <v>450450</v>
      </c>
      <c r="BA67" s="293">
        <v>0</v>
      </c>
      <c r="BB67" s="294">
        <f t="shared" si="6"/>
        <v>5005000</v>
      </c>
    </row>
    <row r="68" spans="1:54" s="296" customFormat="1" hidden="1">
      <c r="A68" s="281" t="s">
        <v>762</v>
      </c>
      <c r="B68" s="282" t="s">
        <v>763</v>
      </c>
      <c r="C68" s="282" t="s">
        <v>763</v>
      </c>
      <c r="D68" s="282" t="s">
        <v>898</v>
      </c>
      <c r="E68" s="282">
        <v>943</v>
      </c>
      <c r="F68" s="283">
        <v>7673</v>
      </c>
      <c r="G68" s="281" t="s">
        <v>563</v>
      </c>
      <c r="H68" s="281" t="s">
        <v>899</v>
      </c>
      <c r="I68" s="281" t="s">
        <v>863</v>
      </c>
      <c r="J68" s="281" t="s">
        <v>766</v>
      </c>
      <c r="K68" s="281" t="s">
        <v>767</v>
      </c>
      <c r="L68" s="281" t="s">
        <v>768</v>
      </c>
      <c r="M68" s="281" t="s">
        <v>769</v>
      </c>
      <c r="N68" s="284" t="s">
        <v>770</v>
      </c>
      <c r="O68" s="281" t="s">
        <v>771</v>
      </c>
      <c r="P68" s="281" t="s">
        <v>797</v>
      </c>
      <c r="Q68" s="285">
        <v>0.09</v>
      </c>
      <c r="R68" s="281" t="s">
        <v>900</v>
      </c>
      <c r="S68" s="281" t="s">
        <v>901</v>
      </c>
      <c r="T68" s="282" t="s">
        <v>902</v>
      </c>
      <c r="U68" s="281" t="s">
        <v>903</v>
      </c>
      <c r="V68" s="282">
        <v>3</v>
      </c>
      <c r="W68" s="282">
        <v>4</v>
      </c>
      <c r="X68" s="282">
        <v>240</v>
      </c>
      <c r="Y68" s="287" t="s">
        <v>838</v>
      </c>
      <c r="Z68" s="288" t="s">
        <v>777</v>
      </c>
      <c r="AA68" s="289">
        <f>5500000*9%</f>
        <v>495000</v>
      </c>
      <c r="AB68" s="289">
        <f>687500*9%</f>
        <v>61875</v>
      </c>
      <c r="AC68" s="288" t="s">
        <v>904</v>
      </c>
      <c r="AD68" s="288" t="s">
        <v>905</v>
      </c>
      <c r="AE68" s="290"/>
      <c r="AF68" s="291"/>
      <c r="AG68" s="292"/>
      <c r="AH68" s="292"/>
      <c r="AI68" s="337">
        <v>0</v>
      </c>
      <c r="AJ68" s="337">
        <v>0</v>
      </c>
      <c r="AK68" s="337">
        <v>0</v>
      </c>
      <c r="AL68" s="337">
        <v>0</v>
      </c>
      <c r="AM68" s="342">
        <f t="shared" ref="AM68:AT68" si="26">687500*9%</f>
        <v>61875</v>
      </c>
      <c r="AN68" s="342">
        <f t="shared" si="26"/>
        <v>61875</v>
      </c>
      <c r="AO68" s="342">
        <f t="shared" si="26"/>
        <v>61875</v>
      </c>
      <c r="AP68" s="342">
        <f t="shared" si="26"/>
        <v>61875</v>
      </c>
      <c r="AQ68" s="342">
        <f t="shared" si="26"/>
        <v>61875</v>
      </c>
      <c r="AR68" s="342">
        <f t="shared" si="26"/>
        <v>61875</v>
      </c>
      <c r="AS68" s="342">
        <f t="shared" si="26"/>
        <v>61875</v>
      </c>
      <c r="AT68" s="342">
        <f t="shared" si="26"/>
        <v>61875</v>
      </c>
      <c r="AU68" s="301">
        <f t="shared" ref="AU68" si="27">SUM(AI68:AT68)</f>
        <v>495000</v>
      </c>
      <c r="AV68" s="295">
        <f t="shared" ref="AV68" si="28">+AU68-AA68</f>
        <v>0</v>
      </c>
      <c r="AW68" s="293"/>
      <c r="AX68" s="293">
        <f>AU68*91%</f>
        <v>450450</v>
      </c>
      <c r="AY68" s="293">
        <v>0</v>
      </c>
      <c r="AZ68" s="293">
        <f>AU68*9%</f>
        <v>44550</v>
      </c>
      <c r="BA68" s="293">
        <v>0</v>
      </c>
      <c r="BB68" s="294">
        <f t="shared" ref="BB68" si="29">SUM(AX68:BA68)</f>
        <v>495000</v>
      </c>
    </row>
    <row r="69" spans="1:54" s="257" customFormat="1">
      <c r="A69" s="247" t="s">
        <v>762</v>
      </c>
      <c r="B69" s="248" t="s">
        <v>763</v>
      </c>
      <c r="C69" s="248" t="s">
        <v>763</v>
      </c>
      <c r="D69" s="248" t="s">
        <v>906</v>
      </c>
      <c r="E69" s="248">
        <v>945</v>
      </c>
      <c r="F69" s="249">
        <v>7673</v>
      </c>
      <c r="G69" s="247" t="s">
        <v>563</v>
      </c>
      <c r="H69" s="247" t="s">
        <v>907</v>
      </c>
      <c r="I69" s="247" t="s">
        <v>602</v>
      </c>
      <c r="J69" s="247" t="s">
        <v>766</v>
      </c>
      <c r="K69" s="247" t="s">
        <v>767</v>
      </c>
      <c r="L69" s="247" t="s">
        <v>768</v>
      </c>
      <c r="M69" s="247" t="s">
        <v>769</v>
      </c>
      <c r="N69" s="259" t="s">
        <v>770</v>
      </c>
      <c r="O69" s="247" t="s">
        <v>771</v>
      </c>
      <c r="P69" s="247" t="s">
        <v>772</v>
      </c>
      <c r="Q69" s="250">
        <v>1</v>
      </c>
      <c r="R69" s="247" t="s">
        <v>908</v>
      </c>
      <c r="S69" s="247" t="s">
        <v>909</v>
      </c>
      <c r="T69" s="248">
        <v>82101905</v>
      </c>
      <c r="U69" s="247" t="s">
        <v>910</v>
      </c>
      <c r="V69" s="248">
        <v>5</v>
      </c>
      <c r="W69" s="248">
        <v>8</v>
      </c>
      <c r="X69" s="248">
        <v>360</v>
      </c>
      <c r="Y69" s="260" t="s">
        <v>829</v>
      </c>
      <c r="Z69" s="251" t="s">
        <v>777</v>
      </c>
      <c r="AA69" s="353">
        <v>10550000</v>
      </c>
      <c r="AB69" s="252">
        <v>879166.66666666698</v>
      </c>
      <c r="AC69" s="251" t="s">
        <v>911</v>
      </c>
      <c r="AD69" s="251" t="s">
        <v>912</v>
      </c>
      <c r="AE69" s="253"/>
      <c r="AF69" s="254"/>
      <c r="AG69" s="261"/>
      <c r="AH69" s="278"/>
      <c r="AI69" s="333">
        <v>0</v>
      </c>
      <c r="AJ69" s="333">
        <v>0</v>
      </c>
      <c r="AK69" s="334">
        <v>0</v>
      </c>
      <c r="AL69" s="334">
        <v>0</v>
      </c>
      <c r="AM69" s="334">
        <v>0</v>
      </c>
      <c r="AN69" s="334">
        <v>0</v>
      </c>
      <c r="AO69" s="334">
        <f t="shared" ref="AO69:AT69" si="30">879166.666666667*2</f>
        <v>1758333.333333334</v>
      </c>
      <c r="AP69" s="334">
        <f t="shared" si="30"/>
        <v>1758333.333333334</v>
      </c>
      <c r="AQ69" s="334">
        <f t="shared" si="30"/>
        <v>1758333.333333334</v>
      </c>
      <c r="AR69" s="334">
        <f t="shared" si="30"/>
        <v>1758333.333333334</v>
      </c>
      <c r="AS69" s="334">
        <f t="shared" si="30"/>
        <v>1758333.333333334</v>
      </c>
      <c r="AT69" s="334">
        <f t="shared" si="30"/>
        <v>1758333.333333334</v>
      </c>
      <c r="AU69" s="300">
        <f t="shared" si="3"/>
        <v>10550000.000000004</v>
      </c>
      <c r="AV69" s="280">
        <f t="shared" si="4"/>
        <v>0</v>
      </c>
      <c r="AW69" s="278"/>
      <c r="AX69" s="278">
        <f>AU69</f>
        <v>10550000.000000004</v>
      </c>
      <c r="AY69" s="278">
        <v>0</v>
      </c>
      <c r="AZ69" s="278">
        <v>0</v>
      </c>
      <c r="BA69" s="278">
        <v>0</v>
      </c>
      <c r="BB69" s="279">
        <f t="shared" si="6"/>
        <v>10550000.000000004</v>
      </c>
    </row>
    <row r="70" spans="1:54" s="257" customFormat="1" hidden="1">
      <c r="A70" s="247" t="s">
        <v>762</v>
      </c>
      <c r="B70" s="248" t="s">
        <v>763</v>
      </c>
      <c r="C70" s="248" t="s">
        <v>763</v>
      </c>
      <c r="D70" s="248" t="s">
        <v>913</v>
      </c>
      <c r="E70" s="248">
        <v>946</v>
      </c>
      <c r="F70" s="249">
        <v>7673</v>
      </c>
      <c r="G70" s="247" t="s">
        <v>563</v>
      </c>
      <c r="H70" s="247" t="s">
        <v>914</v>
      </c>
      <c r="I70" s="247" t="s">
        <v>915</v>
      </c>
      <c r="J70" s="247" t="s">
        <v>766</v>
      </c>
      <c r="K70" s="247" t="s">
        <v>767</v>
      </c>
      <c r="L70" s="247" t="s">
        <v>768</v>
      </c>
      <c r="M70" s="247" t="s">
        <v>769</v>
      </c>
      <c r="N70" s="247" t="s">
        <v>770</v>
      </c>
      <c r="O70" s="247" t="s">
        <v>796</v>
      </c>
      <c r="P70" s="247" t="s">
        <v>797</v>
      </c>
      <c r="Q70" s="250">
        <v>1</v>
      </c>
      <c r="R70" s="247" t="s">
        <v>916</v>
      </c>
      <c r="S70" s="247" t="s">
        <v>917</v>
      </c>
      <c r="T70" s="248" t="s">
        <v>918</v>
      </c>
      <c r="U70" s="247" t="s">
        <v>919</v>
      </c>
      <c r="V70" s="248">
        <v>2</v>
      </c>
      <c r="W70" s="248">
        <v>2</v>
      </c>
      <c r="X70" s="248">
        <v>315</v>
      </c>
      <c r="Y70" s="247" t="s">
        <v>868</v>
      </c>
      <c r="Z70" s="251" t="s">
        <v>777</v>
      </c>
      <c r="AA70" s="353">
        <v>8000000</v>
      </c>
      <c r="AB70" s="252">
        <v>761904.76190476189</v>
      </c>
      <c r="AC70" s="251" t="s">
        <v>920</v>
      </c>
      <c r="AD70" s="251" t="s">
        <v>860</v>
      </c>
      <c r="AE70" s="253"/>
      <c r="AF70" s="254"/>
      <c r="AG70" s="261"/>
      <c r="AH70" s="261"/>
      <c r="AI70" s="333">
        <v>0</v>
      </c>
      <c r="AJ70" s="333">
        <v>0</v>
      </c>
      <c r="AK70" s="334">
        <v>0</v>
      </c>
      <c r="AL70" s="334">
        <v>0</v>
      </c>
      <c r="AM70" s="334">
        <v>0</v>
      </c>
      <c r="AN70" s="334">
        <v>1000000</v>
      </c>
      <c r="AO70" s="334">
        <v>1000000</v>
      </c>
      <c r="AP70" s="334">
        <v>1000000</v>
      </c>
      <c r="AQ70" s="334">
        <v>1000000</v>
      </c>
      <c r="AR70" s="334">
        <v>1000000</v>
      </c>
      <c r="AS70" s="334">
        <v>1000000</v>
      </c>
      <c r="AT70" s="334">
        <v>2000000</v>
      </c>
      <c r="AU70" s="300">
        <f t="shared" si="3"/>
        <v>8000000</v>
      </c>
      <c r="AV70" s="280">
        <f t="shared" si="4"/>
        <v>0</v>
      </c>
      <c r="AW70" s="278"/>
      <c r="AX70" s="278">
        <v>0</v>
      </c>
      <c r="AY70" s="278">
        <v>0</v>
      </c>
      <c r="AZ70" s="278">
        <f>AU70</f>
        <v>8000000</v>
      </c>
      <c r="BA70" s="278">
        <v>0</v>
      </c>
      <c r="BB70" s="279">
        <f t="shared" si="6"/>
        <v>8000000</v>
      </c>
    </row>
    <row r="71" spans="1:54" s="323" customFormat="1">
      <c r="A71" s="309" t="s">
        <v>762</v>
      </c>
      <c r="B71" s="310" t="s">
        <v>763</v>
      </c>
      <c r="C71" s="310" t="s">
        <v>763</v>
      </c>
      <c r="D71" s="310" t="s">
        <v>921</v>
      </c>
      <c r="E71" s="310">
        <v>952</v>
      </c>
      <c r="F71" s="311">
        <v>7673</v>
      </c>
      <c r="G71" s="309" t="s">
        <v>563</v>
      </c>
      <c r="H71" s="309" t="s">
        <v>922</v>
      </c>
      <c r="I71" s="309" t="s">
        <v>833</v>
      </c>
      <c r="J71" s="309" t="s">
        <v>766</v>
      </c>
      <c r="K71" s="309" t="s">
        <v>767</v>
      </c>
      <c r="L71" s="309" t="s">
        <v>768</v>
      </c>
      <c r="M71" s="309" t="s">
        <v>769</v>
      </c>
      <c r="N71" s="309" t="s">
        <v>770</v>
      </c>
      <c r="O71" s="309" t="s">
        <v>771</v>
      </c>
      <c r="P71" s="324" t="s">
        <v>772</v>
      </c>
      <c r="Q71" s="312">
        <v>1</v>
      </c>
      <c r="R71" s="313" t="s">
        <v>923</v>
      </c>
      <c r="S71" s="325" t="s">
        <v>924</v>
      </c>
      <c r="T71" s="310" t="s">
        <v>925</v>
      </c>
      <c r="U71" s="309" t="s">
        <v>926</v>
      </c>
      <c r="V71" s="310">
        <v>3</v>
      </c>
      <c r="W71" s="326">
        <v>5</v>
      </c>
      <c r="X71" s="310">
        <v>30</v>
      </c>
      <c r="Y71" s="309" t="s">
        <v>868</v>
      </c>
      <c r="Z71" s="327" t="s">
        <v>777</v>
      </c>
      <c r="AA71" s="355">
        <v>92608376</v>
      </c>
      <c r="AB71" s="314">
        <v>92608376</v>
      </c>
      <c r="AC71" s="313" t="s">
        <v>927</v>
      </c>
      <c r="AD71" s="313" t="s">
        <v>831</v>
      </c>
      <c r="AE71" s="315"/>
      <c r="AF71" s="316"/>
      <c r="AG71" s="317"/>
      <c r="AH71" s="318"/>
      <c r="AI71" s="335">
        <v>0</v>
      </c>
      <c r="AJ71" s="335">
        <v>0</v>
      </c>
      <c r="AK71" s="336">
        <v>0</v>
      </c>
      <c r="AL71" s="336">
        <v>0</v>
      </c>
      <c r="AM71" s="336">
        <v>0</v>
      </c>
      <c r="AN71" s="336">
        <v>0</v>
      </c>
      <c r="AO71" s="336">
        <v>0</v>
      </c>
      <c r="AP71" s="336">
        <v>0</v>
      </c>
      <c r="AQ71" s="336">
        <v>0</v>
      </c>
      <c r="AR71" s="336">
        <v>0</v>
      </c>
      <c r="AS71" s="336">
        <v>92608376</v>
      </c>
      <c r="AT71" s="336">
        <v>0</v>
      </c>
      <c r="AU71" s="319">
        <f t="shared" si="3"/>
        <v>92608376</v>
      </c>
      <c r="AV71" s="320">
        <f t="shared" si="4"/>
        <v>0</v>
      </c>
      <c r="AW71" s="321"/>
      <c r="AX71" s="321">
        <f>AU71</f>
        <v>92608376</v>
      </c>
      <c r="AY71" s="321">
        <v>0</v>
      </c>
      <c r="AZ71" s="321">
        <v>0</v>
      </c>
      <c r="BA71" s="321">
        <v>0</v>
      </c>
      <c r="BB71" s="322">
        <f t="shared" si="6"/>
        <v>92608376</v>
      </c>
    </row>
    <row r="72" spans="1:54" s="257" customFormat="1" hidden="1">
      <c r="A72" s="247" t="s">
        <v>762</v>
      </c>
      <c r="B72" s="248" t="s">
        <v>763</v>
      </c>
      <c r="C72" s="248" t="s">
        <v>763</v>
      </c>
      <c r="D72" s="248">
        <v>952</v>
      </c>
      <c r="E72" s="248">
        <v>931</v>
      </c>
      <c r="F72" s="249">
        <v>7673</v>
      </c>
      <c r="G72" s="247" t="s">
        <v>563</v>
      </c>
      <c r="H72" s="247" t="s">
        <v>928</v>
      </c>
      <c r="I72" s="247" t="s">
        <v>602</v>
      </c>
      <c r="J72" s="247" t="s">
        <v>766</v>
      </c>
      <c r="K72" s="247" t="s">
        <v>767</v>
      </c>
      <c r="L72" s="247" t="s">
        <v>768</v>
      </c>
      <c r="M72" s="247" t="s">
        <v>769</v>
      </c>
      <c r="N72" s="247" t="s">
        <v>770</v>
      </c>
      <c r="O72" s="247" t="s">
        <v>796</v>
      </c>
      <c r="P72" s="247" t="s">
        <v>929</v>
      </c>
      <c r="Q72" s="250">
        <v>1</v>
      </c>
      <c r="R72" s="247" t="s">
        <v>930</v>
      </c>
      <c r="S72" s="247" t="s">
        <v>931</v>
      </c>
      <c r="T72" s="247">
        <v>93141501</v>
      </c>
      <c r="U72" s="247" t="s">
        <v>932</v>
      </c>
      <c r="V72" s="248">
        <v>3</v>
      </c>
      <c r="W72" s="248">
        <v>7</v>
      </c>
      <c r="X72" s="248">
        <v>210</v>
      </c>
      <c r="Y72" s="260" t="s">
        <v>776</v>
      </c>
      <c r="Z72" s="251" t="s">
        <v>933</v>
      </c>
      <c r="AA72" s="263">
        <v>1076000000</v>
      </c>
      <c r="AB72" s="252">
        <v>153714285.714286</v>
      </c>
      <c r="AC72" s="251" t="s">
        <v>934</v>
      </c>
      <c r="AD72" s="264" t="s">
        <v>800</v>
      </c>
      <c r="AE72" s="265"/>
      <c r="AF72" s="254"/>
      <c r="AG72" s="256"/>
      <c r="AH72" s="255"/>
      <c r="AI72" s="333">
        <v>0</v>
      </c>
      <c r="AJ72" s="333">
        <v>0</v>
      </c>
      <c r="AK72" s="333">
        <v>0</v>
      </c>
      <c r="AL72" s="333">
        <v>0</v>
      </c>
      <c r="AM72" s="334">
        <v>0</v>
      </c>
      <c r="AN72" s="334">
        <v>153714285.7142857</v>
      </c>
      <c r="AO72" s="334">
        <v>153714285.7142857</v>
      </c>
      <c r="AP72" s="334">
        <v>153714285.7142857</v>
      </c>
      <c r="AQ72" s="334">
        <v>153714285.7142857</v>
      </c>
      <c r="AR72" s="334">
        <v>153714285.7142857</v>
      </c>
      <c r="AS72" s="334">
        <v>153714285.7142857</v>
      </c>
      <c r="AT72" s="334">
        <v>153714285.7142857</v>
      </c>
      <c r="AU72" s="300">
        <f t="shared" ref="AU72:AU75" si="31">SUM(AI72:AT72)</f>
        <v>1076000000</v>
      </c>
      <c r="AV72" s="280">
        <f t="shared" ref="AV72:AV74" si="32">+AU72-AA72</f>
        <v>0</v>
      </c>
      <c r="AW72" s="278"/>
      <c r="AX72" s="278">
        <v>0</v>
      </c>
      <c r="AY72" s="278">
        <v>0</v>
      </c>
      <c r="AZ72" s="278">
        <v>0</v>
      </c>
      <c r="BA72" s="278">
        <f>AU72</f>
        <v>1076000000</v>
      </c>
      <c r="BB72" s="279">
        <f t="shared" ref="BB72:BB75" si="33">SUM(AX72:BA72)</f>
        <v>1076000000</v>
      </c>
    </row>
    <row r="73" spans="1:54" hidden="1">
      <c r="A73" s="213" t="s">
        <v>762</v>
      </c>
      <c r="B73" s="214" t="s">
        <v>763</v>
      </c>
      <c r="C73" s="214" t="s">
        <v>763</v>
      </c>
      <c r="D73" s="214">
        <v>953</v>
      </c>
      <c r="E73" s="214">
        <v>958</v>
      </c>
      <c r="F73" s="216">
        <v>7673</v>
      </c>
      <c r="G73" s="213" t="s">
        <v>563</v>
      </c>
      <c r="H73" s="213" t="s">
        <v>928</v>
      </c>
      <c r="I73" s="213" t="s">
        <v>765</v>
      </c>
      <c r="J73" s="213" t="s">
        <v>766</v>
      </c>
      <c r="K73" s="213" t="s">
        <v>767</v>
      </c>
      <c r="L73" s="213" t="s">
        <v>768</v>
      </c>
      <c r="M73" s="213" t="s">
        <v>769</v>
      </c>
      <c r="N73" s="213" t="s">
        <v>770</v>
      </c>
      <c r="O73" s="213" t="s">
        <v>796</v>
      </c>
      <c r="P73" s="213" t="s">
        <v>929</v>
      </c>
      <c r="Q73" s="217">
        <v>1</v>
      </c>
      <c r="R73" s="213" t="s">
        <v>773</v>
      </c>
      <c r="S73" s="213" t="s">
        <v>774</v>
      </c>
      <c r="T73" s="213">
        <v>80111620</v>
      </c>
      <c r="U73" s="213" t="s">
        <v>935</v>
      </c>
      <c r="V73" s="214">
        <v>1</v>
      </c>
      <c r="W73" s="214">
        <v>1</v>
      </c>
      <c r="X73" s="214">
        <v>330</v>
      </c>
      <c r="Y73" s="234" t="s">
        <v>776</v>
      </c>
      <c r="Z73" s="220" t="s">
        <v>933</v>
      </c>
      <c r="AA73" s="235">
        <v>77000000</v>
      </c>
      <c r="AB73" s="221">
        <v>7000000</v>
      </c>
      <c r="AC73" s="236" t="s">
        <v>936</v>
      </c>
      <c r="AD73" s="236" t="s">
        <v>800</v>
      </c>
      <c r="AE73" s="222"/>
      <c r="AF73" s="223"/>
      <c r="AG73" s="225"/>
      <c r="AH73" s="225"/>
      <c r="AI73" s="332">
        <f t="shared" ref="AI73:AI75" si="34">AB73/30*10</f>
        <v>2333333.3333333335</v>
      </c>
      <c r="AJ73" s="332">
        <f t="shared" ref="AJ73:AJ75" si="35">AB73</f>
        <v>7000000</v>
      </c>
      <c r="AK73" s="332">
        <v>7000000</v>
      </c>
      <c r="AL73" s="332">
        <v>7000000</v>
      </c>
      <c r="AM73" s="302">
        <v>7000000</v>
      </c>
      <c r="AN73" s="302">
        <v>7000000</v>
      </c>
      <c r="AO73" s="302">
        <v>7000000</v>
      </c>
      <c r="AP73" s="302">
        <v>7000000</v>
      </c>
      <c r="AQ73" s="302">
        <v>7000000</v>
      </c>
      <c r="AR73" s="302">
        <v>7000000</v>
      </c>
      <c r="AS73" s="302">
        <v>7000000</v>
      </c>
      <c r="AT73" s="302">
        <f t="shared" ref="AT73:AT75" si="36">AB73/30*20</f>
        <v>4666666.666666667</v>
      </c>
      <c r="AU73" s="299">
        <f t="shared" si="31"/>
        <v>77000000.000000015</v>
      </c>
      <c r="AV73" s="276">
        <f t="shared" si="32"/>
        <v>0</v>
      </c>
      <c r="AX73" s="273">
        <v>0</v>
      </c>
      <c r="AY73" s="273">
        <v>0</v>
      </c>
      <c r="AZ73" s="273">
        <v>0</v>
      </c>
      <c r="BA73" s="273">
        <f>AU73</f>
        <v>77000000.000000015</v>
      </c>
      <c r="BB73" s="272">
        <f t="shared" si="33"/>
        <v>77000000.000000015</v>
      </c>
    </row>
    <row r="74" spans="1:54" hidden="1">
      <c r="A74" s="213" t="s">
        <v>937</v>
      </c>
      <c r="B74" s="214" t="s">
        <v>763</v>
      </c>
      <c r="C74" s="214" t="s">
        <v>763</v>
      </c>
      <c r="D74" s="214"/>
      <c r="E74" s="214">
        <v>959</v>
      </c>
      <c r="F74" s="216">
        <v>7673</v>
      </c>
      <c r="G74" s="213" t="s">
        <v>563</v>
      </c>
      <c r="H74" s="213" t="s">
        <v>928</v>
      </c>
      <c r="I74" s="213" t="s">
        <v>765</v>
      </c>
      <c r="J74" s="213" t="s">
        <v>766</v>
      </c>
      <c r="K74" s="213" t="s">
        <v>767</v>
      </c>
      <c r="L74" s="213" t="s">
        <v>768</v>
      </c>
      <c r="M74" s="213" t="s">
        <v>769</v>
      </c>
      <c r="N74" s="213" t="s">
        <v>770</v>
      </c>
      <c r="O74" s="213" t="s">
        <v>796</v>
      </c>
      <c r="P74" s="213" t="s">
        <v>929</v>
      </c>
      <c r="Q74" s="217">
        <v>1</v>
      </c>
      <c r="R74" s="213" t="s">
        <v>773</v>
      </c>
      <c r="S74" s="213" t="s">
        <v>774</v>
      </c>
      <c r="T74" s="213">
        <v>80111620</v>
      </c>
      <c r="U74" s="213" t="s">
        <v>938</v>
      </c>
      <c r="V74" s="214">
        <v>1</v>
      </c>
      <c r="W74" s="214">
        <v>1</v>
      </c>
      <c r="X74" s="214">
        <v>330</v>
      </c>
      <c r="Y74" s="234" t="s">
        <v>776</v>
      </c>
      <c r="Z74" s="220" t="s">
        <v>933</v>
      </c>
      <c r="AA74" s="235">
        <v>77000000</v>
      </c>
      <c r="AB74" s="221">
        <v>7000000</v>
      </c>
      <c r="AC74" s="236" t="s">
        <v>939</v>
      </c>
      <c r="AD74" s="236" t="s">
        <v>800</v>
      </c>
      <c r="AE74" s="222"/>
      <c r="AF74" s="223"/>
      <c r="AG74" s="225"/>
      <c r="AH74" s="225"/>
      <c r="AI74" s="332">
        <f t="shared" si="34"/>
        <v>2333333.3333333335</v>
      </c>
      <c r="AJ74" s="332">
        <f t="shared" si="35"/>
        <v>7000000</v>
      </c>
      <c r="AK74" s="332">
        <v>7000000</v>
      </c>
      <c r="AL74" s="332">
        <v>7000000</v>
      </c>
      <c r="AM74" s="302">
        <v>7000000</v>
      </c>
      <c r="AN74" s="302">
        <v>7000000</v>
      </c>
      <c r="AO74" s="302">
        <v>7000000</v>
      </c>
      <c r="AP74" s="302">
        <v>7000000</v>
      </c>
      <c r="AQ74" s="302">
        <v>7000000</v>
      </c>
      <c r="AR74" s="302">
        <v>7000000</v>
      </c>
      <c r="AS74" s="302">
        <v>7000000</v>
      </c>
      <c r="AT74" s="302">
        <f t="shared" si="36"/>
        <v>4666666.666666667</v>
      </c>
      <c r="AU74" s="299">
        <f t="shared" si="31"/>
        <v>77000000.000000015</v>
      </c>
      <c r="AV74" s="276">
        <f t="shared" si="32"/>
        <v>0</v>
      </c>
      <c r="AX74" s="273">
        <v>0</v>
      </c>
      <c r="AY74" s="273">
        <v>0</v>
      </c>
      <c r="AZ74" s="273">
        <v>0</v>
      </c>
      <c r="BA74" s="273">
        <f>AU74</f>
        <v>77000000.000000015</v>
      </c>
      <c r="BB74" s="272">
        <f t="shared" si="33"/>
        <v>77000000.000000015</v>
      </c>
    </row>
    <row r="75" spans="1:54">
      <c r="A75" s="237" t="s">
        <v>762</v>
      </c>
      <c r="B75" s="238" t="s">
        <v>763</v>
      </c>
      <c r="C75" s="238" t="s">
        <v>940</v>
      </c>
      <c r="D75" s="238" t="s">
        <v>941</v>
      </c>
      <c r="E75" s="215" t="s">
        <v>942</v>
      </c>
      <c r="F75" s="239">
        <v>7673</v>
      </c>
      <c r="G75" s="237" t="s">
        <v>563</v>
      </c>
      <c r="H75" s="237" t="s">
        <v>943</v>
      </c>
      <c r="I75" s="237" t="s">
        <v>602</v>
      </c>
      <c r="J75" s="237" t="s">
        <v>766</v>
      </c>
      <c r="K75" s="237" t="s">
        <v>767</v>
      </c>
      <c r="L75" s="237" t="s">
        <v>768</v>
      </c>
      <c r="M75" s="237" t="s">
        <v>769</v>
      </c>
      <c r="N75" s="237" t="s">
        <v>770</v>
      </c>
      <c r="O75" s="237" t="s">
        <v>944</v>
      </c>
      <c r="P75" s="237" t="s">
        <v>772</v>
      </c>
      <c r="Q75" s="240">
        <v>0.33</v>
      </c>
      <c r="R75" s="237" t="s">
        <v>945</v>
      </c>
      <c r="S75" s="237" t="s">
        <v>946</v>
      </c>
      <c r="T75" s="241" t="s">
        <v>216</v>
      </c>
      <c r="U75" s="242" t="s">
        <v>947</v>
      </c>
      <c r="V75" s="238" t="s">
        <v>216</v>
      </c>
      <c r="W75" s="238" t="s">
        <v>216</v>
      </c>
      <c r="X75" s="238" t="s">
        <v>216</v>
      </c>
      <c r="Y75" s="237" t="s">
        <v>948</v>
      </c>
      <c r="Z75" s="243" t="s">
        <v>949</v>
      </c>
      <c r="AA75" s="356">
        <f>150000000*33%</f>
        <v>49500000</v>
      </c>
      <c r="AB75" s="245"/>
      <c r="AC75" s="246"/>
      <c r="AD75" s="246" t="s">
        <v>950</v>
      </c>
      <c r="AE75" s="226"/>
      <c r="AF75" s="223"/>
      <c r="AG75" s="226"/>
      <c r="AH75" s="275"/>
      <c r="AI75" s="332">
        <f t="shared" si="34"/>
        <v>0</v>
      </c>
      <c r="AJ75" s="332">
        <f t="shared" si="35"/>
        <v>0</v>
      </c>
      <c r="AK75" s="340">
        <v>0</v>
      </c>
      <c r="AL75" s="340">
        <v>0</v>
      </c>
      <c r="AM75" s="302">
        <v>0</v>
      </c>
      <c r="AN75" s="302">
        <f>50000000*33%</f>
        <v>16500000</v>
      </c>
      <c r="AO75" s="302">
        <v>0</v>
      </c>
      <c r="AP75" s="302">
        <f>50000000*33%</f>
        <v>16500000</v>
      </c>
      <c r="AQ75" s="302">
        <v>0</v>
      </c>
      <c r="AR75" s="302">
        <f>50000000*33%</f>
        <v>16500000</v>
      </c>
      <c r="AS75" s="302">
        <v>0</v>
      </c>
      <c r="AT75" s="302">
        <f t="shared" si="36"/>
        <v>0</v>
      </c>
      <c r="AU75" s="299">
        <f t="shared" si="31"/>
        <v>49500000</v>
      </c>
      <c r="AV75" s="276">
        <f>+AU75-AA75</f>
        <v>0</v>
      </c>
      <c r="AX75" s="273">
        <f>AU75*33%</f>
        <v>16335000</v>
      </c>
      <c r="AY75" s="273">
        <v>0</v>
      </c>
      <c r="AZ75" s="273">
        <f>AU75*67%</f>
        <v>33165000.000000004</v>
      </c>
      <c r="BA75" s="273">
        <v>0</v>
      </c>
      <c r="BB75" s="272">
        <f t="shared" si="33"/>
        <v>49500000</v>
      </c>
    </row>
    <row r="76" spans="1:54" hidden="1">
      <c r="A76" s="237" t="s">
        <v>762</v>
      </c>
      <c r="B76" s="238" t="s">
        <v>763</v>
      </c>
      <c r="C76" s="238" t="s">
        <v>940</v>
      </c>
      <c r="D76" s="238" t="s">
        <v>941</v>
      </c>
      <c r="E76" s="215" t="s">
        <v>942</v>
      </c>
      <c r="F76" s="239">
        <v>7673</v>
      </c>
      <c r="G76" s="237" t="s">
        <v>563</v>
      </c>
      <c r="H76" s="237" t="s">
        <v>943</v>
      </c>
      <c r="I76" s="237" t="s">
        <v>602</v>
      </c>
      <c r="J76" s="237" t="s">
        <v>766</v>
      </c>
      <c r="K76" s="237" t="s">
        <v>767</v>
      </c>
      <c r="L76" s="237" t="s">
        <v>768</v>
      </c>
      <c r="M76" s="237" t="s">
        <v>769</v>
      </c>
      <c r="N76" s="237" t="s">
        <v>770</v>
      </c>
      <c r="O76" s="237" t="s">
        <v>944</v>
      </c>
      <c r="P76" s="237" t="s">
        <v>797</v>
      </c>
      <c r="Q76" s="240">
        <v>0.67</v>
      </c>
      <c r="R76" s="237" t="s">
        <v>945</v>
      </c>
      <c r="S76" s="237" t="s">
        <v>946</v>
      </c>
      <c r="T76" s="241" t="s">
        <v>216</v>
      </c>
      <c r="U76" s="242" t="s">
        <v>947</v>
      </c>
      <c r="V76" s="238" t="s">
        <v>216</v>
      </c>
      <c r="W76" s="238" t="s">
        <v>216</v>
      </c>
      <c r="X76" s="238" t="s">
        <v>216</v>
      </c>
      <c r="Y76" s="237" t="s">
        <v>948</v>
      </c>
      <c r="Z76" s="243" t="s">
        <v>949</v>
      </c>
      <c r="AA76" s="244">
        <f>150000000*67%</f>
        <v>100500000</v>
      </c>
      <c r="AB76" s="245"/>
      <c r="AC76" s="246"/>
      <c r="AD76" s="246" t="s">
        <v>950</v>
      </c>
      <c r="AE76" s="226"/>
      <c r="AF76" s="223"/>
      <c r="AG76" s="226"/>
      <c r="AH76" s="226"/>
      <c r="AI76" s="332">
        <f t="shared" ref="AI76" si="37">AB76/30*10</f>
        <v>0</v>
      </c>
      <c r="AJ76" s="332">
        <f t="shared" ref="AJ76" si="38">AB76</f>
        <v>0</v>
      </c>
      <c r="AK76" s="340">
        <v>0</v>
      </c>
      <c r="AL76" s="340">
        <v>0</v>
      </c>
      <c r="AM76" s="302">
        <v>0</v>
      </c>
      <c r="AN76" s="302">
        <f>50000000*67%</f>
        <v>33500000.000000004</v>
      </c>
      <c r="AO76" s="302">
        <v>0</v>
      </c>
      <c r="AP76" s="302">
        <f>50000000*67%</f>
        <v>33500000.000000004</v>
      </c>
      <c r="AQ76" s="302">
        <v>0</v>
      </c>
      <c r="AR76" s="302">
        <f>50000000*67%</f>
        <v>33500000.000000004</v>
      </c>
      <c r="AS76" s="302">
        <v>0</v>
      </c>
      <c r="AT76" s="302">
        <f t="shared" ref="AT76" si="39">AB76/30*20</f>
        <v>0</v>
      </c>
      <c r="AU76" s="299">
        <f t="shared" ref="AU76:AU77" si="40">SUM(AI76:AT76)</f>
        <v>100500000.00000001</v>
      </c>
      <c r="AV76" s="276">
        <f>+AU76-AA76</f>
        <v>0</v>
      </c>
      <c r="AX76" s="273">
        <f>AU76*33%</f>
        <v>33165000.000000007</v>
      </c>
      <c r="AY76" s="273">
        <v>0</v>
      </c>
      <c r="AZ76" s="273">
        <f>AU76*67%</f>
        <v>67335000.000000015</v>
      </c>
      <c r="BA76" s="273">
        <v>0</v>
      </c>
      <c r="BB76" s="272">
        <f t="shared" ref="BB76:BB77" si="41">SUM(AX76:BA76)</f>
        <v>100500000.00000003</v>
      </c>
    </row>
    <row r="77" spans="1:54" s="266" customFormat="1">
      <c r="A77"/>
      <c r="B77"/>
      <c r="C77"/>
      <c r="D77"/>
      <c r="E77"/>
      <c r="F77"/>
      <c r="G77"/>
      <c r="H77"/>
      <c r="I77"/>
      <c r="J77"/>
      <c r="K77"/>
      <c r="L77"/>
      <c r="M77"/>
      <c r="N77"/>
      <c r="O77"/>
      <c r="P77" s="237" t="s">
        <v>772</v>
      </c>
      <c r="Q77" s="328">
        <v>1</v>
      </c>
      <c r="R77"/>
      <c r="S77"/>
      <c r="T77"/>
      <c r="U77"/>
      <c r="V77"/>
      <c r="W77"/>
      <c r="X77"/>
      <c r="Y77"/>
      <c r="Z77"/>
      <c r="AA77" s="357">
        <v>14783248</v>
      </c>
      <c r="AC77" s="329" t="s">
        <v>951</v>
      </c>
      <c r="AD77"/>
      <c r="AE77"/>
      <c r="AF77"/>
      <c r="AG77"/>
      <c r="AH77"/>
      <c r="AI77" s="302">
        <v>0</v>
      </c>
      <c r="AJ77" s="302">
        <v>0</v>
      </c>
      <c r="AK77" s="302">
        <v>0</v>
      </c>
      <c r="AL77" s="302">
        <v>0</v>
      </c>
      <c r="AM77" s="302">
        <v>0</v>
      </c>
      <c r="AN77" s="302">
        <v>0</v>
      </c>
      <c r="AO77" s="302">
        <v>0</v>
      </c>
      <c r="AP77" s="302">
        <v>0</v>
      </c>
      <c r="AQ77" s="302">
        <v>14783248</v>
      </c>
      <c r="AR77" s="302">
        <v>0</v>
      </c>
      <c r="AS77" s="302">
        <v>0</v>
      </c>
      <c r="AT77" s="302">
        <v>0</v>
      </c>
      <c r="AU77" s="299">
        <f t="shared" si="40"/>
        <v>14783248</v>
      </c>
      <c r="AV77" s="272"/>
      <c r="AW77" s="272"/>
      <c r="AX77" s="302">
        <f>+AU77</f>
        <v>14783248</v>
      </c>
      <c r="AY77" s="273">
        <v>0</v>
      </c>
      <c r="AZ77" s="273">
        <v>0</v>
      </c>
      <c r="BA77" s="273">
        <v>0</v>
      </c>
      <c r="BB77" s="272">
        <f t="shared" si="41"/>
        <v>14783248</v>
      </c>
    </row>
    <row r="78" spans="1:54" s="266" customFormat="1" hidden="1">
      <c r="A78"/>
      <c r="B78"/>
      <c r="C78"/>
      <c r="D78"/>
      <c r="E78"/>
      <c r="F78"/>
      <c r="G78"/>
      <c r="H78"/>
      <c r="I78"/>
      <c r="J78"/>
      <c r="K78"/>
      <c r="L78"/>
      <c r="M78"/>
      <c r="N78"/>
      <c r="O78"/>
      <c r="P78" s="331"/>
      <c r="Q78" s="328"/>
      <c r="R78"/>
      <c r="S78"/>
      <c r="T78"/>
      <c r="U78"/>
      <c r="V78"/>
      <c r="W78"/>
      <c r="X78"/>
      <c r="Y78"/>
      <c r="Z78"/>
      <c r="AA78" s="330">
        <f>SUM(AA2:AA77)</f>
        <v>5425259000</v>
      </c>
      <c r="AC78" s="329"/>
      <c r="AD78"/>
      <c r="AE78"/>
      <c r="AF78"/>
      <c r="AG78"/>
      <c r="AH78"/>
      <c r="AI78" s="344">
        <f>SUM(AI2:AI77)</f>
        <v>144889000.00000006</v>
      </c>
      <c r="AJ78" s="344">
        <f t="shared" ref="AJ78:AT78" si="42">SUM(AJ2:AJ77)</f>
        <v>316828333.33333337</v>
      </c>
      <c r="AK78" s="344">
        <f t="shared" si="42"/>
        <v>316828333.33333337</v>
      </c>
      <c r="AL78" s="344">
        <f t="shared" si="42"/>
        <v>316828333.33333337</v>
      </c>
      <c r="AM78" s="344">
        <f t="shared" si="42"/>
        <v>317515833.33333337</v>
      </c>
      <c r="AN78" s="344">
        <f t="shared" si="42"/>
        <v>552017333.33333337</v>
      </c>
      <c r="AO78" s="344">
        <f t="shared" si="42"/>
        <v>507109000</v>
      </c>
      <c r="AP78" s="344">
        <f t="shared" si="42"/>
        <v>631013600</v>
      </c>
      <c r="AQ78" s="344">
        <f t="shared" si="42"/>
        <v>521892248</v>
      </c>
      <c r="AR78" s="344">
        <f t="shared" si="42"/>
        <v>705145826</v>
      </c>
      <c r="AS78" s="344">
        <f t="shared" si="42"/>
        <v>605256376</v>
      </c>
      <c r="AT78" s="344">
        <f t="shared" si="42"/>
        <v>489934783.33333349</v>
      </c>
      <c r="AU78" s="344">
        <f>SUM(AI78:AT78)</f>
        <v>5425259000</v>
      </c>
      <c r="AV78" s="272"/>
      <c r="AW78" s="272"/>
      <c r="AX78" s="273"/>
      <c r="AY78" s="273"/>
      <c r="AZ78" s="273"/>
      <c r="BA78" s="273"/>
      <c r="BB78" s="307">
        <f>SUM(BB2:BB77)</f>
        <v>5425259000</v>
      </c>
    </row>
    <row r="79" spans="1:54">
      <c r="AI79" s="345" t="s">
        <v>65</v>
      </c>
      <c r="AJ79" s="345" t="s">
        <v>66</v>
      </c>
      <c r="AK79" s="345" t="s">
        <v>755</v>
      </c>
      <c r="AL79" s="345" t="s">
        <v>68</v>
      </c>
      <c r="AM79" s="345" t="s">
        <v>69</v>
      </c>
      <c r="AN79" s="345" t="s">
        <v>70</v>
      </c>
      <c r="AO79" s="345" t="s">
        <v>71</v>
      </c>
      <c r="AP79" s="345" t="s">
        <v>756</v>
      </c>
      <c r="AQ79" s="345" t="s">
        <v>757</v>
      </c>
      <c r="AR79" s="345" t="s">
        <v>758</v>
      </c>
      <c r="AS79" s="345" t="s">
        <v>759</v>
      </c>
      <c r="AT79" s="345" t="s">
        <v>760</v>
      </c>
      <c r="AU79" s="344"/>
    </row>
    <row r="80" spans="1:54">
      <c r="AH80" s="273" t="s">
        <v>541</v>
      </c>
      <c r="AI80" s="298">
        <f>+AI2+AI3+AI4+AI5+AI6+AI7+AI8+AI9+AI10+AI11+AI12+AI13+AI14+AI15+AI16+AI17+AI18+AI19+AI20+AI21+AI22+AI23+AI24+AI25+AI26+AI27+AI28+AI29+AI30+AI31+AI53+AI54+AI56+AI57+AI59+AI61+AI63+AI64+AI65+AI67+AI69+AI71+AI75+AI77</f>
        <v>93098268.096666679</v>
      </c>
      <c r="AJ80" s="298">
        <f t="shared" ref="AJ80:AT80" si="43">+AJ2+AJ3+AJ4+AJ5+AJ6+AJ7+AJ8+AJ9+AJ10+AJ11+AJ12+AJ13+AJ14+AJ15+AJ16+AJ17+AJ18+AJ19+AJ20+AJ21+AJ22+AJ23+AJ24+AJ25+AJ26+AJ27+AJ28+AJ29+AJ30+AJ31+AJ53+AJ54+AJ56+AJ57+AJ59+AJ61+AJ63+AJ64+AJ65+AJ67+AJ69+AJ71+AJ75+AJ77</f>
        <v>167652934.76333335</v>
      </c>
      <c r="AK80" s="298">
        <f t="shared" si="43"/>
        <v>167652934.76333335</v>
      </c>
      <c r="AL80" s="298">
        <f t="shared" si="43"/>
        <v>167652934.76333335</v>
      </c>
      <c r="AM80" s="298">
        <f t="shared" si="43"/>
        <v>168278559.76333335</v>
      </c>
      <c r="AN80" s="298">
        <f t="shared" si="43"/>
        <v>213550774.04904768</v>
      </c>
      <c r="AO80" s="298">
        <f t="shared" si="43"/>
        <v>202142440.71571437</v>
      </c>
      <c r="AP80" s="298">
        <f t="shared" si="43"/>
        <v>218642440.71571437</v>
      </c>
      <c r="AQ80" s="298">
        <f t="shared" si="43"/>
        <v>216925688.71571437</v>
      </c>
      <c r="AR80" s="298">
        <f t="shared" si="43"/>
        <v>311250816.71571434</v>
      </c>
      <c r="AS80" s="298">
        <f t="shared" si="43"/>
        <v>300289816.71571434</v>
      </c>
      <c r="AT80" s="298">
        <f t="shared" si="43"/>
        <v>174733177.38238099</v>
      </c>
      <c r="AU80" s="301">
        <f>SUM(AI80:AT80)</f>
        <v>2401870787.1600008</v>
      </c>
      <c r="AV80" s="298">
        <v>2501937000</v>
      </c>
      <c r="AW80" s="303">
        <f>+AV80-AU80</f>
        <v>100066212.8399992</v>
      </c>
      <c r="AX80" s="298"/>
      <c r="AY80" s="298"/>
    </row>
    <row r="81" spans="1:51">
      <c r="AA81" s="343">
        <f>SUM(AA2:AA52)+AA73+AA74</f>
        <v>2997679000</v>
      </c>
      <c r="AH81" s="273" t="s">
        <v>542</v>
      </c>
      <c r="AI81" s="298">
        <f>+AI55</f>
        <v>0</v>
      </c>
      <c r="AJ81" s="298">
        <f t="shared" ref="AJ81:AT81" si="44">+AJ55</f>
        <v>0</v>
      </c>
      <c r="AK81" s="298">
        <f t="shared" si="44"/>
        <v>0</v>
      </c>
      <c r="AL81" s="298">
        <f t="shared" si="44"/>
        <v>0</v>
      </c>
      <c r="AM81" s="298">
        <f t="shared" si="44"/>
        <v>0</v>
      </c>
      <c r="AN81" s="298">
        <f t="shared" si="44"/>
        <v>0</v>
      </c>
      <c r="AO81" s="298">
        <f t="shared" si="44"/>
        <v>0</v>
      </c>
      <c r="AP81" s="298">
        <f t="shared" si="44"/>
        <v>73904600</v>
      </c>
      <c r="AQ81" s="298">
        <f t="shared" si="44"/>
        <v>0</v>
      </c>
      <c r="AR81" s="298">
        <f t="shared" si="44"/>
        <v>55428450</v>
      </c>
      <c r="AS81" s="298">
        <f t="shared" si="44"/>
        <v>0</v>
      </c>
      <c r="AT81" s="298">
        <f t="shared" si="44"/>
        <v>55428450</v>
      </c>
      <c r="AU81" s="301">
        <f t="shared" ref="AU81:AU83" si="45">SUM(AI81:AT81)</f>
        <v>184761500</v>
      </c>
      <c r="AV81" s="298">
        <v>184762000</v>
      </c>
      <c r="AW81" s="303">
        <f>+AV81-AU81</f>
        <v>500</v>
      </c>
      <c r="AX81" s="298"/>
      <c r="AY81" s="298"/>
    </row>
    <row r="82" spans="1:51">
      <c r="AH82" s="273" t="s">
        <v>543</v>
      </c>
      <c r="AI82" s="298">
        <f>+AI32+AI33+AI34+AI35+AI36+AI37+AI38+AI39+AI40+AI41+AI42+AI43+AI44+AI45+AI46+AI47+AI48+AI49+AI50+AI51+AI52+AI58+AI60+AI62+AI66+AI68+AI70+AI76</f>
        <v>47124065.236666664</v>
      </c>
      <c r="AJ82" s="298">
        <f t="shared" ref="AJ82:AT82" si="46">+AJ32+AJ33+AJ34+AJ35+AJ36+AJ37+AJ38+AJ39+AJ40+AJ41+AJ42+AJ43+AJ44+AJ45+AJ46+AJ47+AJ48+AJ49+AJ50+AJ51+AJ52+AJ58+AJ60+AJ62+AJ66+AJ68+AJ70+AJ76</f>
        <v>135175398.56999999</v>
      </c>
      <c r="AK82" s="298">
        <f t="shared" si="46"/>
        <v>135175398.56999999</v>
      </c>
      <c r="AL82" s="298">
        <f t="shared" si="46"/>
        <v>135175398.56999999</v>
      </c>
      <c r="AM82" s="298">
        <f t="shared" si="46"/>
        <v>135237273.56999999</v>
      </c>
      <c r="AN82" s="298">
        <f t="shared" si="46"/>
        <v>170752273.56999999</v>
      </c>
      <c r="AO82" s="298">
        <f t="shared" si="46"/>
        <v>137252273.56999999</v>
      </c>
      <c r="AP82" s="298">
        <f t="shared" si="46"/>
        <v>170752273.56999999</v>
      </c>
      <c r="AQ82" s="298">
        <f t="shared" si="46"/>
        <v>137252273.56999999</v>
      </c>
      <c r="AR82" s="298">
        <f t="shared" si="46"/>
        <v>170752273.56999999</v>
      </c>
      <c r="AS82" s="298">
        <f t="shared" si="46"/>
        <v>137252273.56999999</v>
      </c>
      <c r="AT82" s="298">
        <f t="shared" si="46"/>
        <v>96725536.903333321</v>
      </c>
      <c r="AU82" s="301">
        <f t="shared" si="45"/>
        <v>1608626712.8399997</v>
      </c>
      <c r="AV82" s="298">
        <v>1508560000</v>
      </c>
      <c r="AW82" s="303">
        <f>+AV82-AU82</f>
        <v>-100066712.83999968</v>
      </c>
      <c r="AX82" s="298"/>
      <c r="AY82" s="298"/>
    </row>
    <row r="83" spans="1:51">
      <c r="AH83" s="273" t="s">
        <v>761</v>
      </c>
      <c r="AI83" s="298">
        <f>+AI72+AI73+AI74</f>
        <v>4666666.666666667</v>
      </c>
      <c r="AJ83" s="298">
        <f t="shared" ref="AJ83:AT83" si="47">+AJ72+AJ73+AJ74</f>
        <v>14000000</v>
      </c>
      <c r="AK83" s="298">
        <f t="shared" si="47"/>
        <v>14000000</v>
      </c>
      <c r="AL83" s="298">
        <f t="shared" si="47"/>
        <v>14000000</v>
      </c>
      <c r="AM83" s="298">
        <f t="shared" si="47"/>
        <v>14000000</v>
      </c>
      <c r="AN83" s="298">
        <f t="shared" si="47"/>
        <v>167714285.7142857</v>
      </c>
      <c r="AO83" s="298">
        <f t="shared" si="47"/>
        <v>167714285.7142857</v>
      </c>
      <c r="AP83" s="298">
        <f t="shared" si="47"/>
        <v>167714285.7142857</v>
      </c>
      <c r="AQ83" s="298">
        <f t="shared" si="47"/>
        <v>167714285.7142857</v>
      </c>
      <c r="AR83" s="298">
        <f t="shared" si="47"/>
        <v>167714285.7142857</v>
      </c>
      <c r="AS83" s="298">
        <f t="shared" si="47"/>
        <v>167714285.7142857</v>
      </c>
      <c r="AT83" s="298">
        <f t="shared" si="47"/>
        <v>163047619.04761901</v>
      </c>
      <c r="AU83" s="301">
        <f t="shared" si="45"/>
        <v>1230000000</v>
      </c>
      <c r="AV83" s="298">
        <v>1230000000</v>
      </c>
      <c r="AW83" s="303">
        <f>+AV83-AU83</f>
        <v>0</v>
      </c>
      <c r="AX83" s="298"/>
      <c r="AY83" s="298"/>
    </row>
    <row r="85" spans="1:51">
      <c r="A85" s="360" t="s">
        <v>952</v>
      </c>
      <c r="B85" s="361" t="s">
        <v>512</v>
      </c>
      <c r="C85" s="361" t="s">
        <v>953</v>
      </c>
      <c r="D85" s="361" t="s">
        <v>954</v>
      </c>
      <c r="E85" s="361" t="s">
        <v>955</v>
      </c>
      <c r="F85" s="361" t="s">
        <v>956</v>
      </c>
      <c r="G85" s="361" t="s">
        <v>749</v>
      </c>
      <c r="H85" s="361" t="s">
        <v>750</v>
      </c>
      <c r="I85" s="361" t="s">
        <v>957</v>
      </c>
      <c r="J85" s="361" t="s">
        <v>958</v>
      </c>
      <c r="K85" s="362"/>
    </row>
    <row r="86" spans="1:51">
      <c r="A86" s="363" t="s">
        <v>959</v>
      </c>
      <c r="B86" s="363" t="s">
        <v>960</v>
      </c>
      <c r="C86" s="363" t="s">
        <v>961</v>
      </c>
      <c r="D86" s="363" t="s">
        <v>962</v>
      </c>
      <c r="E86" s="363" t="s">
        <v>963</v>
      </c>
      <c r="F86" s="363" t="s">
        <v>964</v>
      </c>
      <c r="G86" s="363" t="s">
        <v>965</v>
      </c>
      <c r="H86" s="363" t="s">
        <v>966</v>
      </c>
      <c r="I86" s="364">
        <v>73200000</v>
      </c>
      <c r="J86" s="364">
        <v>73200000</v>
      </c>
      <c r="K86" s="362"/>
    </row>
    <row r="87" spans="1:51">
      <c r="A87" s="363" t="s">
        <v>849</v>
      </c>
      <c r="B87" s="363" t="s">
        <v>967</v>
      </c>
      <c r="C87" s="363" t="s">
        <v>961</v>
      </c>
      <c r="D87" s="363" t="s">
        <v>962</v>
      </c>
      <c r="E87" s="363" t="s">
        <v>968</v>
      </c>
      <c r="F87" s="363" t="s">
        <v>964</v>
      </c>
      <c r="G87" s="363" t="s">
        <v>969</v>
      </c>
      <c r="H87" s="363" t="s">
        <v>966</v>
      </c>
      <c r="I87" s="364">
        <v>87226500</v>
      </c>
      <c r="J87" s="364">
        <v>87226500</v>
      </c>
      <c r="K87" s="362"/>
    </row>
    <row r="88" spans="1:51">
      <c r="A88" s="363" t="s">
        <v>970</v>
      </c>
      <c r="B88" s="363" t="s">
        <v>971</v>
      </c>
      <c r="C88" s="363" t="s">
        <v>972</v>
      </c>
      <c r="D88" s="363" t="s">
        <v>972</v>
      </c>
      <c r="E88" s="363" t="s">
        <v>973</v>
      </c>
      <c r="F88" s="363" t="s">
        <v>964</v>
      </c>
      <c r="G88" s="363" t="s">
        <v>974</v>
      </c>
      <c r="H88" s="363" t="s">
        <v>966</v>
      </c>
      <c r="I88" s="364">
        <v>1240568013</v>
      </c>
      <c r="J88" s="364">
        <v>1240568013</v>
      </c>
      <c r="K88" s="362"/>
    </row>
    <row r="89" spans="1:51">
      <c r="A89" s="363" t="s">
        <v>866</v>
      </c>
      <c r="B89" s="363" t="s">
        <v>975</v>
      </c>
      <c r="C89" s="363" t="s">
        <v>755</v>
      </c>
      <c r="D89" s="363" t="s">
        <v>972</v>
      </c>
      <c r="E89" s="363" t="s">
        <v>976</v>
      </c>
      <c r="F89" s="363" t="s">
        <v>964</v>
      </c>
      <c r="G89" s="363" t="s">
        <v>969</v>
      </c>
      <c r="H89" s="363" t="s">
        <v>966</v>
      </c>
      <c r="I89" s="364">
        <v>176753000</v>
      </c>
      <c r="J89" s="364">
        <v>176753000</v>
      </c>
      <c r="K89" s="362"/>
    </row>
    <row r="90" spans="1:51">
      <c r="A90" s="363" t="s">
        <v>977</v>
      </c>
      <c r="B90" s="363" t="s">
        <v>978</v>
      </c>
      <c r="C90" s="363" t="s">
        <v>962</v>
      </c>
      <c r="D90" s="363" t="s">
        <v>972</v>
      </c>
      <c r="E90" s="363" t="s">
        <v>968</v>
      </c>
      <c r="F90" s="363" t="s">
        <v>964</v>
      </c>
      <c r="G90" s="363" t="s">
        <v>974</v>
      </c>
      <c r="H90" s="363" t="s">
        <v>966</v>
      </c>
      <c r="I90" s="364">
        <v>1214626088</v>
      </c>
      <c r="J90" s="364">
        <v>1214626088</v>
      </c>
      <c r="K90" s="362"/>
    </row>
    <row r="91" spans="1:51">
      <c r="A91" s="363" t="s">
        <v>883</v>
      </c>
      <c r="B91" s="363" t="s">
        <v>979</v>
      </c>
      <c r="C91" s="363" t="s">
        <v>961</v>
      </c>
      <c r="D91" s="363" t="s">
        <v>961</v>
      </c>
      <c r="E91" s="363" t="s">
        <v>973</v>
      </c>
      <c r="F91" s="363" t="s">
        <v>964</v>
      </c>
      <c r="G91" s="363" t="s">
        <v>965</v>
      </c>
      <c r="H91" s="363" t="s">
        <v>966</v>
      </c>
      <c r="I91" s="364">
        <v>16072165</v>
      </c>
      <c r="J91" s="364">
        <v>16072165</v>
      </c>
      <c r="K91" s="362"/>
    </row>
    <row r="92" spans="1:51">
      <c r="A92" s="363" t="s">
        <v>980</v>
      </c>
      <c r="B92" s="363" t="s">
        <v>981</v>
      </c>
      <c r="C92" s="363" t="s">
        <v>972</v>
      </c>
      <c r="D92" s="363" t="s">
        <v>972</v>
      </c>
      <c r="E92" s="363" t="s">
        <v>973</v>
      </c>
      <c r="F92" s="363" t="s">
        <v>964</v>
      </c>
      <c r="G92" s="363" t="s">
        <v>969</v>
      </c>
      <c r="H92" s="363" t="s">
        <v>966</v>
      </c>
      <c r="I92" s="364">
        <v>50181055</v>
      </c>
      <c r="J92" s="364">
        <v>50181055</v>
      </c>
      <c r="K92" s="362"/>
    </row>
    <row r="93" spans="1:51">
      <c r="A93" s="363" t="s">
        <v>895</v>
      </c>
      <c r="B93" s="363" t="s">
        <v>982</v>
      </c>
      <c r="C93" s="363" t="s">
        <v>972</v>
      </c>
      <c r="D93" s="363" t="s">
        <v>972</v>
      </c>
      <c r="E93" s="363" t="s">
        <v>973</v>
      </c>
      <c r="F93" s="363" t="s">
        <v>964</v>
      </c>
      <c r="G93" s="363" t="s">
        <v>965</v>
      </c>
      <c r="H93" s="363" t="s">
        <v>966</v>
      </c>
      <c r="I93" s="364">
        <v>1376964398</v>
      </c>
      <c r="J93" s="364">
        <v>1376964398</v>
      </c>
      <c r="K93" s="362"/>
    </row>
    <row r="94" spans="1:51">
      <c r="A94" s="363" t="s">
        <v>902</v>
      </c>
      <c r="B94" s="363" t="s">
        <v>983</v>
      </c>
      <c r="C94" s="363" t="s">
        <v>962</v>
      </c>
      <c r="D94" s="363" t="s">
        <v>755</v>
      </c>
      <c r="E94" s="363" t="s">
        <v>984</v>
      </c>
      <c r="F94" s="363" t="s">
        <v>964</v>
      </c>
      <c r="G94" s="363" t="s">
        <v>969</v>
      </c>
      <c r="H94" s="363" t="s">
        <v>966</v>
      </c>
      <c r="I94" s="364">
        <v>24402000</v>
      </c>
      <c r="J94" s="364">
        <v>24402000</v>
      </c>
      <c r="K94" s="362"/>
    </row>
    <row r="95" spans="1:51">
      <c r="A95" s="363" t="s">
        <v>985</v>
      </c>
      <c r="B95" s="363" t="s">
        <v>986</v>
      </c>
      <c r="C95" s="363" t="s">
        <v>972</v>
      </c>
      <c r="D95" s="363" t="s">
        <v>987</v>
      </c>
      <c r="E95" s="363" t="s">
        <v>968</v>
      </c>
      <c r="F95" s="363" t="s">
        <v>964</v>
      </c>
      <c r="G95" s="363" t="s">
        <v>974</v>
      </c>
      <c r="H95" s="363" t="s">
        <v>966</v>
      </c>
      <c r="I95" s="364">
        <v>490322584</v>
      </c>
      <c r="J95" s="364">
        <v>490322584</v>
      </c>
      <c r="K95" s="362"/>
    </row>
    <row r="96" spans="1:51">
      <c r="A96" s="363" t="s">
        <v>918</v>
      </c>
      <c r="B96" s="363" t="s">
        <v>988</v>
      </c>
      <c r="C96" s="363" t="s">
        <v>961</v>
      </c>
      <c r="D96" s="363" t="s">
        <v>961</v>
      </c>
      <c r="E96" s="363" t="s">
        <v>989</v>
      </c>
      <c r="F96" s="363" t="s">
        <v>964</v>
      </c>
      <c r="G96" s="363" t="s">
        <v>965</v>
      </c>
      <c r="H96" s="363" t="s">
        <v>966</v>
      </c>
      <c r="I96" s="364">
        <v>1002549647</v>
      </c>
      <c r="J96" s="364">
        <v>1002549647</v>
      </c>
      <c r="K96" s="362"/>
    </row>
    <row r="97" spans="1:11">
      <c r="A97" s="363" t="s">
        <v>925</v>
      </c>
      <c r="B97" s="363" t="s">
        <v>990</v>
      </c>
      <c r="C97" s="363" t="s">
        <v>991</v>
      </c>
      <c r="D97" s="363" t="s">
        <v>991</v>
      </c>
      <c r="E97" s="363" t="s">
        <v>973</v>
      </c>
      <c r="F97" s="363" t="s">
        <v>964</v>
      </c>
      <c r="G97" s="363" t="s">
        <v>965</v>
      </c>
      <c r="H97" s="363" t="s">
        <v>966</v>
      </c>
      <c r="I97" s="364">
        <v>111567387</v>
      </c>
      <c r="J97" s="364">
        <v>111567387</v>
      </c>
      <c r="K97" s="362"/>
    </row>
    <row r="98" spans="1:11">
      <c r="A98" s="363" t="s">
        <v>992</v>
      </c>
      <c r="B98" s="363" t="s">
        <v>993</v>
      </c>
      <c r="C98" s="363" t="s">
        <v>962</v>
      </c>
      <c r="D98" s="363" t="s">
        <v>972</v>
      </c>
      <c r="E98" s="363" t="s">
        <v>994</v>
      </c>
      <c r="F98" s="363" t="s">
        <v>964</v>
      </c>
      <c r="G98" s="363" t="s">
        <v>974</v>
      </c>
      <c r="H98" s="363" t="s">
        <v>966</v>
      </c>
      <c r="I98" s="364">
        <v>157760500</v>
      </c>
      <c r="J98" s="364">
        <v>157760500</v>
      </c>
      <c r="K98" s="362"/>
    </row>
    <row r="99" spans="1:11">
      <c r="A99" s="363" t="s">
        <v>995</v>
      </c>
      <c r="B99" s="363" t="s">
        <v>996</v>
      </c>
      <c r="C99" s="363" t="s">
        <v>962</v>
      </c>
      <c r="D99" s="363" t="s">
        <v>972</v>
      </c>
      <c r="E99" s="363" t="s">
        <v>973</v>
      </c>
      <c r="F99" s="363" t="s">
        <v>964</v>
      </c>
      <c r="G99" s="363" t="s">
        <v>969</v>
      </c>
      <c r="H99" s="363" t="s">
        <v>966</v>
      </c>
      <c r="I99" s="364">
        <v>92608376</v>
      </c>
      <c r="J99" s="364">
        <v>92608376</v>
      </c>
      <c r="K99" s="362"/>
    </row>
    <row r="100" spans="1:11">
      <c r="A100" s="363" t="s">
        <v>997</v>
      </c>
      <c r="B100" s="363" t="s">
        <v>998</v>
      </c>
      <c r="C100" s="363" t="s">
        <v>755</v>
      </c>
      <c r="D100" s="363" t="s">
        <v>972</v>
      </c>
      <c r="E100" s="363" t="s">
        <v>984</v>
      </c>
      <c r="F100" s="363" t="s">
        <v>964</v>
      </c>
      <c r="G100" s="363" t="s">
        <v>999</v>
      </c>
      <c r="H100" s="363" t="s">
        <v>966</v>
      </c>
      <c r="I100" s="364">
        <v>184761500</v>
      </c>
      <c r="J100" s="364">
        <v>184761500</v>
      </c>
      <c r="K100" s="362"/>
    </row>
    <row r="101" spans="1:11">
      <c r="A101" s="362"/>
      <c r="B101" s="362"/>
      <c r="C101" s="362"/>
      <c r="D101" s="362"/>
      <c r="E101" s="362"/>
      <c r="F101" s="362"/>
      <c r="G101" s="362"/>
      <c r="H101" s="362"/>
      <c r="I101" s="362"/>
      <c r="J101" s="362"/>
      <c r="K101" s="362"/>
    </row>
    <row r="102" spans="1:11">
      <c r="A102" s="362"/>
      <c r="B102" s="362"/>
      <c r="C102" s="362"/>
      <c r="D102" s="362"/>
      <c r="E102" s="362"/>
      <c r="F102" s="362"/>
      <c r="G102" s="362"/>
      <c r="H102" s="362"/>
      <c r="I102" s="362"/>
      <c r="J102" s="362"/>
      <c r="K102" s="362"/>
    </row>
    <row r="103" spans="1:11">
      <c r="A103" s="362"/>
      <c r="B103" s="362"/>
      <c r="C103" s="362"/>
      <c r="D103" s="362"/>
      <c r="E103" s="362"/>
      <c r="F103" s="362"/>
      <c r="G103" s="362"/>
      <c r="H103" s="362"/>
      <c r="I103" s="362"/>
      <c r="J103" s="362"/>
      <c r="K103" s="362"/>
    </row>
    <row r="104" spans="1:11">
      <c r="A104" s="362"/>
      <c r="B104" s="362"/>
      <c r="C104" s="362"/>
      <c r="D104" s="362"/>
      <c r="E104" s="362"/>
      <c r="F104" s="362"/>
      <c r="G104" s="362"/>
      <c r="H104" s="362"/>
      <c r="I104" s="362"/>
      <c r="J104" s="362"/>
      <c r="K104" s="362"/>
    </row>
    <row r="105" spans="1:11">
      <c r="B105" s="632" t="s">
        <v>541</v>
      </c>
      <c r="C105" s="632" t="s">
        <v>542</v>
      </c>
      <c r="D105" s="632" t="s">
        <v>543</v>
      </c>
      <c r="E105" s="632" t="s">
        <v>761</v>
      </c>
      <c r="F105" s="632" t="s">
        <v>1000</v>
      </c>
    </row>
    <row r="106" spans="1:11" ht="15" customHeight="1">
      <c r="A106" s="632" t="s">
        <v>43</v>
      </c>
      <c r="B106" s="630">
        <f>'Meta 1'!AC22</f>
        <v>2334220914.1599998</v>
      </c>
      <c r="C106" s="630">
        <f>'Meta 2'!AC22</f>
        <v>280463582</v>
      </c>
      <c r="D106" s="630">
        <f>'Meta 3'!AC22</f>
        <v>1580574503.8400002</v>
      </c>
      <c r="E106" s="630">
        <f>'Meta 4'!AC22</f>
        <v>1230000000</v>
      </c>
      <c r="F106" s="630">
        <f>SUBTOTAL(9,B106:E106)</f>
        <v>5425259000</v>
      </c>
    </row>
    <row r="107" spans="1:11" ht="15" customHeight="1">
      <c r="A107" s="632" t="s">
        <v>44</v>
      </c>
      <c r="B107" s="633">
        <f>'Meta 1'!AC23</f>
        <v>1602033604</v>
      </c>
      <c r="C107" s="633">
        <f>+'Meta 2'!AC23</f>
        <v>0</v>
      </c>
      <c r="D107" s="633">
        <f>+'Meta 3'!AC23</f>
        <v>1576897419</v>
      </c>
      <c r="E107" s="633">
        <f>+'Meta 4'!AC23</f>
        <v>1230000000</v>
      </c>
      <c r="F107" s="633">
        <f>SUBTOTAL(9,B107:E107)</f>
        <v>4408931023</v>
      </c>
      <c r="G107" s="631">
        <f>F107/F106</f>
        <v>0.81266738104116321</v>
      </c>
      <c r="H107">
        <v>4387301023</v>
      </c>
      <c r="I107">
        <v>27446658</v>
      </c>
    </row>
    <row r="108" spans="1:11" ht="15" customHeight="1">
      <c r="A108" s="632" t="s">
        <v>46</v>
      </c>
      <c r="B108" s="630">
        <f>'Meta 1'!AC24</f>
        <v>2334220914.1599998</v>
      </c>
      <c r="C108" s="630">
        <f>+'Meta 2'!AC24</f>
        <v>280463582</v>
      </c>
      <c r="D108" s="630">
        <f>+'Meta 3'!AC24</f>
        <v>1580574503.8399997</v>
      </c>
      <c r="E108" s="630">
        <f>+'Meta 4'!AC24</f>
        <v>1230000000.0000002</v>
      </c>
      <c r="F108" s="630">
        <f>SUBTOTAL(9,B108:E108)</f>
        <v>5425259000</v>
      </c>
      <c r="H108" s="630">
        <f>F107-H107</f>
        <v>21630000</v>
      </c>
    </row>
    <row r="109" spans="1:11">
      <c r="A109" s="632" t="s">
        <v>47</v>
      </c>
      <c r="B109" s="633">
        <f>'Meta 1'!AC25</f>
        <v>875687470</v>
      </c>
      <c r="C109" s="633">
        <f>+'Meta 2'!AC25</f>
        <v>0</v>
      </c>
      <c r="D109" s="633">
        <f>+'Meta 3'!AC25</f>
        <v>872333119</v>
      </c>
      <c r="E109" s="633">
        <f>+'Meta 4'!AC25</f>
        <v>1160000000</v>
      </c>
      <c r="F109" s="633">
        <f>SUBTOTAL(9,B109:E109)</f>
        <v>2908020589</v>
      </c>
      <c r="G109" s="631">
        <f>F109/F108</f>
        <v>0.53601507116987412</v>
      </c>
    </row>
    <row r="111" spans="1:11" ht="15" customHeight="1"/>
    <row r="112" spans="1:11" ht="15" customHeight="1"/>
    <row r="113" ht="15" customHeight="1"/>
  </sheetData>
  <autoFilter ref="A1:BB78" xr:uid="{BD30285D-3F4B-47FA-A11D-96046964CD7B}">
    <filterColumn colId="15">
      <filters>
        <filter val="M1. Formar 26.100 mujeres en sus derechos a través de procesos de desarrollo de capacidades en el uso TIC"/>
      </filters>
    </filterColumn>
  </autoFilter>
  <phoneticPr fontId="59" type="noConversion"/>
  <printOptions horizontalCentered="1"/>
  <pageMargins left="0.19685039370078741" right="0.19685039370078741" top="0.19685039370078741" bottom="0.19685039370078741" header="0" footer="0"/>
  <pageSetup scale="21" fitToHeight="0"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3455D-4E83-4B80-9A9E-664AD8C1D536}">
  <sheetPr>
    <tabColor rgb="FF7030A0"/>
  </sheetPr>
  <dimension ref="A1:AA6"/>
  <sheetViews>
    <sheetView topLeftCell="J1" workbookViewId="0">
      <selection activeCell="X11" sqref="X11"/>
    </sheetView>
  </sheetViews>
  <sheetFormatPr baseColWidth="10" defaultColWidth="11.42578125" defaultRowHeight="15"/>
  <cols>
    <col min="1" max="1" width="12.7109375" customWidth="1"/>
    <col min="14" max="14" width="16.7109375" bestFit="1" customWidth="1"/>
  </cols>
  <sheetData>
    <row r="1" spans="1:27" s="386" customFormat="1" ht="26.25" thickBot="1">
      <c r="A1" s="389" t="s">
        <v>512</v>
      </c>
      <c r="B1" s="389">
        <v>2020</v>
      </c>
      <c r="C1" s="389">
        <v>2021</v>
      </c>
      <c r="D1" s="389">
        <v>2022</v>
      </c>
      <c r="E1" s="389">
        <v>2023</v>
      </c>
      <c r="F1" s="389">
        <v>2024</v>
      </c>
      <c r="G1" s="389" t="s">
        <v>1001</v>
      </c>
      <c r="H1" s="390"/>
      <c r="I1" s="391" t="s">
        <v>1002</v>
      </c>
      <c r="J1" s="391" t="s">
        <v>1003</v>
      </c>
      <c r="K1" s="391" t="s">
        <v>1004</v>
      </c>
      <c r="L1" s="391" t="s">
        <v>1005</v>
      </c>
      <c r="M1" s="391"/>
      <c r="O1" s="391" t="s">
        <v>1006</v>
      </c>
      <c r="P1" s="391" t="s">
        <v>1007</v>
      </c>
      <c r="Q1" s="391" t="s">
        <v>1008</v>
      </c>
      <c r="R1" s="391" t="s">
        <v>1009</v>
      </c>
      <c r="S1" s="391" t="s">
        <v>1010</v>
      </c>
      <c r="T1" s="391" t="s">
        <v>1011</v>
      </c>
      <c r="U1" s="391" t="s">
        <v>1012</v>
      </c>
      <c r="V1" s="391" t="s">
        <v>1013</v>
      </c>
      <c r="W1" s="391" t="s">
        <v>1014</v>
      </c>
      <c r="X1" s="391" t="s">
        <v>1015</v>
      </c>
      <c r="Y1" s="391" t="s">
        <v>1016</v>
      </c>
      <c r="Z1" s="391" t="s">
        <v>1017</v>
      </c>
    </row>
    <row r="2" spans="1:27" ht="15.75" thickBot="1">
      <c r="A2" s="392" t="s">
        <v>1018</v>
      </c>
      <c r="B2" s="393">
        <v>2000</v>
      </c>
      <c r="C2" s="394">
        <v>7000</v>
      </c>
      <c r="D2" s="395">
        <v>7000</v>
      </c>
      <c r="E2" s="396">
        <v>7000</v>
      </c>
      <c r="F2" s="397">
        <v>3100</v>
      </c>
      <c r="G2" s="392">
        <f t="shared" ref="G2:G6" si="0">SUM(B2:F2)</f>
        <v>26100</v>
      </c>
      <c r="H2" s="120"/>
      <c r="I2" s="398">
        <f>'Meta 1'!D35+'Meta 1'!E35+'Meta 1'!F35</f>
        <v>1481</v>
      </c>
      <c r="J2" s="398">
        <f>'Meta 1'!G35+'Meta 1'!H35+'Meta 1'!I35</f>
        <v>2363</v>
      </c>
      <c r="K2" s="398">
        <v>0</v>
      </c>
      <c r="L2" s="398">
        <v>0</v>
      </c>
      <c r="M2" s="366">
        <f>SUM(I2:L2)</f>
        <v>3844</v>
      </c>
      <c r="O2" s="398">
        <f>'Meta 1'!D34</f>
        <v>0</v>
      </c>
      <c r="P2" s="398">
        <f>'Meta 1'!E34</f>
        <v>500</v>
      </c>
      <c r="Q2" s="398">
        <f>'Meta 1'!F34</f>
        <v>700</v>
      </c>
      <c r="R2" s="398">
        <f>'Meta 1'!G34</f>
        <v>700</v>
      </c>
      <c r="S2" s="398">
        <f>'Meta 1'!H34</f>
        <v>700</v>
      </c>
      <c r="T2" s="398">
        <f>'Meta 1'!I34</f>
        <v>700</v>
      </c>
      <c r="U2" s="398">
        <f>'Meta 1'!J34</f>
        <v>700</v>
      </c>
      <c r="V2" s="398">
        <f>'Meta 1'!K34</f>
        <v>700</v>
      </c>
      <c r="W2" s="398">
        <f>'Meta 1'!L34</f>
        <v>700</v>
      </c>
      <c r="X2" s="398">
        <f>'Meta 1'!M34</f>
        <v>700</v>
      </c>
      <c r="Y2" s="398">
        <f>'Meta 1'!N34</f>
        <v>700</v>
      </c>
      <c r="Z2" s="398">
        <f>'Meta 1'!O34</f>
        <v>200</v>
      </c>
      <c r="AA2" s="411">
        <f>SUM(O2:Z2)</f>
        <v>7000</v>
      </c>
    </row>
    <row r="3" spans="1:27">
      <c r="A3" s="392" t="s">
        <v>1019</v>
      </c>
      <c r="B3" s="393">
        <v>15</v>
      </c>
      <c r="C3" s="394">
        <v>31</v>
      </c>
      <c r="D3" s="395">
        <v>31</v>
      </c>
      <c r="E3" s="396">
        <v>23</v>
      </c>
      <c r="F3" s="397">
        <v>0</v>
      </c>
      <c r="G3" s="392">
        <f t="shared" si="0"/>
        <v>100</v>
      </c>
      <c r="H3" s="120"/>
      <c r="I3" s="399">
        <f>('Meta 2'!D35+'Meta 2'!E35+'Meta 2'!F35)*100/13</f>
        <v>0</v>
      </c>
      <c r="J3" s="399">
        <f>('Meta 2'!G35+'Meta 2'!H35+'Meta 2'!I35)*100/13</f>
        <v>0</v>
      </c>
      <c r="K3" s="399">
        <f>('Meta 2'!J35+'Meta 2'!K35+'Meta 2'!L35)*100/13</f>
        <v>0</v>
      </c>
      <c r="L3" s="399">
        <f>('Meta 2'!M35+'Meta 2'!N35+'Meta 2'!O35)*100/13</f>
        <v>0</v>
      </c>
      <c r="M3" s="400">
        <f>SUM(I3:L3)</f>
        <v>0</v>
      </c>
      <c r="O3" s="399">
        <f>(('Meta 2'!D35)*100)/13</f>
        <v>0</v>
      </c>
      <c r="P3" s="399">
        <f>(('Meta 2'!E35)*100)/13</f>
        <v>0</v>
      </c>
      <c r="Q3" s="399">
        <f>(('Meta 2'!F35)*100)/13</f>
        <v>0</v>
      </c>
      <c r="R3" s="399">
        <f>(('Meta 2'!G35)*100)/13</f>
        <v>0</v>
      </c>
      <c r="S3" s="399">
        <f>(('Meta 2'!H35)*100)/13</f>
        <v>0</v>
      </c>
      <c r="T3" s="399">
        <f>(('Meta 2'!I35)*100)/13</f>
        <v>0</v>
      </c>
      <c r="U3" s="399">
        <f>(('Meta 2'!J35)*100)/13</f>
        <v>0</v>
      </c>
      <c r="V3" s="399">
        <f>(('Meta 2'!K35)*100)/13</f>
        <v>0</v>
      </c>
      <c r="W3" s="399">
        <f>(('Meta 2'!L35)*100)/13</f>
        <v>0</v>
      </c>
      <c r="X3" s="399">
        <f>(('Meta 2'!M35)*100)/13</f>
        <v>0</v>
      </c>
      <c r="Y3" s="399">
        <f>(('Meta 2'!N35)*100)/13</f>
        <v>0</v>
      </c>
      <c r="Z3" s="399">
        <f>(('Meta 2'!O35)*100)/13</f>
        <v>0</v>
      </c>
      <c r="AA3" s="412">
        <f t="shared" ref="AA3:AA4" si="1">SUM(O3:Z3)</f>
        <v>0</v>
      </c>
    </row>
    <row r="4" spans="1:27" ht="15.75" thickBot="1">
      <c r="A4" s="401" t="s">
        <v>1020</v>
      </c>
      <c r="B4" s="402">
        <v>20</v>
      </c>
      <c r="C4" s="403">
        <v>20</v>
      </c>
      <c r="D4" s="404">
        <v>20</v>
      </c>
      <c r="E4" s="405">
        <v>20</v>
      </c>
      <c r="F4" s="406">
        <v>20</v>
      </c>
      <c r="G4" s="401">
        <f t="shared" si="0"/>
        <v>100</v>
      </c>
      <c r="H4" s="120"/>
      <c r="I4" s="399">
        <f>(('Meta 3'!D35+'Meta 3'!E35+'Meta 3'!F35)*20)/0.2</f>
        <v>2.9920000000000004</v>
      </c>
      <c r="J4" s="399">
        <f>(('Meta 3'!G35+'Meta 3'!H35+'Meta 3'!I35)*20)/0.2</f>
        <v>5.8880000000000017</v>
      </c>
      <c r="K4" s="399">
        <f>(('Meta 3'!J35+'Meta 3'!K35+'Meta 3'!L35)*20)/0.2</f>
        <v>3.9440000000000008</v>
      </c>
      <c r="L4" s="399">
        <f>(('Meta 3'!M35+'Meta 3'!N35+'Meta 3'!O35)*20)/0.2</f>
        <v>0</v>
      </c>
      <c r="M4" s="343">
        <f>SUM(I4:L4)</f>
        <v>12.824000000000003</v>
      </c>
      <c r="O4" s="399">
        <f>(('Meta 3'!D35)*20)/0.2</f>
        <v>0</v>
      </c>
      <c r="P4" s="399">
        <f>(('Meta 3'!E35)*20)/0.2</f>
        <v>1.0480000000000003</v>
      </c>
      <c r="Q4" s="399">
        <f>(('Meta 3'!F35)*20)/0.2</f>
        <v>1.9440000000000006</v>
      </c>
      <c r="R4" s="399">
        <f>(('Meta 3'!G35)*20)/0.2</f>
        <v>1.7280000000000006</v>
      </c>
      <c r="S4" s="399">
        <f>(('Meta 3'!H35)*20)/0.2</f>
        <v>2.0000000000000004</v>
      </c>
      <c r="T4" s="399">
        <f>(('Meta 3'!I35)*20)/0.2</f>
        <v>2.1600000000000006</v>
      </c>
      <c r="U4" s="399">
        <f>(('Meta 3'!J35)*20)/0.2</f>
        <v>1.9440000000000006</v>
      </c>
      <c r="V4" s="399">
        <f>(('Meta 3'!K35)*20)/0.2</f>
        <v>2.0000000000000004</v>
      </c>
      <c r="W4" s="399">
        <f>(('Meta 3'!L35)*20)/0.2</f>
        <v>0</v>
      </c>
      <c r="X4" s="399">
        <f>(('Meta 3'!M35)*20)/0.2</f>
        <v>0</v>
      </c>
      <c r="Y4" s="399">
        <f>(('Meta 3'!N35)*20)/0.2</f>
        <v>0</v>
      </c>
      <c r="Z4" s="399">
        <f>(('Meta 3'!O35)*20)/0.2</f>
        <v>0</v>
      </c>
      <c r="AA4" s="412">
        <f t="shared" si="1"/>
        <v>12.824000000000003</v>
      </c>
    </row>
    <row r="5" spans="1:27">
      <c r="A5" s="392" t="s">
        <v>1021</v>
      </c>
      <c r="B5" s="393">
        <f t="shared" ref="B5:F5" si="2">AVERAGE(B3:B4)</f>
        <v>17.5</v>
      </c>
      <c r="C5" s="394">
        <f t="shared" si="2"/>
        <v>25.5</v>
      </c>
      <c r="D5" s="395">
        <f t="shared" si="2"/>
        <v>25.5</v>
      </c>
      <c r="E5" s="396">
        <f t="shared" si="2"/>
        <v>21.5</v>
      </c>
      <c r="F5" s="397">
        <f t="shared" si="2"/>
        <v>10</v>
      </c>
      <c r="G5" s="392">
        <f t="shared" si="0"/>
        <v>100</v>
      </c>
      <c r="H5" s="120"/>
      <c r="I5" s="424">
        <f>AVERAGE(I3,I4)</f>
        <v>1.4960000000000002</v>
      </c>
      <c r="J5" s="407">
        <f>AVERAGE(J3,J4)</f>
        <v>2.9440000000000008</v>
      </c>
      <c r="K5" s="407">
        <f>AVERAGE(K3,K4)</f>
        <v>1.9720000000000004</v>
      </c>
      <c r="L5" s="407">
        <f>AVERAGE(L3,L4)</f>
        <v>0</v>
      </c>
      <c r="M5" s="343">
        <f>AVERAGE(M3:M4)</f>
        <v>6.4120000000000017</v>
      </c>
      <c r="N5" s="408"/>
      <c r="O5" s="407">
        <f>AVERAGE(O3,O4)</f>
        <v>0</v>
      </c>
      <c r="P5" s="424">
        <f>AVERAGE(P3,P4)</f>
        <v>0.52400000000000013</v>
      </c>
      <c r="Q5" s="407">
        <f>AVERAGE(Q3,Q4)</f>
        <v>0.97200000000000031</v>
      </c>
      <c r="R5" s="407">
        <f t="shared" ref="R5:Y5" si="3">AVERAGE(R3,R4)</f>
        <v>0.86400000000000032</v>
      </c>
      <c r="S5" s="407">
        <f t="shared" si="3"/>
        <v>1.0000000000000002</v>
      </c>
      <c r="T5" s="407">
        <f t="shared" si="3"/>
        <v>1.0800000000000003</v>
      </c>
      <c r="U5" s="407">
        <f t="shared" si="3"/>
        <v>0.97200000000000031</v>
      </c>
      <c r="V5" s="407">
        <f t="shared" si="3"/>
        <v>1.0000000000000002</v>
      </c>
      <c r="W5" s="407">
        <f t="shared" si="3"/>
        <v>0</v>
      </c>
      <c r="X5" s="407">
        <f t="shared" si="3"/>
        <v>0</v>
      </c>
      <c r="Y5" s="407">
        <f t="shared" si="3"/>
        <v>0</v>
      </c>
      <c r="Z5" s="407">
        <f>AVERAGE(Z3,Z4)</f>
        <v>0</v>
      </c>
      <c r="AA5" s="678">
        <f>SUM(O5:Z5)</f>
        <v>6.4120000000000017</v>
      </c>
    </row>
    <row r="6" spans="1:27" ht="15.75" thickBot="1">
      <c r="A6" s="401" t="s">
        <v>1022</v>
      </c>
      <c r="B6" s="402">
        <v>18</v>
      </c>
      <c r="C6" s="403">
        <v>25</v>
      </c>
      <c r="D6" s="404">
        <v>25</v>
      </c>
      <c r="E6" s="405">
        <v>22</v>
      </c>
      <c r="F6" s="406">
        <v>10</v>
      </c>
      <c r="G6" s="401">
        <f t="shared" si="0"/>
        <v>100</v>
      </c>
      <c r="H6" s="120"/>
      <c r="I6" s="120"/>
      <c r="J6" s="120"/>
      <c r="K6" s="120"/>
      <c r="L6" s="120"/>
      <c r="P6" s="488">
        <f>P5+Q5</f>
        <v>1.4960000000000004</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1"/>
  <sheetViews>
    <sheetView topLeftCell="B6" zoomScale="90" zoomScaleNormal="90" workbookViewId="0">
      <selection activeCell="E15" sqref="E15:F15"/>
    </sheetView>
  </sheetViews>
  <sheetFormatPr baseColWidth="10" defaultColWidth="10.85546875" defaultRowHeight="15"/>
  <cols>
    <col min="1" max="1" width="48.28515625" style="126" customWidth="1"/>
    <col min="2" max="2" width="73.42578125" style="126" customWidth="1"/>
    <col min="3" max="3" width="10.85546875" style="126"/>
    <col min="4" max="4" width="31.140625" style="126" customWidth="1"/>
    <col min="5" max="5" width="70.140625" style="126" customWidth="1"/>
    <col min="6" max="6" width="17.28515625" style="126" customWidth="1"/>
    <col min="7" max="8" width="21.85546875" style="126" customWidth="1"/>
    <col min="9" max="9" width="19.28515625" style="126" customWidth="1"/>
    <col min="10" max="10" width="42" style="126" customWidth="1"/>
    <col min="11" max="16384" width="10.85546875" style="126"/>
  </cols>
  <sheetData>
    <row r="1" spans="1:2" ht="25.5" customHeight="1">
      <c r="A1" s="1269" t="s">
        <v>351</v>
      </c>
      <c r="B1" s="1270"/>
    </row>
    <row r="2" spans="1:2" ht="25.5" customHeight="1">
      <c r="A2" s="1271" t="s">
        <v>1023</v>
      </c>
      <c r="B2" s="1272"/>
    </row>
    <row r="3" spans="1:2">
      <c r="A3" s="127" t="s">
        <v>1024</v>
      </c>
      <c r="B3" s="127" t="s">
        <v>1025</v>
      </c>
    </row>
    <row r="4" spans="1:2">
      <c r="A4" s="128" t="s">
        <v>9</v>
      </c>
      <c r="B4" s="136" t="s">
        <v>1026</v>
      </c>
    </row>
    <row r="5" spans="1:2" ht="105">
      <c r="A5" s="128" t="s">
        <v>10</v>
      </c>
      <c r="B5" s="135" t="s">
        <v>1027</v>
      </c>
    </row>
    <row r="6" spans="1:2">
      <c r="A6" s="128" t="s">
        <v>15</v>
      </c>
      <c r="B6" s="1273" t="s">
        <v>1028</v>
      </c>
    </row>
    <row r="7" spans="1:2">
      <c r="A7" s="128" t="s">
        <v>17</v>
      </c>
      <c r="B7" s="1274"/>
    </row>
    <row r="8" spans="1:2">
      <c r="A8" s="128" t="s">
        <v>19</v>
      </c>
      <c r="B8" s="1274"/>
    </row>
    <row r="9" spans="1:2">
      <c r="A9" s="128" t="s">
        <v>1029</v>
      </c>
      <c r="B9" s="1275"/>
    </row>
    <row r="10" spans="1:2" ht="30">
      <c r="A10" s="128" t="s">
        <v>7</v>
      </c>
      <c r="B10" s="129" t="s">
        <v>1030</v>
      </c>
    </row>
    <row r="11" spans="1:2" ht="45">
      <c r="A11" s="128" t="s">
        <v>27</v>
      </c>
      <c r="B11" s="129" t="s">
        <v>1031</v>
      </c>
    </row>
    <row r="12" spans="1:2" ht="60">
      <c r="A12" s="128" t="s">
        <v>26</v>
      </c>
      <c r="B12" s="130" t="s">
        <v>1032</v>
      </c>
    </row>
    <row r="13" spans="1:2" ht="30">
      <c r="A13" s="128" t="s">
        <v>1033</v>
      </c>
      <c r="B13" s="130" t="s">
        <v>1034</v>
      </c>
    </row>
    <row r="14" spans="1:2" ht="45">
      <c r="A14" s="128" t="s">
        <v>1035</v>
      </c>
      <c r="B14" s="130" t="s">
        <v>1036</v>
      </c>
    </row>
    <row r="15" spans="1:2" ht="72" customHeight="1">
      <c r="A15" s="131" t="s">
        <v>1037</v>
      </c>
      <c r="B15" s="132" t="s">
        <v>1038</v>
      </c>
    </row>
    <row r="16" spans="1:2" ht="194.25">
      <c r="A16" s="131" t="s">
        <v>1039</v>
      </c>
      <c r="B16" s="133" t="s">
        <v>1040</v>
      </c>
    </row>
    <row r="17" spans="1:2" ht="25.5" customHeight="1">
      <c r="A17" s="1271" t="s">
        <v>1041</v>
      </c>
      <c r="B17" s="1272"/>
    </row>
    <row r="18" spans="1:2">
      <c r="A18" s="127" t="s">
        <v>1024</v>
      </c>
      <c r="B18" s="127" t="s">
        <v>1025</v>
      </c>
    </row>
    <row r="19" spans="1:2">
      <c r="A19" s="128" t="s">
        <v>9</v>
      </c>
      <c r="B19" s="136" t="s">
        <v>1026</v>
      </c>
    </row>
    <row r="20" spans="1:2" ht="105">
      <c r="A20" s="128" t="s">
        <v>10</v>
      </c>
      <c r="B20" s="135" t="s">
        <v>1027</v>
      </c>
    </row>
    <row r="21" spans="1:2" ht="30">
      <c r="A21" s="128" t="s">
        <v>1042</v>
      </c>
      <c r="B21" s="130" t="s">
        <v>1043</v>
      </c>
    </row>
    <row r="22" spans="1:2" ht="45">
      <c r="A22" s="128" t="s">
        <v>1044</v>
      </c>
      <c r="B22" s="130" t="s">
        <v>1045</v>
      </c>
    </row>
    <row r="23" spans="1:2" ht="75">
      <c r="A23" s="128" t="s">
        <v>1046</v>
      </c>
      <c r="B23" s="130" t="s">
        <v>1047</v>
      </c>
    </row>
    <row r="24" spans="1:2" ht="30">
      <c r="A24" s="128" t="s">
        <v>1048</v>
      </c>
      <c r="B24" s="130" t="s">
        <v>1049</v>
      </c>
    </row>
    <row r="25" spans="1:2" ht="30">
      <c r="A25" s="128" t="s">
        <v>1050</v>
      </c>
      <c r="B25" s="130" t="s">
        <v>1051</v>
      </c>
    </row>
    <row r="26" spans="1:2" ht="45.95" customHeight="1">
      <c r="A26" s="128" t="s">
        <v>1052</v>
      </c>
      <c r="B26" s="134" t="s">
        <v>1053</v>
      </c>
    </row>
    <row r="27" spans="1:2" ht="75">
      <c r="A27" s="128" t="s">
        <v>363</v>
      </c>
      <c r="B27" s="134" t="s">
        <v>1054</v>
      </c>
    </row>
    <row r="28" spans="1:2" ht="45">
      <c r="A28" s="128" t="s">
        <v>1055</v>
      </c>
      <c r="B28" s="134" t="s">
        <v>1056</v>
      </c>
    </row>
    <row r="29" spans="1:2" ht="45">
      <c r="A29" s="128" t="s">
        <v>1057</v>
      </c>
      <c r="B29" s="134" t="s">
        <v>1058</v>
      </c>
    </row>
    <row r="30" spans="1:2" ht="45">
      <c r="A30" s="128" t="s">
        <v>1059</v>
      </c>
      <c r="B30" s="134" t="s">
        <v>1060</v>
      </c>
    </row>
    <row r="31" spans="1:2" ht="144" customHeight="1">
      <c r="A31" s="128" t="s">
        <v>1061</v>
      </c>
      <c r="B31" s="134" t="s">
        <v>1062</v>
      </c>
    </row>
    <row r="32" spans="1:2" ht="30">
      <c r="A32" s="128" t="s">
        <v>1063</v>
      </c>
      <c r="B32" s="134" t="s">
        <v>1064</v>
      </c>
    </row>
    <row r="33" spans="1:2" ht="30">
      <c r="A33" s="128" t="s">
        <v>1065</v>
      </c>
      <c r="B33" s="134" t="s">
        <v>1066</v>
      </c>
    </row>
    <row r="34" spans="1:2" ht="30">
      <c r="A34" s="128" t="s">
        <v>1067</v>
      </c>
      <c r="B34" s="134" t="s">
        <v>1068</v>
      </c>
    </row>
    <row r="35" spans="1:2" ht="30">
      <c r="A35" s="128" t="s">
        <v>1069</v>
      </c>
      <c r="B35" s="134" t="s">
        <v>1070</v>
      </c>
    </row>
    <row r="36" spans="1:2" ht="90">
      <c r="A36" s="128" t="s">
        <v>353</v>
      </c>
      <c r="B36" s="134" t="s">
        <v>1071</v>
      </c>
    </row>
    <row r="37" spans="1:2" ht="45">
      <c r="A37" s="128" t="s">
        <v>1072</v>
      </c>
      <c r="B37" s="134" t="s">
        <v>1073</v>
      </c>
    </row>
    <row r="38" spans="1:2" ht="42.75">
      <c r="A38" s="131" t="s">
        <v>355</v>
      </c>
      <c r="B38" s="134" t="s">
        <v>1074</v>
      </c>
    </row>
    <row r="39" spans="1:2" ht="25.5" customHeight="1">
      <c r="A39" s="1271" t="s">
        <v>1075</v>
      </c>
      <c r="B39" s="1272"/>
    </row>
    <row r="40" spans="1:2">
      <c r="A40" s="1269" t="s">
        <v>1076</v>
      </c>
      <c r="B40" s="1270"/>
    </row>
    <row r="41" spans="1:2" ht="72" customHeight="1">
      <c r="A41" s="1267" t="s">
        <v>1077</v>
      </c>
      <c r="B41" s="1268"/>
    </row>
  </sheetData>
  <mergeCells count="7">
    <mergeCell ref="A41:B41"/>
    <mergeCell ref="A1:B1"/>
    <mergeCell ref="A2:B2"/>
    <mergeCell ref="B6:B9"/>
    <mergeCell ref="A17:B17"/>
    <mergeCell ref="A39:B39"/>
    <mergeCell ref="A40:B4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6"/>
  <sheetViews>
    <sheetView zoomScale="91" workbookViewId="0">
      <selection activeCell="E15" sqref="E15:F15"/>
    </sheetView>
  </sheetViews>
  <sheetFormatPr baseColWidth="10" defaultColWidth="11.42578125" defaultRowHeight="15"/>
  <cols>
    <col min="1" max="1" width="44.140625" style="108" customWidth="1"/>
    <col min="2" max="2" width="61.85546875" style="108" customWidth="1"/>
    <col min="3" max="3" width="61.140625" style="108" customWidth="1"/>
    <col min="4" max="4" width="81" style="108" customWidth="1"/>
    <col min="5" max="5" width="32.85546875" style="126"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14" customFormat="1">
      <c r="A1" s="113" t="s">
        <v>1078</v>
      </c>
      <c r="B1" s="113" t="s">
        <v>1079</v>
      </c>
      <c r="C1" s="113" t="s">
        <v>1080</v>
      </c>
      <c r="D1" s="113" t="s">
        <v>1081</v>
      </c>
      <c r="E1" s="113" t="s">
        <v>1059</v>
      </c>
      <c r="F1" s="113" t="s">
        <v>1082</v>
      </c>
      <c r="G1" s="113" t="s">
        <v>1083</v>
      </c>
      <c r="H1" s="113" t="s">
        <v>279</v>
      </c>
      <c r="I1" s="113" t="s">
        <v>1050</v>
      </c>
    </row>
    <row r="2" spans="1:9" s="114" customFormat="1">
      <c r="A2" s="115" t="s">
        <v>1084</v>
      </c>
      <c r="B2" s="111" t="s">
        <v>1085</v>
      </c>
      <c r="C2" s="115" t="s">
        <v>1086</v>
      </c>
      <c r="D2" s="116" t="s">
        <v>1087</v>
      </c>
      <c r="E2" s="112" t="s">
        <v>1088</v>
      </c>
      <c r="F2" s="117" t="s">
        <v>1089</v>
      </c>
      <c r="G2" s="118" t="s">
        <v>1090</v>
      </c>
      <c r="H2" s="118" t="s">
        <v>1091</v>
      </c>
      <c r="I2" s="117" t="s">
        <v>1092</v>
      </c>
    </row>
    <row r="3" spans="1:9">
      <c r="A3" s="115" t="s">
        <v>1093</v>
      </c>
      <c r="B3" s="111" t="s">
        <v>1094</v>
      </c>
      <c r="C3" s="115" t="s">
        <v>1095</v>
      </c>
      <c r="D3" s="119" t="s">
        <v>1096</v>
      </c>
      <c r="E3" s="112" t="s">
        <v>1097</v>
      </c>
      <c r="F3" s="117" t="s">
        <v>1098</v>
      </c>
      <c r="G3" s="118" t="s">
        <v>1099</v>
      </c>
      <c r="H3" s="118" t="s">
        <v>291</v>
      </c>
      <c r="I3" s="117" t="s">
        <v>1100</v>
      </c>
    </row>
    <row r="4" spans="1:9">
      <c r="A4" s="115" t="s">
        <v>766</v>
      </c>
      <c r="B4" s="111" t="s">
        <v>1101</v>
      </c>
      <c r="C4" s="115" t="s">
        <v>1102</v>
      </c>
      <c r="D4" s="119" t="s">
        <v>1103</v>
      </c>
      <c r="E4" s="112" t="s">
        <v>1104</v>
      </c>
      <c r="F4" s="117" t="s">
        <v>1105</v>
      </c>
      <c r="G4" s="118" t="s">
        <v>1106</v>
      </c>
      <c r="H4" s="118" t="s">
        <v>1107</v>
      </c>
      <c r="I4" s="117" t="s">
        <v>1108</v>
      </c>
    </row>
    <row r="5" spans="1:9">
      <c r="A5" s="115" t="s">
        <v>1109</v>
      </c>
      <c r="B5" s="111" t="s">
        <v>1110</v>
      </c>
      <c r="C5" s="115" t="s">
        <v>1111</v>
      </c>
      <c r="D5" s="119" t="s">
        <v>1112</v>
      </c>
      <c r="E5" s="112" t="s">
        <v>1113</v>
      </c>
      <c r="F5" s="117" t="s">
        <v>1114</v>
      </c>
      <c r="G5" s="118" t="s">
        <v>1115</v>
      </c>
      <c r="H5" s="118" t="s">
        <v>287</v>
      </c>
      <c r="I5" s="117" t="s">
        <v>1116</v>
      </c>
    </row>
    <row r="6" spans="1:9" ht="30">
      <c r="A6" s="115" t="s">
        <v>1117</v>
      </c>
      <c r="B6" s="111" t="s">
        <v>1118</v>
      </c>
      <c r="C6" s="115" t="s">
        <v>1119</v>
      </c>
      <c r="D6" s="119" t="s">
        <v>1120</v>
      </c>
      <c r="E6" s="112" t="s">
        <v>1121</v>
      </c>
      <c r="G6" s="118" t="s">
        <v>1122</v>
      </c>
      <c r="H6" s="118" t="s">
        <v>288</v>
      </c>
      <c r="I6" s="117" t="s">
        <v>1123</v>
      </c>
    </row>
    <row r="7" spans="1:9" ht="30">
      <c r="B7" s="111" t="s">
        <v>1124</v>
      </c>
      <c r="C7" s="115" t="s">
        <v>1125</v>
      </c>
      <c r="D7" s="119" t="s">
        <v>1126</v>
      </c>
      <c r="E7" s="117" t="s">
        <v>1127</v>
      </c>
      <c r="G7" s="112" t="s">
        <v>297</v>
      </c>
      <c r="H7" s="118" t="s">
        <v>289</v>
      </c>
      <c r="I7" s="117" t="s">
        <v>1128</v>
      </c>
    </row>
    <row r="8" spans="1:9" ht="30">
      <c r="A8" s="120"/>
      <c r="B8" s="111" t="s">
        <v>1129</v>
      </c>
      <c r="C8" s="115" t="s">
        <v>1130</v>
      </c>
      <c r="D8" s="119" t="s">
        <v>1131</v>
      </c>
      <c r="E8" s="117" t="s">
        <v>1132</v>
      </c>
      <c r="I8" s="117" t="s">
        <v>1133</v>
      </c>
    </row>
    <row r="9" spans="1:9" ht="32.1" customHeight="1">
      <c r="A9" s="120"/>
      <c r="B9" s="111" t="s">
        <v>1134</v>
      </c>
      <c r="C9" s="115" t="s">
        <v>1135</v>
      </c>
      <c r="D9" s="119" t="s">
        <v>1136</v>
      </c>
      <c r="E9" s="117" t="s">
        <v>1137</v>
      </c>
      <c r="I9" s="117" t="s">
        <v>1138</v>
      </c>
    </row>
    <row r="10" spans="1:9">
      <c r="A10" s="120"/>
      <c r="B10" s="111" t="s">
        <v>1139</v>
      </c>
      <c r="C10" s="115" t="s">
        <v>1140</v>
      </c>
      <c r="D10" s="119" t="s">
        <v>1141</v>
      </c>
      <c r="E10" s="117" t="s">
        <v>1142</v>
      </c>
      <c r="I10" s="117" t="s">
        <v>1143</v>
      </c>
    </row>
    <row r="11" spans="1:9">
      <c r="A11" s="120"/>
      <c r="B11" s="111" t="s">
        <v>1144</v>
      </c>
      <c r="C11" s="115" t="s">
        <v>1145</v>
      </c>
      <c r="D11" s="119" t="s">
        <v>1146</v>
      </c>
      <c r="E11" s="117" t="s">
        <v>1147</v>
      </c>
      <c r="I11" s="117" t="s">
        <v>1148</v>
      </c>
    </row>
    <row r="12" spans="1:9" ht="30">
      <c r="A12" s="120"/>
      <c r="B12" s="111" t="s">
        <v>1149</v>
      </c>
      <c r="C12" s="115" t="s">
        <v>1150</v>
      </c>
      <c r="D12" s="119" t="s">
        <v>1151</v>
      </c>
      <c r="E12" s="117" t="s">
        <v>1152</v>
      </c>
      <c r="I12" s="117" t="s">
        <v>1153</v>
      </c>
    </row>
    <row r="13" spans="1:9">
      <c r="A13" s="120"/>
      <c r="B13" s="166" t="s">
        <v>1154</v>
      </c>
      <c r="D13" s="119" t="s">
        <v>1155</v>
      </c>
      <c r="E13" s="117" t="s">
        <v>1156</v>
      </c>
      <c r="I13" s="117" t="s">
        <v>1157</v>
      </c>
    </row>
    <row r="14" spans="1:9">
      <c r="A14" s="120"/>
      <c r="B14" s="111" t="s">
        <v>1158</v>
      </c>
      <c r="C14" s="120"/>
      <c r="D14" s="119" t="s">
        <v>1159</v>
      </c>
      <c r="E14" s="117" t="s">
        <v>1160</v>
      </c>
    </row>
    <row r="15" spans="1:9">
      <c r="A15" s="120"/>
      <c r="B15" s="111" t="s">
        <v>1161</v>
      </c>
      <c r="C15" s="120"/>
      <c r="D15" s="119" t="s">
        <v>398</v>
      </c>
      <c r="E15" s="117" t="s">
        <v>1162</v>
      </c>
    </row>
    <row r="16" spans="1:9">
      <c r="A16" s="120"/>
      <c r="B16" s="111" t="s">
        <v>1163</v>
      </c>
      <c r="C16" s="120"/>
      <c r="D16" s="119" t="s">
        <v>1164</v>
      </c>
      <c r="E16" s="121"/>
    </row>
    <row r="17" spans="1:5">
      <c r="A17" s="120"/>
      <c r="B17" s="111" t="s">
        <v>1165</v>
      </c>
      <c r="C17" s="120"/>
      <c r="D17" s="119" t="s">
        <v>1166</v>
      </c>
      <c r="E17" s="121"/>
    </row>
    <row r="18" spans="1:5">
      <c r="A18" s="120"/>
      <c r="B18" s="111" t="s">
        <v>1167</v>
      </c>
      <c r="C18" s="120"/>
      <c r="D18" s="119" t="s">
        <v>1168</v>
      </c>
      <c r="E18" s="121"/>
    </row>
    <row r="19" spans="1:5">
      <c r="A19" s="120"/>
      <c r="B19" s="111" t="s">
        <v>1169</v>
      </c>
      <c r="C19" s="120"/>
      <c r="D19" s="119" t="s">
        <v>1170</v>
      </c>
      <c r="E19" s="121"/>
    </row>
    <row r="20" spans="1:5">
      <c r="A20" s="120"/>
      <c r="B20" s="111" t="s">
        <v>1171</v>
      </c>
      <c r="C20" s="120"/>
      <c r="D20" s="119" t="s">
        <v>1172</v>
      </c>
      <c r="E20" s="121"/>
    </row>
    <row r="21" spans="1:5">
      <c r="B21" s="111" t="s">
        <v>1173</v>
      </c>
      <c r="D21" s="119" t="s">
        <v>1174</v>
      </c>
      <c r="E21" s="121"/>
    </row>
    <row r="22" spans="1:5">
      <c r="B22" s="111" t="s">
        <v>1175</v>
      </c>
      <c r="D22" s="119" t="s">
        <v>1176</v>
      </c>
      <c r="E22" s="121"/>
    </row>
    <row r="23" spans="1:5">
      <c r="B23" s="111" t="s">
        <v>1177</v>
      </c>
      <c r="D23" s="119" t="s">
        <v>1178</v>
      </c>
      <c r="E23" s="121"/>
    </row>
    <row r="24" spans="1:5">
      <c r="D24" s="122" t="s">
        <v>1179</v>
      </c>
      <c r="E24" s="122" t="s">
        <v>1180</v>
      </c>
    </row>
    <row r="25" spans="1:5">
      <c r="D25" s="123" t="s">
        <v>1181</v>
      </c>
      <c r="E25" s="117" t="s">
        <v>1182</v>
      </c>
    </row>
    <row r="26" spans="1:5">
      <c r="D26" s="123" t="s">
        <v>796</v>
      </c>
      <c r="E26" s="117" t="s">
        <v>1183</v>
      </c>
    </row>
    <row r="27" spans="1:5">
      <c r="D27" s="1276" t="s">
        <v>1184</v>
      </c>
      <c r="E27" s="117" t="s">
        <v>1185</v>
      </c>
    </row>
    <row r="28" spans="1:5">
      <c r="D28" s="1277"/>
      <c r="E28" s="117" t="s">
        <v>1186</v>
      </c>
    </row>
    <row r="29" spans="1:5">
      <c r="D29" s="1277"/>
      <c r="E29" s="117" t="s">
        <v>1187</v>
      </c>
    </row>
    <row r="30" spans="1:5">
      <c r="D30" s="1278"/>
      <c r="E30" s="117" t="s">
        <v>1188</v>
      </c>
    </row>
    <row r="31" spans="1:5">
      <c r="D31" s="123" t="s">
        <v>1189</v>
      </c>
      <c r="E31" s="117" t="s">
        <v>1190</v>
      </c>
    </row>
    <row r="32" spans="1:5">
      <c r="D32" s="123" t="s">
        <v>1191</v>
      </c>
      <c r="E32" s="117" t="s">
        <v>1192</v>
      </c>
    </row>
    <row r="33" spans="4:5">
      <c r="D33" s="123" t="s">
        <v>1193</v>
      </c>
      <c r="E33" s="117" t="s">
        <v>1194</v>
      </c>
    </row>
    <row r="34" spans="4:5">
      <c r="D34" s="123" t="s">
        <v>1195</v>
      </c>
      <c r="E34" s="117" t="s">
        <v>1196</v>
      </c>
    </row>
    <row r="35" spans="4:5">
      <c r="D35" s="123" t="s">
        <v>1197</v>
      </c>
      <c r="E35" s="117" t="s">
        <v>1198</v>
      </c>
    </row>
    <row r="36" spans="4:5">
      <c r="D36" s="123" t="s">
        <v>1199</v>
      </c>
      <c r="E36" s="117" t="s">
        <v>1200</v>
      </c>
    </row>
    <row r="37" spans="4:5">
      <c r="D37" s="123" t="s">
        <v>1201</v>
      </c>
      <c r="E37" s="117" t="s">
        <v>1202</v>
      </c>
    </row>
    <row r="38" spans="4:5">
      <c r="D38" s="123" t="s">
        <v>1203</v>
      </c>
      <c r="E38" s="117" t="s">
        <v>1204</v>
      </c>
    </row>
    <row r="39" spans="4:5">
      <c r="D39" s="124" t="s">
        <v>1205</v>
      </c>
      <c r="E39" s="117" t="s">
        <v>1206</v>
      </c>
    </row>
    <row r="40" spans="4:5">
      <c r="D40" s="124" t="s">
        <v>1207</v>
      </c>
      <c r="E40" s="117" t="s">
        <v>1208</v>
      </c>
    </row>
    <row r="41" spans="4:5">
      <c r="D41" s="123" t="s">
        <v>1209</v>
      </c>
      <c r="E41" s="117" t="s">
        <v>1210</v>
      </c>
    </row>
    <row r="42" spans="4:5">
      <c r="D42" s="123" t="s">
        <v>1211</v>
      </c>
      <c r="E42" s="117" t="s">
        <v>1212</v>
      </c>
    </row>
    <row r="43" spans="4:5">
      <c r="D43" s="124" t="s">
        <v>1213</v>
      </c>
      <c r="E43" s="117" t="s">
        <v>1214</v>
      </c>
    </row>
    <row r="44" spans="4:5">
      <c r="D44" s="125" t="s">
        <v>1215</v>
      </c>
      <c r="E44" s="117" t="s">
        <v>1216</v>
      </c>
    </row>
    <row r="45" spans="4:5">
      <c r="D45" s="119" t="s">
        <v>1217</v>
      </c>
      <c r="E45" s="117" t="s">
        <v>1218</v>
      </c>
    </row>
    <row r="46" spans="4:5">
      <c r="D46" s="119" t="s">
        <v>1219</v>
      </c>
      <c r="E46" s="117" t="s">
        <v>1220</v>
      </c>
    </row>
    <row r="47" spans="4:5">
      <c r="D47" s="119" t="s">
        <v>1221</v>
      </c>
      <c r="E47" s="117" t="s">
        <v>1222</v>
      </c>
    </row>
    <row r="48" spans="4:5">
      <c r="D48" s="119" t="s">
        <v>1223</v>
      </c>
      <c r="E48" s="117" t="s">
        <v>1224</v>
      </c>
    </row>
    <row r="49" spans="4:4">
      <c r="D49" s="122" t="s">
        <v>1225</v>
      </c>
    </row>
    <row r="50" spans="4:4">
      <c r="D50" s="119" t="s">
        <v>1226</v>
      </c>
    </row>
    <row r="51" spans="4:4">
      <c r="D51" s="119" t="s">
        <v>1227</v>
      </c>
    </row>
    <row r="52" spans="4:4">
      <c r="D52" s="122" t="s">
        <v>1228</v>
      </c>
    </row>
    <row r="53" spans="4:4">
      <c r="D53" s="125" t="s">
        <v>1229</v>
      </c>
    </row>
    <row r="54" spans="4:4">
      <c r="D54" s="125" t="s">
        <v>1230</v>
      </c>
    </row>
    <row r="55" spans="4:4">
      <c r="D55" s="125" t="s">
        <v>1231</v>
      </c>
    </row>
    <row r="56" spans="4:4">
      <c r="D56" s="125" t="s">
        <v>1232</v>
      </c>
    </row>
  </sheetData>
  <mergeCells count="1">
    <mergeCell ref="D27:D3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61194-B07C-4358-95D6-51410D094AD2}">
  <dimension ref="A1:F20"/>
  <sheetViews>
    <sheetView workbookViewId="0">
      <selection activeCell="E17" sqref="E17"/>
    </sheetView>
  </sheetViews>
  <sheetFormatPr baseColWidth="10" defaultColWidth="11.42578125" defaultRowHeight="15"/>
  <sheetData>
    <row r="1" spans="1:6">
      <c r="A1" t="s">
        <v>1233</v>
      </c>
    </row>
    <row r="2" spans="1:6">
      <c r="B2" s="266" t="s">
        <v>31</v>
      </c>
      <c r="C2" s="266" t="s">
        <v>32</v>
      </c>
      <c r="D2" s="266" t="s">
        <v>33</v>
      </c>
    </row>
    <row r="3" spans="1:6">
      <c r="A3" t="s">
        <v>1234</v>
      </c>
      <c r="B3">
        <v>24</v>
      </c>
      <c r="C3">
        <v>158</v>
      </c>
      <c r="D3">
        <v>67</v>
      </c>
      <c r="E3" s="266">
        <f>SUM(B3:D3)</f>
        <v>249</v>
      </c>
      <c r="F3" s="266" t="s">
        <v>1235</v>
      </c>
    </row>
    <row r="4" spans="1:6">
      <c r="A4" t="s">
        <v>1236</v>
      </c>
      <c r="B4">
        <v>1</v>
      </c>
      <c r="C4">
        <v>2</v>
      </c>
      <c r="D4">
        <v>0</v>
      </c>
      <c r="E4" s="266">
        <f t="shared" ref="E4:E17" si="0">SUM(B4:D4)</f>
        <v>3</v>
      </c>
      <c r="F4" s="266" t="s">
        <v>1237</v>
      </c>
    </row>
    <row r="5" spans="1:6">
      <c r="A5" t="s">
        <v>1238</v>
      </c>
      <c r="B5">
        <v>2</v>
      </c>
      <c r="C5">
        <v>2</v>
      </c>
      <c r="D5">
        <v>0</v>
      </c>
      <c r="E5" s="266">
        <f t="shared" si="0"/>
        <v>4</v>
      </c>
      <c r="F5" s="266" t="s">
        <v>1239</v>
      </c>
    </row>
    <row r="6" spans="1:6">
      <c r="A6" t="s">
        <v>1240</v>
      </c>
      <c r="B6">
        <v>25</v>
      </c>
      <c r="C6">
        <v>24</v>
      </c>
      <c r="D6">
        <v>0</v>
      </c>
      <c r="E6" s="266">
        <f t="shared" si="0"/>
        <v>49</v>
      </c>
      <c r="F6" s="266" t="s">
        <v>1241</v>
      </c>
    </row>
    <row r="7" spans="1:6">
      <c r="A7" t="s">
        <v>1242</v>
      </c>
      <c r="B7">
        <v>83</v>
      </c>
      <c r="C7">
        <v>41</v>
      </c>
      <c r="D7">
        <v>3</v>
      </c>
      <c r="E7" s="266">
        <f t="shared" si="0"/>
        <v>127</v>
      </c>
      <c r="F7" s="266" t="s">
        <v>1243</v>
      </c>
    </row>
    <row r="8" spans="1:6">
      <c r="A8" t="s">
        <v>1244</v>
      </c>
      <c r="B8">
        <v>237</v>
      </c>
      <c r="C8">
        <v>341</v>
      </c>
      <c r="D8">
        <v>377</v>
      </c>
      <c r="E8" s="266">
        <f t="shared" si="0"/>
        <v>955</v>
      </c>
      <c r="F8" s="266" t="s">
        <v>1245</v>
      </c>
    </row>
    <row r="9" spans="1:6">
      <c r="A9" t="s">
        <v>1246</v>
      </c>
      <c r="B9">
        <v>148</v>
      </c>
      <c r="C9">
        <v>340</v>
      </c>
      <c r="D9">
        <v>151</v>
      </c>
      <c r="E9" s="266">
        <f t="shared" si="0"/>
        <v>639</v>
      </c>
      <c r="F9" s="266" t="s">
        <v>1247</v>
      </c>
    </row>
    <row r="10" spans="1:6">
      <c r="A10" t="s">
        <v>1248</v>
      </c>
      <c r="B10">
        <v>4</v>
      </c>
      <c r="C10">
        <v>2</v>
      </c>
      <c r="D10">
        <v>6</v>
      </c>
      <c r="E10" s="266">
        <f t="shared" si="0"/>
        <v>12</v>
      </c>
      <c r="F10" s="266" t="s">
        <v>1249</v>
      </c>
    </row>
    <row r="11" spans="1:6">
      <c r="A11" t="s">
        <v>1250</v>
      </c>
      <c r="B11">
        <v>3</v>
      </c>
      <c r="C11">
        <v>0</v>
      </c>
      <c r="D11">
        <v>0</v>
      </c>
      <c r="E11" s="266">
        <f t="shared" si="0"/>
        <v>3</v>
      </c>
      <c r="F11" s="266" t="s">
        <v>1251</v>
      </c>
    </row>
    <row r="12" spans="1:6">
      <c r="A12" t="s">
        <v>1252</v>
      </c>
      <c r="B12">
        <v>4</v>
      </c>
      <c r="C12">
        <v>21</v>
      </c>
      <c r="D12">
        <v>15</v>
      </c>
      <c r="E12" s="266">
        <f t="shared" si="0"/>
        <v>40</v>
      </c>
      <c r="F12" s="266" t="s">
        <v>1253</v>
      </c>
    </row>
    <row r="13" spans="1:6">
      <c r="A13" t="s">
        <v>1254</v>
      </c>
      <c r="B13">
        <v>0</v>
      </c>
      <c r="C13">
        <v>19</v>
      </c>
      <c r="D13">
        <v>55</v>
      </c>
      <c r="E13" s="266">
        <f t="shared" si="0"/>
        <v>74</v>
      </c>
      <c r="F13" s="266" t="s">
        <v>1255</v>
      </c>
    </row>
    <row r="14" spans="1:6">
      <c r="A14" t="s">
        <v>1256</v>
      </c>
      <c r="B14">
        <v>0</v>
      </c>
      <c r="C14">
        <v>0</v>
      </c>
      <c r="D14">
        <v>25</v>
      </c>
      <c r="E14" s="266">
        <f t="shared" si="0"/>
        <v>25</v>
      </c>
      <c r="F14" s="266" t="s">
        <v>1257</v>
      </c>
    </row>
    <row r="15" spans="1:6">
      <c r="A15" t="s">
        <v>1258</v>
      </c>
      <c r="B15">
        <v>0</v>
      </c>
      <c r="C15">
        <v>0</v>
      </c>
      <c r="D15">
        <v>4</v>
      </c>
      <c r="E15" s="266">
        <f t="shared" si="0"/>
        <v>4</v>
      </c>
      <c r="F15" s="266" t="s">
        <v>1259</v>
      </c>
    </row>
    <row r="16" spans="1:6">
      <c r="A16" t="s">
        <v>1260</v>
      </c>
      <c r="B16">
        <v>0</v>
      </c>
      <c r="C16">
        <v>0</v>
      </c>
      <c r="D16">
        <v>30</v>
      </c>
      <c r="E16" s="266">
        <f t="shared" si="0"/>
        <v>30</v>
      </c>
      <c r="F16" s="266" t="s">
        <v>1261</v>
      </c>
    </row>
    <row r="17" spans="1:6">
      <c r="A17" t="s">
        <v>1262</v>
      </c>
      <c r="B17">
        <v>0</v>
      </c>
      <c r="C17">
        <v>0</v>
      </c>
      <c r="D17">
        <v>7</v>
      </c>
      <c r="E17" s="266">
        <f t="shared" si="0"/>
        <v>7</v>
      </c>
      <c r="F17" s="266" t="s">
        <v>1263</v>
      </c>
    </row>
    <row r="19" spans="1:6">
      <c r="B19" s="266">
        <f>SUM(B3:B18)</f>
        <v>531</v>
      </c>
      <c r="C19" s="266">
        <f>SUM(C3:C18)</f>
        <v>950</v>
      </c>
      <c r="D19" s="266">
        <f>SUM(D3:D18)</f>
        <v>740</v>
      </c>
    </row>
    <row r="20" spans="1:6">
      <c r="A20" t="s">
        <v>1264</v>
      </c>
    </row>
  </sheetData>
  <pageMargins left="0.7" right="0.7" top="0.75" bottom="0.75" header="0.3" footer="0.3"/>
  <pageSetup orientation="portrait" horizontalDpi="360"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8.7109375" defaultRowHeight="15"/>
  <cols>
    <col min="1" max="256" width="11.42578125" customWidth="1"/>
  </cols>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6"/>
  <sheetViews>
    <sheetView zoomScale="90" zoomScaleNormal="90" workbookViewId="0">
      <selection activeCell="P9" sqref="P9"/>
    </sheetView>
  </sheetViews>
  <sheetFormatPr baseColWidth="10" defaultColWidth="8.7109375" defaultRowHeight="15"/>
  <cols>
    <col min="1" max="2" width="11.42578125" customWidth="1"/>
    <col min="3" max="3" width="6.85546875" customWidth="1"/>
    <col min="4" max="4" width="8.85546875" customWidth="1"/>
    <col min="5" max="5" width="10.85546875" customWidth="1"/>
    <col min="6" max="256" width="11.42578125" customWidth="1"/>
  </cols>
  <sheetData>
    <row r="1" spans="1:14">
      <c r="B1" t="s">
        <v>1265</v>
      </c>
      <c r="C1" s="1282" t="s">
        <v>1266</v>
      </c>
      <c r="D1" s="1282"/>
      <c r="E1" s="1282"/>
      <c r="F1" s="1282"/>
      <c r="G1" s="1283" t="s">
        <v>1267</v>
      </c>
      <c r="H1" s="1284"/>
      <c r="I1" s="1284"/>
      <c r="J1" s="1285"/>
      <c r="K1" s="1281" t="s">
        <v>1268</v>
      </c>
      <c r="L1" s="1281"/>
      <c r="M1" s="1281"/>
      <c r="N1" s="1281"/>
    </row>
    <row r="2" spans="1:14">
      <c r="C2" s="4"/>
      <c r="D2" s="4"/>
      <c r="E2" s="4"/>
      <c r="F2" s="4" t="s">
        <v>1269</v>
      </c>
      <c r="G2" s="30"/>
      <c r="H2" s="4"/>
      <c r="I2" s="4"/>
      <c r="J2" s="31" t="s">
        <v>1269</v>
      </c>
      <c r="K2" s="4"/>
      <c r="L2" s="4"/>
      <c r="M2" s="4"/>
      <c r="N2" s="4" t="s">
        <v>1269</v>
      </c>
    </row>
    <row r="3" spans="1:14">
      <c r="A3" s="1280" t="s">
        <v>1270</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c r="A4" s="1280"/>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c r="A5" s="1280"/>
      <c r="B5" s="5">
        <v>3</v>
      </c>
      <c r="C5" s="6">
        <v>0.05</v>
      </c>
      <c r="D5" s="6">
        <v>0.05</v>
      </c>
      <c r="E5" s="6">
        <v>0.1</v>
      </c>
      <c r="F5" s="7">
        <f>(C5+D5+E5)</f>
        <v>0.2</v>
      </c>
      <c r="G5" s="32">
        <v>0.1</v>
      </c>
      <c r="H5" s="6">
        <v>0.1</v>
      </c>
      <c r="I5" s="6">
        <v>0.1</v>
      </c>
      <c r="J5" s="33">
        <f>(G5+H5+I5)</f>
        <v>0.30000000000000004</v>
      </c>
      <c r="K5" s="24"/>
      <c r="L5" s="5"/>
      <c r="M5" s="5"/>
      <c r="N5" s="5"/>
    </row>
    <row r="6" spans="1:14">
      <c r="A6" s="1280"/>
      <c r="B6" s="5">
        <v>4</v>
      </c>
      <c r="C6" s="6">
        <v>0.1</v>
      </c>
      <c r="D6" s="6">
        <v>0.1</v>
      </c>
      <c r="E6" s="6">
        <v>0.2</v>
      </c>
      <c r="F6" s="7">
        <f>(C6+D6+E6)</f>
        <v>0.4</v>
      </c>
      <c r="G6" s="32">
        <v>0</v>
      </c>
      <c r="H6" s="6">
        <v>0</v>
      </c>
      <c r="I6" s="6">
        <v>0.1</v>
      </c>
      <c r="J6" s="33">
        <f>(G6+H6+I6)</f>
        <v>0.1</v>
      </c>
      <c r="K6" s="24"/>
      <c r="L6" s="5"/>
      <c r="M6" s="5"/>
      <c r="N6" s="5"/>
    </row>
    <row r="7" spans="1:14">
      <c r="A7" s="1280"/>
      <c r="B7" s="5">
        <v>5</v>
      </c>
      <c r="C7" s="6">
        <v>0</v>
      </c>
      <c r="D7" s="6">
        <v>0</v>
      </c>
      <c r="E7" s="6">
        <v>0</v>
      </c>
      <c r="F7" s="7">
        <f>(C7+D7+E7)</f>
        <v>0</v>
      </c>
      <c r="G7" s="32">
        <v>0</v>
      </c>
      <c r="H7" s="6">
        <v>0</v>
      </c>
      <c r="I7" s="6">
        <v>0</v>
      </c>
      <c r="J7" s="33">
        <f>(G7+H7+I7)</f>
        <v>0</v>
      </c>
      <c r="K7" s="24"/>
      <c r="L7" s="5"/>
      <c r="M7" s="5"/>
      <c r="N7" s="5"/>
    </row>
    <row r="8" spans="1:14">
      <c r="A8" s="1280" t="s">
        <v>1271</v>
      </c>
      <c r="B8" s="9">
        <v>6</v>
      </c>
      <c r="C8" s="10">
        <v>0.1</v>
      </c>
      <c r="D8" s="10">
        <v>0.1</v>
      </c>
      <c r="E8" s="10">
        <v>0.1</v>
      </c>
      <c r="F8" s="11">
        <f>C8+D8+E8</f>
        <v>0.30000000000000004</v>
      </c>
      <c r="G8" s="34"/>
      <c r="H8" s="9"/>
      <c r="I8" s="9"/>
      <c r="J8" s="35"/>
      <c r="K8" s="25"/>
      <c r="L8" s="9"/>
      <c r="M8" s="9"/>
      <c r="N8" s="9"/>
    </row>
    <row r="9" spans="1:14">
      <c r="A9" s="1280"/>
      <c r="B9" s="9">
        <v>7</v>
      </c>
      <c r="C9" s="9"/>
      <c r="D9" s="9"/>
      <c r="E9" s="9"/>
      <c r="F9" s="19"/>
      <c r="G9" s="36"/>
      <c r="H9" s="9"/>
      <c r="I9" s="9"/>
      <c r="J9" s="35"/>
      <c r="K9" s="25"/>
      <c r="L9" s="9"/>
      <c r="M9" s="9"/>
      <c r="N9" s="9"/>
    </row>
    <row r="10" spans="1:14">
      <c r="A10" s="1280"/>
      <c r="B10" s="9">
        <v>8</v>
      </c>
      <c r="C10" s="9"/>
      <c r="D10" s="9"/>
      <c r="E10" s="9"/>
      <c r="F10" s="19"/>
      <c r="G10" s="36"/>
      <c r="H10" s="9"/>
      <c r="I10" s="9"/>
      <c r="J10" s="35"/>
      <c r="K10" s="25"/>
      <c r="L10" s="9"/>
      <c r="M10" s="9"/>
      <c r="N10" s="9"/>
    </row>
    <row r="11" spans="1:14">
      <c r="A11" s="1280"/>
      <c r="B11" s="9">
        <v>9</v>
      </c>
      <c r="C11" s="9"/>
      <c r="D11" s="9"/>
      <c r="E11" s="9"/>
      <c r="F11" s="19"/>
      <c r="G11" s="36"/>
      <c r="H11" s="9"/>
      <c r="I11" s="9"/>
      <c r="J11" s="35"/>
      <c r="K11" s="25"/>
      <c r="L11" s="9"/>
      <c r="M11" s="9"/>
      <c r="N11" s="9"/>
    </row>
    <row r="12" spans="1:14">
      <c r="A12" s="1280" t="s">
        <v>1272</v>
      </c>
      <c r="B12" s="14">
        <v>10</v>
      </c>
      <c r="C12" s="14"/>
      <c r="D12" s="14"/>
      <c r="E12" s="14"/>
      <c r="F12" s="20"/>
      <c r="G12" s="37"/>
      <c r="H12" s="14"/>
      <c r="I12" s="14"/>
      <c r="J12" s="38"/>
      <c r="K12" s="26"/>
      <c r="L12" s="14"/>
      <c r="M12" s="14"/>
      <c r="N12" s="14"/>
    </row>
    <row r="13" spans="1:14">
      <c r="A13" s="1280"/>
      <c r="B13" s="14">
        <v>11</v>
      </c>
      <c r="C13" s="14"/>
      <c r="D13" s="14"/>
      <c r="E13" s="14"/>
      <c r="F13" s="20"/>
      <c r="G13" s="37"/>
      <c r="H13" s="14"/>
      <c r="I13" s="14"/>
      <c r="J13" s="38"/>
      <c r="K13" s="26"/>
      <c r="L13" s="14"/>
      <c r="M13" s="14"/>
      <c r="N13" s="14"/>
    </row>
    <row r="14" spans="1:14">
      <c r="A14" s="1280"/>
      <c r="B14" s="14">
        <v>12</v>
      </c>
      <c r="C14" s="14"/>
      <c r="D14" s="14"/>
      <c r="E14" s="14"/>
      <c r="F14" s="20"/>
      <c r="G14" s="37"/>
      <c r="H14" s="14"/>
      <c r="I14" s="14"/>
      <c r="J14" s="38"/>
      <c r="K14" s="26"/>
      <c r="L14" s="14"/>
      <c r="M14" s="14"/>
      <c r="N14" s="14"/>
    </row>
    <row r="15" spans="1:14">
      <c r="A15" s="1280"/>
      <c r="B15" s="14">
        <v>13</v>
      </c>
      <c r="C15" s="14"/>
      <c r="D15" s="14"/>
      <c r="E15" s="14"/>
      <c r="F15" s="20"/>
      <c r="G15" s="37"/>
      <c r="H15" s="14"/>
      <c r="I15" s="14"/>
      <c r="J15" s="38"/>
      <c r="K15" s="26"/>
      <c r="L15" s="14"/>
      <c r="M15" s="14"/>
      <c r="N15" s="14"/>
    </row>
    <row r="16" spans="1:14">
      <c r="A16" s="1280" t="s">
        <v>1273</v>
      </c>
      <c r="B16" s="15">
        <v>14</v>
      </c>
      <c r="C16" s="15"/>
      <c r="D16" s="15"/>
      <c r="E16" s="15"/>
      <c r="F16" s="21"/>
      <c r="G16" s="39"/>
      <c r="H16" s="15"/>
      <c r="I16" s="15"/>
      <c r="J16" s="40"/>
      <c r="K16" s="27"/>
      <c r="L16" s="15"/>
      <c r="M16" s="15"/>
      <c r="N16" s="15"/>
    </row>
    <row r="17" spans="1:14">
      <c r="A17" s="1280"/>
      <c r="B17" s="15">
        <v>15</v>
      </c>
      <c r="C17" s="15"/>
      <c r="D17" s="15"/>
      <c r="E17" s="15"/>
      <c r="F17" s="21"/>
      <c r="G17" s="39"/>
      <c r="H17" s="15"/>
      <c r="I17" s="15"/>
      <c r="J17" s="40"/>
      <c r="K17" s="27"/>
      <c r="L17" s="15"/>
      <c r="M17" s="15"/>
      <c r="N17" s="15"/>
    </row>
    <row r="18" spans="1:14">
      <c r="A18" s="1280"/>
      <c r="B18" s="15">
        <v>16</v>
      </c>
      <c r="C18" s="15"/>
      <c r="D18" s="15"/>
      <c r="E18" s="15"/>
      <c r="F18" s="21"/>
      <c r="G18" s="39"/>
      <c r="H18" s="15"/>
      <c r="I18" s="15"/>
      <c r="J18" s="40"/>
      <c r="K18" s="27"/>
      <c r="L18" s="15"/>
      <c r="M18" s="15"/>
      <c r="N18" s="15"/>
    </row>
    <row r="19" spans="1:14">
      <c r="A19" s="1280" t="s">
        <v>1274</v>
      </c>
      <c r="B19" s="18">
        <v>17</v>
      </c>
      <c r="C19" s="18"/>
      <c r="D19" s="18"/>
      <c r="E19" s="18"/>
      <c r="F19" s="22"/>
      <c r="G19" s="41"/>
      <c r="H19" s="18"/>
      <c r="I19" s="18"/>
      <c r="J19" s="42"/>
      <c r="K19" s="28"/>
      <c r="L19" s="18"/>
      <c r="M19" s="18"/>
      <c r="N19" s="18"/>
    </row>
    <row r="20" spans="1:14">
      <c r="A20" s="1280"/>
      <c r="B20" s="18">
        <v>18</v>
      </c>
      <c r="C20" s="18"/>
      <c r="D20" s="18"/>
      <c r="E20" s="18"/>
      <c r="F20" s="22"/>
      <c r="G20" s="41"/>
      <c r="H20" s="18"/>
      <c r="I20" s="18"/>
      <c r="J20" s="42"/>
      <c r="K20" s="28"/>
      <c r="L20" s="18"/>
      <c r="M20" s="18"/>
      <c r="N20" s="18"/>
    </row>
    <row r="21" spans="1:14">
      <c r="A21" s="1280"/>
      <c r="B21" s="18">
        <v>19</v>
      </c>
      <c r="C21" s="18"/>
      <c r="D21" s="18"/>
      <c r="E21" s="18"/>
      <c r="F21" s="22"/>
      <c r="G21" s="41"/>
      <c r="H21" s="18"/>
      <c r="I21" s="18"/>
      <c r="J21" s="42"/>
      <c r="K21" s="28"/>
      <c r="L21" s="18"/>
      <c r="M21" s="18"/>
      <c r="N21" s="18"/>
    </row>
    <row r="22" spans="1:14">
      <c r="A22" s="1280"/>
      <c r="B22" s="18">
        <v>20</v>
      </c>
      <c r="C22" s="18"/>
      <c r="D22" s="18"/>
      <c r="E22" s="18"/>
      <c r="F22" s="22"/>
      <c r="G22" s="41"/>
      <c r="H22" s="18"/>
      <c r="I22" s="18"/>
      <c r="J22" s="42"/>
      <c r="K22" s="28"/>
      <c r="L22" s="18"/>
      <c r="M22" s="18"/>
      <c r="N22" s="18"/>
    </row>
    <row r="23" spans="1:14">
      <c r="A23" s="1280" t="s">
        <v>1275</v>
      </c>
      <c r="B23" s="13">
        <v>21</v>
      </c>
      <c r="C23" s="13"/>
      <c r="D23" s="13"/>
      <c r="E23" s="13"/>
      <c r="F23" s="23"/>
      <c r="G23" s="43"/>
      <c r="H23" s="13"/>
      <c r="I23" s="13"/>
      <c r="J23" s="44"/>
      <c r="K23" s="29"/>
      <c r="L23" s="13"/>
      <c r="M23" s="13"/>
      <c r="N23" s="13"/>
    </row>
    <row r="24" spans="1:14">
      <c r="A24" s="1280"/>
      <c r="B24" s="13">
        <v>22</v>
      </c>
      <c r="C24" s="13"/>
      <c r="D24" s="13"/>
      <c r="E24" s="13"/>
      <c r="F24" s="23"/>
      <c r="G24" s="43"/>
      <c r="H24" s="13"/>
      <c r="I24" s="13"/>
      <c r="J24" s="44"/>
      <c r="K24" s="29"/>
      <c r="L24" s="13"/>
      <c r="M24" s="13"/>
      <c r="N24" s="13"/>
    </row>
    <row r="25" spans="1:14">
      <c r="A25" s="1280"/>
      <c r="B25" s="13">
        <v>23</v>
      </c>
      <c r="C25" s="13"/>
      <c r="D25" s="13"/>
      <c r="E25" s="13"/>
      <c r="F25" s="23"/>
      <c r="G25" s="43"/>
      <c r="H25" s="13"/>
      <c r="I25" s="13"/>
      <c r="J25" s="44"/>
      <c r="K25" s="29"/>
      <c r="L25" s="13"/>
      <c r="M25" s="13"/>
      <c r="N25" s="13"/>
    </row>
    <row r="26" spans="1:14">
      <c r="A26" s="1280"/>
      <c r="B26" s="13">
        <v>24</v>
      </c>
      <c r="C26" s="13"/>
      <c r="D26" s="13"/>
      <c r="E26" s="13"/>
      <c r="F26" s="23"/>
      <c r="G26" s="43"/>
      <c r="H26" s="13"/>
      <c r="I26" s="13"/>
      <c r="J26" s="44"/>
      <c r="K26" s="29"/>
      <c r="L26" s="13"/>
      <c r="M26" s="13"/>
      <c r="N26" s="13"/>
    </row>
    <row r="27" spans="1:14">
      <c r="A27" s="1280" t="s">
        <v>1276</v>
      </c>
      <c r="B27" s="9">
        <v>25</v>
      </c>
      <c r="C27" s="9"/>
      <c r="D27" s="9"/>
      <c r="E27" s="9"/>
      <c r="F27" s="9"/>
      <c r="G27" s="9"/>
      <c r="H27" s="9"/>
      <c r="I27" s="9"/>
      <c r="J27" s="9"/>
      <c r="K27" s="9"/>
      <c r="L27" s="9"/>
      <c r="M27" s="9"/>
      <c r="N27" s="9"/>
    </row>
    <row r="28" spans="1:14">
      <c r="A28" s="1280"/>
      <c r="B28" s="9">
        <v>26</v>
      </c>
      <c r="C28" s="9"/>
      <c r="D28" s="9"/>
      <c r="E28" s="9"/>
      <c r="F28" s="9"/>
      <c r="G28" s="9"/>
      <c r="H28" s="9"/>
      <c r="I28" s="9"/>
      <c r="J28" s="9"/>
      <c r="K28" s="9"/>
      <c r="L28" s="9"/>
      <c r="M28" s="9"/>
      <c r="N28" s="9"/>
    </row>
    <row r="29" spans="1:14">
      <c r="A29" s="1280"/>
      <c r="B29" s="9">
        <v>27</v>
      </c>
      <c r="C29" s="9"/>
      <c r="D29" s="9"/>
      <c r="E29" s="9"/>
      <c r="F29" s="9"/>
      <c r="G29" s="9"/>
      <c r="H29" s="9"/>
      <c r="I29" s="9"/>
      <c r="J29" s="9"/>
      <c r="K29" s="9"/>
      <c r="L29" s="9"/>
      <c r="M29" s="9"/>
      <c r="N29" s="9"/>
    </row>
    <row r="30" spans="1:14">
      <c r="A30" s="1280"/>
      <c r="B30" s="9">
        <v>28</v>
      </c>
      <c r="C30" s="9"/>
      <c r="D30" s="9"/>
      <c r="E30" s="9"/>
      <c r="F30" s="9"/>
      <c r="G30" s="9"/>
      <c r="H30" s="9"/>
      <c r="I30" s="9"/>
      <c r="J30" s="9"/>
      <c r="K30" s="9"/>
      <c r="L30" s="9"/>
      <c r="M30" s="9"/>
      <c r="N30" s="9"/>
    </row>
    <row r="31" spans="1:14">
      <c r="A31" s="1280"/>
      <c r="B31" s="9">
        <v>29</v>
      </c>
      <c r="C31" s="9"/>
      <c r="D31" s="9"/>
      <c r="E31" s="9"/>
      <c r="F31" s="9"/>
      <c r="G31" s="9"/>
      <c r="H31" s="9"/>
      <c r="I31" s="9"/>
      <c r="J31" s="9"/>
      <c r="K31" s="9"/>
      <c r="L31" s="9"/>
      <c r="M31" s="9"/>
      <c r="N31" s="9"/>
    </row>
    <row r="32" spans="1:14">
      <c r="A32" s="1280" t="s">
        <v>1277</v>
      </c>
      <c r="B32" s="16">
        <v>30</v>
      </c>
      <c r="C32" s="16"/>
      <c r="D32" s="16"/>
      <c r="E32" s="16"/>
      <c r="F32" s="16"/>
      <c r="G32" s="16"/>
      <c r="H32" s="16"/>
      <c r="I32" s="16"/>
      <c r="J32" s="16"/>
      <c r="K32" s="16"/>
      <c r="L32" s="16"/>
      <c r="M32" s="16"/>
      <c r="N32" s="16"/>
    </row>
    <row r="33" spans="1:14">
      <c r="A33" s="1280"/>
      <c r="B33" s="16">
        <v>31</v>
      </c>
      <c r="C33" s="16"/>
      <c r="D33" s="16"/>
      <c r="E33" s="16"/>
      <c r="F33" s="16"/>
      <c r="G33" s="16"/>
      <c r="H33" s="16"/>
      <c r="I33" s="16"/>
      <c r="J33" s="16"/>
      <c r="K33" s="16"/>
      <c r="L33" s="16"/>
      <c r="M33" s="16"/>
      <c r="N33" s="16"/>
    </row>
    <row r="34" spans="1:14">
      <c r="A34" s="1280"/>
      <c r="B34" s="16">
        <v>32</v>
      </c>
      <c r="C34" s="16"/>
      <c r="D34" s="16"/>
      <c r="E34" s="16"/>
      <c r="F34" s="16"/>
      <c r="G34" s="16"/>
      <c r="H34" s="16"/>
      <c r="I34" s="16"/>
      <c r="J34" s="16"/>
      <c r="K34" s="16"/>
      <c r="L34" s="16"/>
      <c r="M34" s="16"/>
      <c r="N34" s="16"/>
    </row>
    <row r="35" spans="1:14">
      <c r="A35" s="1280" t="s">
        <v>1278</v>
      </c>
      <c r="B35" s="17">
        <v>33</v>
      </c>
      <c r="C35" s="14"/>
      <c r="D35" s="14"/>
      <c r="E35" s="14"/>
      <c r="F35" s="14"/>
      <c r="G35" s="14"/>
      <c r="H35" s="14"/>
      <c r="I35" s="14"/>
      <c r="J35" s="14"/>
      <c r="K35" s="14"/>
      <c r="L35" s="14"/>
      <c r="M35" s="14"/>
      <c r="N35" s="14"/>
    </row>
    <row r="36" spans="1:14">
      <c r="A36" s="1280"/>
      <c r="B36" s="14">
        <v>34</v>
      </c>
      <c r="C36" s="14"/>
      <c r="D36" s="14"/>
      <c r="E36" s="14"/>
      <c r="F36" s="14"/>
      <c r="G36" s="14"/>
      <c r="H36" s="14"/>
      <c r="I36" s="14"/>
      <c r="J36" s="14"/>
      <c r="K36" s="14"/>
      <c r="L36" s="14"/>
      <c r="M36" s="14"/>
      <c r="N36" s="14"/>
    </row>
    <row r="37" spans="1:14">
      <c r="A37" s="1280"/>
      <c r="B37" s="45">
        <v>35</v>
      </c>
      <c r="C37" s="14"/>
      <c r="D37" s="14"/>
      <c r="E37" s="14"/>
      <c r="F37" s="14"/>
      <c r="G37" s="14"/>
      <c r="H37" s="14"/>
      <c r="I37" s="14"/>
      <c r="J37" s="14"/>
      <c r="K37" s="14"/>
      <c r="L37" s="14"/>
      <c r="M37" s="14"/>
      <c r="N37" s="14"/>
    </row>
    <row r="38" spans="1:14">
      <c r="A38" s="1280" t="s">
        <v>1279</v>
      </c>
      <c r="B38" s="8">
        <v>36</v>
      </c>
      <c r="C38" s="8"/>
      <c r="D38" s="8"/>
      <c r="E38" s="8"/>
      <c r="F38" s="8"/>
      <c r="G38" s="8"/>
      <c r="H38" s="8"/>
      <c r="I38" s="8"/>
      <c r="J38" s="8"/>
      <c r="K38" s="8"/>
      <c r="L38" s="8"/>
      <c r="M38" s="8"/>
      <c r="N38" s="8"/>
    </row>
    <row r="39" spans="1:14">
      <c r="A39" s="1280"/>
      <c r="B39" s="8">
        <v>37</v>
      </c>
      <c r="C39" s="8"/>
      <c r="D39" s="8"/>
      <c r="E39" s="8"/>
      <c r="F39" s="8"/>
      <c r="G39" s="8"/>
      <c r="H39" s="8"/>
      <c r="I39" s="8"/>
      <c r="J39" s="8"/>
      <c r="K39" s="8"/>
      <c r="L39" s="8"/>
      <c r="M39" s="8"/>
      <c r="N39" s="8"/>
    </row>
    <row r="40" spans="1:14">
      <c r="A40" s="1280"/>
      <c r="B40" s="8">
        <v>38</v>
      </c>
      <c r="C40" s="8"/>
      <c r="D40" s="8"/>
      <c r="E40" s="8"/>
      <c r="F40" s="8"/>
      <c r="G40" s="8"/>
      <c r="H40" s="8"/>
      <c r="I40" s="8"/>
      <c r="J40" s="8"/>
      <c r="K40" s="8"/>
      <c r="L40" s="8"/>
      <c r="M40" s="8"/>
      <c r="N40" s="8"/>
    </row>
    <row r="41" spans="1:14">
      <c r="A41" s="1286" t="s">
        <v>1280</v>
      </c>
      <c r="B41" s="46">
        <v>39</v>
      </c>
      <c r="C41" s="47"/>
      <c r="D41" s="47"/>
      <c r="E41" s="47"/>
      <c r="F41" s="47"/>
      <c r="G41" s="47"/>
      <c r="H41" s="47"/>
      <c r="I41" s="47"/>
      <c r="J41" s="47"/>
      <c r="K41" s="47"/>
      <c r="L41" s="47"/>
      <c r="M41" s="47"/>
      <c r="N41" s="47"/>
    </row>
    <row r="42" spans="1:14">
      <c r="A42" s="1286"/>
      <c r="B42" s="47">
        <v>40</v>
      </c>
      <c r="C42" s="47"/>
      <c r="D42" s="47"/>
      <c r="E42" s="47"/>
      <c r="F42" s="47"/>
      <c r="G42" s="47"/>
      <c r="H42" s="47"/>
      <c r="I42" s="47"/>
      <c r="J42" s="47"/>
      <c r="K42" s="47"/>
      <c r="L42" s="47"/>
      <c r="M42" s="47"/>
      <c r="N42" s="47"/>
    </row>
    <row r="43" spans="1:14">
      <c r="A43" s="1286"/>
      <c r="B43" s="47">
        <v>41</v>
      </c>
      <c r="C43" s="47"/>
      <c r="D43" s="47"/>
      <c r="E43" s="47"/>
      <c r="F43" s="47"/>
      <c r="G43" s="47"/>
      <c r="H43" s="47"/>
      <c r="I43" s="47"/>
      <c r="J43" s="47"/>
      <c r="K43" s="47"/>
      <c r="L43" s="47"/>
      <c r="M43" s="47"/>
      <c r="N43" s="47"/>
    </row>
    <row r="44" spans="1:14">
      <c r="A44" s="1286"/>
      <c r="B44" s="48">
        <v>42</v>
      </c>
      <c r="C44" s="47"/>
      <c r="D44" s="47"/>
      <c r="E44" s="47"/>
      <c r="F44" s="47"/>
      <c r="G44" s="47"/>
      <c r="H44" s="47"/>
      <c r="I44" s="47"/>
      <c r="J44" s="47"/>
      <c r="K44" s="47"/>
      <c r="L44" s="47"/>
      <c r="M44" s="47"/>
      <c r="N44" s="47"/>
    </row>
    <row r="45" spans="1:14">
      <c r="A45" s="1279" t="s">
        <v>1281</v>
      </c>
      <c r="B45" s="12">
        <v>43</v>
      </c>
      <c r="C45" s="12"/>
      <c r="D45" s="12"/>
      <c r="E45" s="12"/>
      <c r="F45" s="12"/>
      <c r="G45" s="12"/>
      <c r="H45" s="12"/>
      <c r="I45" s="12"/>
      <c r="J45" s="12"/>
      <c r="K45" s="12"/>
      <c r="L45" s="12"/>
      <c r="M45" s="12"/>
      <c r="N45" s="12"/>
    </row>
    <row r="46" spans="1:14">
      <c r="A46" s="1279"/>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AO45"/>
  <sheetViews>
    <sheetView showGridLines="0" view="pageBreakPreview" zoomScale="60" zoomScaleNormal="75" workbookViewId="0">
      <selection activeCell="A19" sqref="A19:AD19"/>
    </sheetView>
  </sheetViews>
  <sheetFormatPr baseColWidth="10" defaultColWidth="10.85546875" defaultRowHeight="15"/>
  <cols>
    <col min="1" max="1" width="38.42578125" style="50" customWidth="1"/>
    <col min="2" max="2" width="15.42578125" style="50" customWidth="1"/>
    <col min="3" max="14" width="14.85546875" style="50" customWidth="1"/>
    <col min="15" max="15" width="17.28515625" style="50" bestFit="1" customWidth="1"/>
    <col min="16" max="28" width="14.85546875" style="50" customWidth="1"/>
    <col min="29" max="29" width="18.7109375" style="50" bestFit="1" customWidth="1"/>
    <col min="30" max="30" width="14.85546875" style="50" customWidth="1"/>
    <col min="31" max="31" width="12" style="50" bestFit="1" customWidth="1"/>
    <col min="32" max="32" width="22.85546875" style="50" customWidth="1"/>
    <col min="33" max="33" width="18.42578125" style="50" bestFit="1" customWidth="1"/>
    <col min="34" max="34" width="25" style="50" customWidth="1"/>
    <col min="35" max="35" width="18.42578125" style="50" bestFit="1" customWidth="1"/>
    <col min="36" max="36" width="5.7109375" style="50" customWidth="1"/>
    <col min="37" max="37" width="18.42578125" style="50" bestFit="1" customWidth="1"/>
    <col min="38" max="38" width="23.570312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c r="A1" s="781"/>
      <c r="B1" s="784" t="s">
        <v>0</v>
      </c>
      <c r="C1" s="785"/>
      <c r="D1" s="785"/>
      <c r="E1" s="785"/>
      <c r="F1" s="785"/>
      <c r="G1" s="785"/>
      <c r="H1" s="785"/>
      <c r="I1" s="785"/>
      <c r="J1" s="785"/>
      <c r="K1" s="785"/>
      <c r="L1" s="785"/>
      <c r="M1" s="785"/>
      <c r="N1" s="785"/>
      <c r="O1" s="785"/>
      <c r="P1" s="785"/>
      <c r="Q1" s="785"/>
      <c r="R1" s="785"/>
      <c r="S1" s="785"/>
      <c r="T1" s="785"/>
      <c r="U1" s="785"/>
      <c r="V1" s="785"/>
      <c r="W1" s="785"/>
      <c r="X1" s="785"/>
      <c r="Y1" s="785"/>
      <c r="Z1" s="785"/>
      <c r="AA1" s="786"/>
      <c r="AB1" s="966" t="s">
        <v>1</v>
      </c>
      <c r="AC1" s="967"/>
      <c r="AD1" s="968"/>
    </row>
    <row r="2" spans="1:30" ht="30.75" customHeight="1">
      <c r="A2" s="782"/>
      <c r="B2" s="790" t="s">
        <v>2</v>
      </c>
      <c r="C2" s="791"/>
      <c r="D2" s="791"/>
      <c r="E2" s="791"/>
      <c r="F2" s="791"/>
      <c r="G2" s="791"/>
      <c r="H2" s="791"/>
      <c r="I2" s="791"/>
      <c r="J2" s="791"/>
      <c r="K2" s="791"/>
      <c r="L2" s="791"/>
      <c r="M2" s="791"/>
      <c r="N2" s="791"/>
      <c r="O2" s="791"/>
      <c r="P2" s="791"/>
      <c r="Q2" s="791"/>
      <c r="R2" s="791"/>
      <c r="S2" s="791"/>
      <c r="T2" s="791"/>
      <c r="U2" s="791"/>
      <c r="V2" s="791"/>
      <c r="W2" s="791"/>
      <c r="X2" s="791"/>
      <c r="Y2" s="791"/>
      <c r="Z2" s="791"/>
      <c r="AA2" s="792"/>
      <c r="AB2" s="969" t="s">
        <v>3</v>
      </c>
      <c r="AC2" s="970"/>
      <c r="AD2" s="971"/>
    </row>
    <row r="3" spans="1:30" ht="33" customHeight="1">
      <c r="A3" s="782"/>
      <c r="B3" s="796" t="s">
        <v>4</v>
      </c>
      <c r="C3" s="797"/>
      <c r="D3" s="797"/>
      <c r="E3" s="797"/>
      <c r="F3" s="797"/>
      <c r="G3" s="797"/>
      <c r="H3" s="797"/>
      <c r="I3" s="797"/>
      <c r="J3" s="797"/>
      <c r="K3" s="797"/>
      <c r="L3" s="797"/>
      <c r="M3" s="797"/>
      <c r="N3" s="797"/>
      <c r="O3" s="797"/>
      <c r="P3" s="797"/>
      <c r="Q3" s="797"/>
      <c r="R3" s="797"/>
      <c r="S3" s="797"/>
      <c r="T3" s="797"/>
      <c r="U3" s="797"/>
      <c r="V3" s="797"/>
      <c r="W3" s="797"/>
      <c r="X3" s="797"/>
      <c r="Y3" s="797"/>
      <c r="Z3" s="797"/>
      <c r="AA3" s="798"/>
      <c r="AB3" s="969" t="s">
        <v>5</v>
      </c>
      <c r="AC3" s="970"/>
      <c r="AD3" s="971"/>
    </row>
    <row r="4" spans="1:30" ht="21.95" customHeight="1" thickBot="1">
      <c r="A4" s="783"/>
      <c r="B4" s="799"/>
      <c r="C4" s="800"/>
      <c r="D4" s="800"/>
      <c r="E4" s="800"/>
      <c r="F4" s="800"/>
      <c r="G4" s="800"/>
      <c r="H4" s="800"/>
      <c r="I4" s="800"/>
      <c r="J4" s="800"/>
      <c r="K4" s="800"/>
      <c r="L4" s="800"/>
      <c r="M4" s="800"/>
      <c r="N4" s="800"/>
      <c r="O4" s="800"/>
      <c r="P4" s="800"/>
      <c r="Q4" s="800"/>
      <c r="R4" s="800"/>
      <c r="S4" s="800"/>
      <c r="T4" s="800"/>
      <c r="U4" s="800"/>
      <c r="V4" s="800"/>
      <c r="W4" s="800"/>
      <c r="X4" s="800"/>
      <c r="Y4" s="800"/>
      <c r="Z4" s="800"/>
      <c r="AA4" s="801"/>
      <c r="AB4" s="963" t="s">
        <v>6</v>
      </c>
      <c r="AC4" s="964"/>
      <c r="AD4" s="965"/>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c r="A7" s="805" t="s">
        <v>7</v>
      </c>
      <c r="B7" s="806"/>
      <c r="C7" s="814" t="s">
        <v>8</v>
      </c>
      <c r="D7" s="805" t="s">
        <v>9</v>
      </c>
      <c r="E7" s="817"/>
      <c r="F7" s="817"/>
      <c r="G7" s="817"/>
      <c r="H7" s="806"/>
      <c r="I7" s="820">
        <v>44806</v>
      </c>
      <c r="J7" s="821"/>
      <c r="K7" s="805" t="s">
        <v>10</v>
      </c>
      <c r="L7" s="806"/>
      <c r="M7" s="826" t="s">
        <v>11</v>
      </c>
      <c r="N7" s="827"/>
      <c r="O7" s="831"/>
      <c r="P7" s="832"/>
      <c r="Q7" s="54"/>
      <c r="R7" s="54"/>
      <c r="S7" s="54"/>
      <c r="T7" s="54"/>
      <c r="U7" s="54"/>
      <c r="V7" s="54"/>
      <c r="W7" s="54"/>
      <c r="X7" s="54"/>
      <c r="Y7" s="54"/>
      <c r="Z7" s="55"/>
      <c r="AA7" s="54"/>
      <c r="AB7" s="54"/>
      <c r="AC7" s="60"/>
      <c r="AD7" s="61"/>
    </row>
    <row r="8" spans="1:30" ht="15" customHeight="1">
      <c r="A8" s="807"/>
      <c r="B8" s="808"/>
      <c r="C8" s="815"/>
      <c r="D8" s="807"/>
      <c r="E8" s="818"/>
      <c r="F8" s="818"/>
      <c r="G8" s="818"/>
      <c r="H8" s="808"/>
      <c r="I8" s="822"/>
      <c r="J8" s="823"/>
      <c r="K8" s="807"/>
      <c r="L8" s="808"/>
      <c r="M8" s="833" t="s">
        <v>12</v>
      </c>
      <c r="N8" s="834"/>
      <c r="O8" s="835"/>
      <c r="P8" s="836"/>
      <c r="Q8" s="54"/>
      <c r="R8" s="54"/>
      <c r="S8" s="54"/>
      <c r="T8" s="54"/>
      <c r="U8" s="54"/>
      <c r="V8" s="54"/>
      <c r="W8" s="54"/>
      <c r="X8" s="54"/>
      <c r="Y8" s="54"/>
      <c r="Z8" s="55"/>
      <c r="AA8" s="54"/>
      <c r="AB8" s="54"/>
      <c r="AC8" s="60"/>
      <c r="AD8" s="61"/>
    </row>
    <row r="9" spans="1:30" ht="15.75" customHeight="1" thickBot="1">
      <c r="A9" s="809"/>
      <c r="B9" s="810"/>
      <c r="C9" s="816"/>
      <c r="D9" s="809"/>
      <c r="E9" s="819"/>
      <c r="F9" s="819"/>
      <c r="G9" s="819"/>
      <c r="H9" s="810"/>
      <c r="I9" s="824"/>
      <c r="J9" s="825"/>
      <c r="K9" s="809"/>
      <c r="L9" s="810"/>
      <c r="M9" s="837" t="s">
        <v>13</v>
      </c>
      <c r="N9" s="838"/>
      <c r="O9" s="839" t="s">
        <v>14</v>
      </c>
      <c r="P9" s="840"/>
      <c r="Q9" s="54"/>
      <c r="R9" s="54"/>
      <c r="S9" s="54"/>
      <c r="T9" s="54"/>
      <c r="U9" s="54"/>
      <c r="V9" s="54"/>
      <c r="W9" s="54"/>
      <c r="X9" s="54"/>
      <c r="Y9" s="54"/>
      <c r="Z9" s="55"/>
      <c r="AA9" s="54"/>
      <c r="AB9" s="54"/>
      <c r="AC9" s="60"/>
      <c r="AD9" s="61"/>
    </row>
    <row r="10" spans="1:30" ht="15" customHeight="1" thickBot="1">
      <c r="A10" s="158"/>
      <c r="B10" s="382"/>
      <c r="C10" s="382"/>
      <c r="D10" s="65"/>
      <c r="E10" s="65"/>
      <c r="F10" s="65"/>
      <c r="G10" s="65"/>
      <c r="H10" s="65"/>
      <c r="I10" s="383"/>
      <c r="J10" s="383"/>
      <c r="K10" s="65"/>
      <c r="L10" s="65"/>
      <c r="M10" s="156"/>
      <c r="N10" s="156"/>
      <c r="O10" s="157"/>
      <c r="P10" s="157"/>
      <c r="Q10" s="382"/>
      <c r="R10" s="382"/>
      <c r="S10" s="382"/>
      <c r="T10" s="382"/>
      <c r="U10" s="382"/>
      <c r="V10" s="382"/>
      <c r="W10" s="382"/>
      <c r="X10" s="382"/>
      <c r="Y10" s="382"/>
      <c r="Z10" s="384"/>
      <c r="AA10" s="382"/>
      <c r="AB10" s="382"/>
      <c r="AC10" s="385"/>
      <c r="AD10" s="159"/>
    </row>
    <row r="11" spans="1:30" ht="15" customHeight="1">
      <c r="A11" s="805" t="s">
        <v>15</v>
      </c>
      <c r="B11" s="806"/>
      <c r="C11" s="811" t="s">
        <v>16</v>
      </c>
      <c r="D11" s="812"/>
      <c r="E11" s="812"/>
      <c r="F11" s="812"/>
      <c r="G11" s="812"/>
      <c r="H11" s="812"/>
      <c r="I11" s="812"/>
      <c r="J11" s="812"/>
      <c r="K11" s="812"/>
      <c r="L11" s="812"/>
      <c r="M11" s="812"/>
      <c r="N11" s="812"/>
      <c r="O11" s="812"/>
      <c r="P11" s="812"/>
      <c r="Q11" s="812"/>
      <c r="R11" s="812"/>
      <c r="S11" s="812"/>
      <c r="T11" s="812"/>
      <c r="U11" s="812"/>
      <c r="V11" s="812"/>
      <c r="W11" s="812"/>
      <c r="X11" s="812"/>
      <c r="Y11" s="812"/>
      <c r="Z11" s="812"/>
      <c r="AA11" s="812"/>
      <c r="AB11" s="812"/>
      <c r="AC11" s="812"/>
      <c r="AD11" s="813"/>
    </row>
    <row r="12" spans="1:30" ht="15" customHeight="1">
      <c r="A12" s="807"/>
      <c r="B12" s="808"/>
      <c r="C12" s="796"/>
      <c r="D12" s="797"/>
      <c r="E12" s="797"/>
      <c r="F12" s="797"/>
      <c r="G12" s="797"/>
      <c r="H12" s="797"/>
      <c r="I12" s="797"/>
      <c r="J12" s="797"/>
      <c r="K12" s="797"/>
      <c r="L12" s="797"/>
      <c r="M12" s="797"/>
      <c r="N12" s="797"/>
      <c r="O12" s="797"/>
      <c r="P12" s="797"/>
      <c r="Q12" s="797"/>
      <c r="R12" s="797"/>
      <c r="S12" s="797"/>
      <c r="T12" s="797"/>
      <c r="U12" s="797"/>
      <c r="V12" s="797"/>
      <c r="W12" s="797"/>
      <c r="X12" s="797"/>
      <c r="Y12" s="797"/>
      <c r="Z12" s="797"/>
      <c r="AA12" s="797"/>
      <c r="AB12" s="797"/>
      <c r="AC12" s="797"/>
      <c r="AD12" s="798"/>
    </row>
    <row r="13" spans="1:30" ht="15" customHeight="1" thickBot="1">
      <c r="A13" s="809"/>
      <c r="B13" s="810"/>
      <c r="C13" s="799"/>
      <c r="D13" s="800"/>
      <c r="E13" s="800"/>
      <c r="F13" s="800"/>
      <c r="G13" s="800"/>
      <c r="H13" s="800"/>
      <c r="I13" s="800"/>
      <c r="J13" s="800"/>
      <c r="K13" s="800"/>
      <c r="L13" s="800"/>
      <c r="M13" s="800"/>
      <c r="N13" s="800"/>
      <c r="O13" s="800"/>
      <c r="P13" s="800"/>
      <c r="Q13" s="800"/>
      <c r="R13" s="800"/>
      <c r="S13" s="800"/>
      <c r="T13" s="800"/>
      <c r="U13" s="800"/>
      <c r="V13" s="800"/>
      <c r="W13" s="800"/>
      <c r="X13" s="800"/>
      <c r="Y13" s="800"/>
      <c r="Z13" s="800"/>
      <c r="AA13" s="800"/>
      <c r="AB13" s="800"/>
      <c r="AC13" s="800"/>
      <c r="AD13" s="801"/>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841" t="s">
        <v>17</v>
      </c>
      <c r="B15" s="842"/>
      <c r="C15" s="828" t="s">
        <v>18</v>
      </c>
      <c r="D15" s="829"/>
      <c r="E15" s="829"/>
      <c r="F15" s="829"/>
      <c r="G15" s="829"/>
      <c r="H15" s="829"/>
      <c r="I15" s="829"/>
      <c r="J15" s="829"/>
      <c r="K15" s="830"/>
      <c r="L15" s="843" t="s">
        <v>19</v>
      </c>
      <c r="M15" s="844"/>
      <c r="N15" s="844"/>
      <c r="O15" s="844"/>
      <c r="P15" s="844"/>
      <c r="Q15" s="845"/>
      <c r="R15" s="846" t="s">
        <v>20</v>
      </c>
      <c r="S15" s="847"/>
      <c r="T15" s="847"/>
      <c r="U15" s="847"/>
      <c r="V15" s="847"/>
      <c r="W15" s="847"/>
      <c r="X15" s="848"/>
      <c r="Y15" s="843" t="s">
        <v>21</v>
      </c>
      <c r="Z15" s="845"/>
      <c r="AA15" s="828" t="s">
        <v>22</v>
      </c>
      <c r="AB15" s="829"/>
      <c r="AC15" s="829"/>
      <c r="AD15" s="830"/>
    </row>
    <row r="16" spans="1:30" ht="9" customHeight="1" thickBot="1">
      <c r="A16" s="59"/>
      <c r="B16" s="54"/>
      <c r="C16" s="851"/>
      <c r="D16" s="851"/>
      <c r="E16" s="851"/>
      <c r="F16" s="851"/>
      <c r="G16" s="851"/>
      <c r="H16" s="851"/>
      <c r="I16" s="851"/>
      <c r="J16" s="851"/>
      <c r="K16" s="851"/>
      <c r="L16" s="851"/>
      <c r="M16" s="851"/>
      <c r="N16" s="851"/>
      <c r="O16" s="851"/>
      <c r="P16" s="851"/>
      <c r="Q16" s="851"/>
      <c r="R16" s="851"/>
      <c r="S16" s="851"/>
      <c r="T16" s="851"/>
      <c r="U16" s="851"/>
      <c r="V16" s="851"/>
      <c r="W16" s="851"/>
      <c r="X16" s="851"/>
      <c r="Y16" s="851"/>
      <c r="Z16" s="851"/>
      <c r="AA16" s="851"/>
      <c r="AB16" s="851"/>
      <c r="AC16" s="73"/>
      <c r="AD16" s="74"/>
    </row>
    <row r="17" spans="1:41" s="76" customFormat="1" ht="37.5" customHeight="1" thickBot="1">
      <c r="A17" s="841" t="s">
        <v>23</v>
      </c>
      <c r="B17" s="842"/>
      <c r="C17" s="958" t="s">
        <v>117</v>
      </c>
      <c r="D17" s="959"/>
      <c r="E17" s="959"/>
      <c r="F17" s="959"/>
      <c r="G17" s="959"/>
      <c r="H17" s="959"/>
      <c r="I17" s="959"/>
      <c r="J17" s="959"/>
      <c r="K17" s="959"/>
      <c r="L17" s="959"/>
      <c r="M17" s="959"/>
      <c r="N17" s="959"/>
      <c r="O17" s="959"/>
      <c r="P17" s="959"/>
      <c r="Q17" s="960"/>
      <c r="R17" s="843" t="s">
        <v>25</v>
      </c>
      <c r="S17" s="844"/>
      <c r="T17" s="844"/>
      <c r="U17" s="844"/>
      <c r="V17" s="845"/>
      <c r="W17" s="961">
        <v>4</v>
      </c>
      <c r="X17" s="962"/>
      <c r="Y17" s="844" t="s">
        <v>26</v>
      </c>
      <c r="Z17" s="844"/>
      <c r="AA17" s="844"/>
      <c r="AB17" s="845"/>
      <c r="AC17" s="857">
        <v>0.1</v>
      </c>
      <c r="AD17" s="858"/>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c r="A19" s="843" t="s">
        <v>27</v>
      </c>
      <c r="B19" s="844"/>
      <c r="C19" s="844"/>
      <c r="D19" s="844"/>
      <c r="E19" s="844"/>
      <c r="F19" s="844"/>
      <c r="G19" s="844"/>
      <c r="H19" s="844"/>
      <c r="I19" s="844"/>
      <c r="J19" s="844"/>
      <c r="K19" s="844"/>
      <c r="L19" s="844"/>
      <c r="M19" s="844"/>
      <c r="N19" s="844"/>
      <c r="O19" s="844"/>
      <c r="P19" s="844"/>
      <c r="Q19" s="844"/>
      <c r="R19" s="844"/>
      <c r="S19" s="844"/>
      <c r="T19" s="844"/>
      <c r="U19" s="844"/>
      <c r="V19" s="844"/>
      <c r="W19" s="844"/>
      <c r="X19" s="844"/>
      <c r="Y19" s="844"/>
      <c r="Z19" s="844"/>
      <c r="AA19" s="844"/>
      <c r="AB19" s="844"/>
      <c r="AC19" s="844"/>
      <c r="AD19" s="845"/>
      <c r="AE19" s="83"/>
      <c r="AF19" s="83"/>
    </row>
    <row r="20" spans="1:41" ht="32.1" customHeight="1" thickBot="1">
      <c r="A20" s="421"/>
      <c r="B20" s="58"/>
      <c r="C20" s="955" t="s">
        <v>28</v>
      </c>
      <c r="D20" s="955"/>
      <c r="E20" s="955"/>
      <c r="F20" s="955"/>
      <c r="G20" s="955"/>
      <c r="H20" s="955"/>
      <c r="I20" s="955"/>
      <c r="J20" s="955"/>
      <c r="K20" s="955"/>
      <c r="L20" s="955"/>
      <c r="M20" s="955"/>
      <c r="N20" s="955"/>
      <c r="O20" s="955"/>
      <c r="P20" s="956"/>
      <c r="Q20" s="957" t="s">
        <v>29</v>
      </c>
      <c r="R20" s="955"/>
      <c r="S20" s="955"/>
      <c r="T20" s="955"/>
      <c r="U20" s="955"/>
      <c r="V20" s="955"/>
      <c r="W20" s="955"/>
      <c r="X20" s="955"/>
      <c r="Y20" s="955"/>
      <c r="Z20" s="955"/>
      <c r="AA20" s="955"/>
      <c r="AB20" s="955"/>
      <c r="AC20" s="955"/>
      <c r="AD20" s="956"/>
      <c r="AE20" s="83"/>
      <c r="AF20" s="83"/>
    </row>
    <row r="21" spans="1:41" ht="32.1" customHeight="1" thickBot="1">
      <c r="A21" s="359"/>
      <c r="B21" s="460"/>
      <c r="C21" s="459" t="s">
        <v>30</v>
      </c>
      <c r="D21" s="379" t="s">
        <v>31</v>
      </c>
      <c r="E21" s="379" t="s">
        <v>32</v>
      </c>
      <c r="F21" s="379" t="s">
        <v>33</v>
      </c>
      <c r="G21" s="379" t="s">
        <v>34</v>
      </c>
      <c r="H21" s="379" t="s">
        <v>35</v>
      </c>
      <c r="I21" s="379" t="s">
        <v>36</v>
      </c>
      <c r="J21" s="379" t="s">
        <v>8</v>
      </c>
      <c r="K21" s="379" t="s">
        <v>37</v>
      </c>
      <c r="L21" s="379" t="s">
        <v>38</v>
      </c>
      <c r="M21" s="379" t="s">
        <v>39</v>
      </c>
      <c r="N21" s="379" t="s">
        <v>40</v>
      </c>
      <c r="O21" s="379" t="s">
        <v>41</v>
      </c>
      <c r="P21" s="380" t="s">
        <v>42</v>
      </c>
      <c r="Q21" s="378" t="s">
        <v>30</v>
      </c>
      <c r="R21" s="379" t="s">
        <v>31</v>
      </c>
      <c r="S21" s="379" t="s">
        <v>32</v>
      </c>
      <c r="T21" s="379" t="s">
        <v>33</v>
      </c>
      <c r="U21" s="379" t="s">
        <v>34</v>
      </c>
      <c r="V21" s="379" t="s">
        <v>35</v>
      </c>
      <c r="W21" s="379" t="s">
        <v>36</v>
      </c>
      <c r="X21" s="379" t="s">
        <v>8</v>
      </c>
      <c r="Y21" s="379" t="s">
        <v>37</v>
      </c>
      <c r="Z21" s="379" t="s">
        <v>38</v>
      </c>
      <c r="AA21" s="379" t="s">
        <v>39</v>
      </c>
      <c r="AB21" s="379" t="s">
        <v>40</v>
      </c>
      <c r="AC21" s="379" t="s">
        <v>41</v>
      </c>
      <c r="AD21" s="380" t="s">
        <v>42</v>
      </c>
      <c r="AE21" s="3"/>
      <c r="AF21" s="3"/>
    </row>
    <row r="22" spans="1:41" ht="32.1" customHeight="1">
      <c r="A22" s="862" t="s">
        <v>43</v>
      </c>
      <c r="B22" s="863"/>
      <c r="C22" s="705">
        <v>0</v>
      </c>
      <c r="D22" s="642">
        <v>0</v>
      </c>
      <c r="E22" s="642">
        <v>0</v>
      </c>
      <c r="F22" s="642">
        <v>0</v>
      </c>
      <c r="G22" s="642">
        <v>0</v>
      </c>
      <c r="H22" s="642">
        <v>0</v>
      </c>
      <c r="I22" s="642">
        <v>0</v>
      </c>
      <c r="J22" s="642">
        <v>0</v>
      </c>
      <c r="K22" s="642">
        <v>0</v>
      </c>
      <c r="L22" s="642">
        <v>0</v>
      </c>
      <c r="M22" s="642">
        <v>0</v>
      </c>
      <c r="N22" s="642">
        <v>0</v>
      </c>
      <c r="O22" s="642">
        <f>SUM(C22:N22)</f>
        <v>0</v>
      </c>
      <c r="P22" s="643"/>
      <c r="Q22" s="654">
        <v>0</v>
      </c>
      <c r="R22" s="642">
        <v>0</v>
      </c>
      <c r="S22" s="649">
        <v>0</v>
      </c>
      <c r="T22" s="649">
        <v>0</v>
      </c>
      <c r="U22" s="649">
        <v>0</v>
      </c>
      <c r="V22" s="649">
        <v>0</v>
      </c>
      <c r="W22" s="649">
        <f>184761500+95702082</f>
        <v>280463582</v>
      </c>
      <c r="X22" s="642">
        <v>0</v>
      </c>
      <c r="Y22" s="649">
        <v>0</v>
      </c>
      <c r="Z22" s="642">
        <v>0</v>
      </c>
      <c r="AA22" s="642">
        <v>0</v>
      </c>
      <c r="AB22" s="642">
        <v>0</v>
      </c>
      <c r="AC22" s="701">
        <f>SUM(Q22:AB22)</f>
        <v>280463582</v>
      </c>
      <c r="AD22" s="655"/>
      <c r="AE22" s="3"/>
      <c r="AF22" s="3"/>
      <c r="AG22" s="358"/>
    </row>
    <row r="23" spans="1:41" ht="32.1" customHeight="1">
      <c r="A23" s="849" t="s">
        <v>44</v>
      </c>
      <c r="B23" s="850"/>
      <c r="C23" s="706">
        <v>0</v>
      </c>
      <c r="D23" s="645">
        <v>0</v>
      </c>
      <c r="E23" s="645">
        <v>0</v>
      </c>
      <c r="F23" s="645">
        <v>0</v>
      </c>
      <c r="G23" s="645">
        <v>0</v>
      </c>
      <c r="H23" s="645">
        <v>0</v>
      </c>
      <c r="I23" s="645">
        <v>0</v>
      </c>
      <c r="J23" s="645">
        <v>0</v>
      </c>
      <c r="K23" s="645">
        <v>0</v>
      </c>
      <c r="L23" s="645">
        <v>0</v>
      </c>
      <c r="M23" s="645">
        <v>0</v>
      </c>
      <c r="N23" s="645">
        <v>0</v>
      </c>
      <c r="O23" s="642">
        <f>SUM(C23:N23)</f>
        <v>0</v>
      </c>
      <c r="P23" s="646" t="str">
        <f>IFERROR(O23/(SUMIF(C23:N23,"&gt;0",C22:N22))," ")</f>
        <v xml:space="preserve"> </v>
      </c>
      <c r="Q23" s="641">
        <v>0</v>
      </c>
      <c r="R23" s="642">
        <v>0</v>
      </c>
      <c r="S23" s="642">
        <v>0</v>
      </c>
      <c r="T23" s="642">
        <v>0</v>
      </c>
      <c r="U23" s="642">
        <v>0</v>
      </c>
      <c r="V23" s="642">
        <v>0</v>
      </c>
      <c r="W23" s="642">
        <v>0</v>
      </c>
      <c r="X23" s="642">
        <v>0</v>
      </c>
      <c r="Y23" s="642">
        <v>0</v>
      </c>
      <c r="Z23" s="642">
        <v>0</v>
      </c>
      <c r="AA23" s="642">
        <v>0</v>
      </c>
      <c r="AB23" s="642">
        <v>0</v>
      </c>
      <c r="AC23" s="530">
        <f>SUM(Q23:AB23)</f>
        <v>0</v>
      </c>
      <c r="AD23" s="646">
        <f>AC23/AC22</f>
        <v>0</v>
      </c>
      <c r="AE23" s="3"/>
      <c r="AF23" s="3"/>
    </row>
    <row r="24" spans="1:41" ht="32.1" customHeight="1">
      <c r="A24" s="849" t="s">
        <v>46</v>
      </c>
      <c r="B24" s="850"/>
      <c r="C24" s="707">
        <v>0</v>
      </c>
      <c r="D24" s="647">
        <v>0</v>
      </c>
      <c r="E24" s="647">
        <v>0</v>
      </c>
      <c r="F24" s="647">
        <v>24000003</v>
      </c>
      <c r="G24" s="647">
        <v>0</v>
      </c>
      <c r="H24" s="647">
        <v>0</v>
      </c>
      <c r="I24" s="647">
        <v>0</v>
      </c>
      <c r="J24" s="645">
        <v>0</v>
      </c>
      <c r="K24" s="645">
        <v>0</v>
      </c>
      <c r="L24" s="645">
        <v>0</v>
      </c>
      <c r="M24" s="645">
        <v>0</v>
      </c>
      <c r="N24" s="645">
        <v>0</v>
      </c>
      <c r="O24" s="708">
        <f>SUM(C24:N24)</f>
        <v>24000003</v>
      </c>
      <c r="P24" s="650"/>
      <c r="Q24" s="654">
        <v>0</v>
      </c>
      <c r="R24" s="649">
        <v>0</v>
      </c>
      <c r="S24" s="649">
        <v>0</v>
      </c>
      <c r="T24" s="649">
        <v>0</v>
      </c>
      <c r="U24" s="530">
        <v>0</v>
      </c>
      <c r="V24" s="530">
        <v>0</v>
      </c>
      <c r="W24" s="530">
        <v>0</v>
      </c>
      <c r="X24" s="530">
        <v>0</v>
      </c>
      <c r="Y24" s="530">
        <f>280463582*40%</f>
        <v>112185432.80000001</v>
      </c>
      <c r="Z24" s="530">
        <v>0</v>
      </c>
      <c r="AA24" s="530">
        <f>280463582*30%</f>
        <v>84139074.599999994</v>
      </c>
      <c r="AB24" s="530">
        <f>280463582*30%</f>
        <v>84139074.599999994</v>
      </c>
      <c r="AC24" s="702">
        <f>SUM(Q24:AB24)</f>
        <v>280463582</v>
      </c>
      <c r="AD24" s="646"/>
      <c r="AE24" s="3"/>
      <c r="AF24" s="3"/>
    </row>
    <row r="25" spans="1:41" ht="32.1" customHeight="1" thickBot="1">
      <c r="A25" s="864" t="s">
        <v>47</v>
      </c>
      <c r="B25" s="865"/>
      <c r="C25" s="651">
        <v>0</v>
      </c>
      <c r="D25" s="652">
        <v>0</v>
      </c>
      <c r="E25" s="652">
        <v>0</v>
      </c>
      <c r="F25" s="652">
        <v>24000003</v>
      </c>
      <c r="G25" s="652">
        <v>0</v>
      </c>
      <c r="H25" s="652">
        <v>0</v>
      </c>
      <c r="I25" s="652">
        <v>0</v>
      </c>
      <c r="J25" s="653">
        <v>0</v>
      </c>
      <c r="K25" s="653">
        <v>0</v>
      </c>
      <c r="L25" s="653">
        <v>0</v>
      </c>
      <c r="M25" s="653">
        <v>0</v>
      </c>
      <c r="N25" s="653">
        <v>0</v>
      </c>
      <c r="O25" s="704">
        <f>SUM(C25:N25)</f>
        <v>24000003</v>
      </c>
      <c r="P25" s="470">
        <f>O25/O24</f>
        <v>1</v>
      </c>
      <c r="Q25" s="656">
        <v>0</v>
      </c>
      <c r="R25" s="657">
        <v>0</v>
      </c>
      <c r="S25" s="657">
        <v>0</v>
      </c>
      <c r="T25" s="657">
        <v>0</v>
      </c>
      <c r="U25" s="657">
        <v>0</v>
      </c>
      <c r="V25" s="657">
        <v>0</v>
      </c>
      <c r="W25" s="709">
        <v>0</v>
      </c>
      <c r="X25" s="658">
        <v>0</v>
      </c>
      <c r="Y25" s="658"/>
      <c r="Z25" s="658">
        <v>0</v>
      </c>
      <c r="AA25" s="658">
        <v>0</v>
      </c>
      <c r="AB25" s="658">
        <v>0</v>
      </c>
      <c r="AC25" s="709">
        <f>SUM(Q25:AB25)</f>
        <v>0</v>
      </c>
      <c r="AD25" s="470">
        <f>AC25/AC24</f>
        <v>0</v>
      </c>
      <c r="AE25" s="3"/>
      <c r="AF25" s="3"/>
    </row>
    <row r="26" spans="1:41"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59"/>
    </row>
    <row r="27" spans="1:41" ht="33.950000000000003" customHeight="1">
      <c r="A27" s="866" t="s">
        <v>48</v>
      </c>
      <c r="B27" s="867"/>
      <c r="C27" s="868"/>
      <c r="D27" s="868"/>
      <c r="E27" s="868"/>
      <c r="F27" s="868"/>
      <c r="G27" s="868"/>
      <c r="H27" s="868"/>
      <c r="I27" s="868"/>
      <c r="J27" s="868"/>
      <c r="K27" s="868"/>
      <c r="L27" s="868"/>
      <c r="M27" s="868"/>
      <c r="N27" s="868"/>
      <c r="O27" s="868"/>
      <c r="P27" s="868"/>
      <c r="Q27" s="868"/>
      <c r="R27" s="868"/>
      <c r="S27" s="868"/>
      <c r="T27" s="868"/>
      <c r="U27" s="868"/>
      <c r="V27" s="868"/>
      <c r="W27" s="868"/>
      <c r="X27" s="868"/>
      <c r="Y27" s="868"/>
      <c r="Z27" s="868"/>
      <c r="AA27" s="868"/>
      <c r="AB27" s="868"/>
      <c r="AC27" s="868"/>
      <c r="AD27" s="869"/>
    </row>
    <row r="28" spans="1:41" ht="15" customHeight="1">
      <c r="A28" s="870" t="s">
        <v>49</v>
      </c>
      <c r="B28" s="872" t="s">
        <v>50</v>
      </c>
      <c r="C28" s="873"/>
      <c r="D28" s="876" t="s">
        <v>51</v>
      </c>
      <c r="E28" s="877"/>
      <c r="F28" s="877"/>
      <c r="G28" s="877"/>
      <c r="H28" s="877"/>
      <c r="I28" s="877"/>
      <c r="J28" s="877"/>
      <c r="K28" s="877"/>
      <c r="L28" s="877"/>
      <c r="M28" s="877"/>
      <c r="N28" s="877"/>
      <c r="O28" s="878"/>
      <c r="P28" s="879" t="s">
        <v>41</v>
      </c>
      <c r="Q28" s="879" t="s">
        <v>52</v>
      </c>
      <c r="R28" s="879"/>
      <c r="S28" s="879"/>
      <c r="T28" s="879"/>
      <c r="U28" s="879"/>
      <c r="V28" s="879"/>
      <c r="W28" s="879"/>
      <c r="X28" s="879"/>
      <c r="Y28" s="879"/>
      <c r="Z28" s="879"/>
      <c r="AA28" s="879"/>
      <c r="AB28" s="879"/>
      <c r="AC28" s="879"/>
      <c r="AD28" s="850"/>
    </row>
    <row r="29" spans="1:41" ht="27" customHeight="1">
      <c r="A29" s="871"/>
      <c r="B29" s="874"/>
      <c r="C29" s="875"/>
      <c r="D29" s="88" t="s">
        <v>30</v>
      </c>
      <c r="E29" s="88" t="s">
        <v>31</v>
      </c>
      <c r="F29" s="88" t="s">
        <v>32</v>
      </c>
      <c r="G29" s="88" t="s">
        <v>33</v>
      </c>
      <c r="H29" s="88" t="s">
        <v>34</v>
      </c>
      <c r="I29" s="88" t="s">
        <v>35</v>
      </c>
      <c r="J29" s="88" t="s">
        <v>36</v>
      </c>
      <c r="K29" s="88" t="s">
        <v>8</v>
      </c>
      <c r="L29" s="88" t="s">
        <v>37</v>
      </c>
      <c r="M29" s="88" t="s">
        <v>38</v>
      </c>
      <c r="N29" s="88" t="s">
        <v>39</v>
      </c>
      <c r="O29" s="88" t="s">
        <v>40</v>
      </c>
      <c r="P29" s="878"/>
      <c r="Q29" s="879"/>
      <c r="R29" s="879"/>
      <c r="S29" s="879"/>
      <c r="T29" s="879"/>
      <c r="U29" s="879"/>
      <c r="V29" s="879"/>
      <c r="W29" s="879"/>
      <c r="X29" s="879"/>
      <c r="Y29" s="879"/>
      <c r="Z29" s="879"/>
      <c r="AA29" s="879"/>
      <c r="AB29" s="879"/>
      <c r="AC29" s="879"/>
      <c r="AD29" s="850"/>
    </row>
    <row r="30" spans="1:41" ht="84" customHeight="1" thickBot="1">
      <c r="A30" s="377" t="str">
        <f>C17</f>
        <v>Diseñar 13 contenidos para el desarrollo de capacidades socioemocionales, técnicas y digitales de las mujeres, en toda su diversidad.</v>
      </c>
      <c r="B30" s="949"/>
      <c r="C30" s="950"/>
      <c r="D30" s="89"/>
      <c r="E30" s="89"/>
      <c r="F30" s="89"/>
      <c r="G30" s="89"/>
      <c r="H30" s="89"/>
      <c r="I30" s="89"/>
      <c r="J30" s="89"/>
      <c r="K30" s="89"/>
      <c r="L30" s="89"/>
      <c r="M30" s="89"/>
      <c r="N30" s="89"/>
      <c r="O30" s="89"/>
      <c r="P30" s="86">
        <f>SUM(D30:O30)</f>
        <v>0</v>
      </c>
      <c r="Q30" s="951" t="s">
        <v>118</v>
      </c>
      <c r="R30" s="951"/>
      <c r="S30" s="951"/>
      <c r="T30" s="951"/>
      <c r="U30" s="951"/>
      <c r="V30" s="951"/>
      <c r="W30" s="951"/>
      <c r="X30" s="951"/>
      <c r="Y30" s="951"/>
      <c r="Z30" s="951"/>
      <c r="AA30" s="951"/>
      <c r="AB30" s="951"/>
      <c r="AC30" s="951"/>
      <c r="AD30" s="952"/>
    </row>
    <row r="31" spans="1:41" ht="45" customHeight="1">
      <c r="A31" s="885" t="s">
        <v>56</v>
      </c>
      <c r="B31" s="886"/>
      <c r="C31" s="886"/>
      <c r="D31" s="886"/>
      <c r="E31" s="886"/>
      <c r="F31" s="886"/>
      <c r="G31" s="886"/>
      <c r="H31" s="886"/>
      <c r="I31" s="886"/>
      <c r="J31" s="886"/>
      <c r="K31" s="886"/>
      <c r="L31" s="886"/>
      <c r="M31" s="886"/>
      <c r="N31" s="886"/>
      <c r="O31" s="886"/>
      <c r="P31" s="886"/>
      <c r="Q31" s="886"/>
      <c r="R31" s="886"/>
      <c r="S31" s="886"/>
      <c r="T31" s="886"/>
      <c r="U31" s="886"/>
      <c r="V31" s="886"/>
      <c r="W31" s="886"/>
      <c r="X31" s="886"/>
      <c r="Y31" s="886"/>
      <c r="Z31" s="886"/>
      <c r="AA31" s="886"/>
      <c r="AB31" s="886"/>
      <c r="AC31" s="886"/>
      <c r="AD31" s="887"/>
    </row>
    <row r="32" spans="1:41" ht="23.1" customHeight="1">
      <c r="A32" s="953" t="s">
        <v>57</v>
      </c>
      <c r="B32" s="879" t="s">
        <v>58</v>
      </c>
      <c r="C32" s="879" t="s">
        <v>50</v>
      </c>
      <c r="D32" s="879" t="s">
        <v>59</v>
      </c>
      <c r="E32" s="879"/>
      <c r="F32" s="879"/>
      <c r="G32" s="879"/>
      <c r="H32" s="879"/>
      <c r="I32" s="879"/>
      <c r="J32" s="879"/>
      <c r="K32" s="879"/>
      <c r="L32" s="879"/>
      <c r="M32" s="879"/>
      <c r="N32" s="879"/>
      <c r="O32" s="879"/>
      <c r="P32" s="879"/>
      <c r="Q32" s="879" t="s">
        <v>60</v>
      </c>
      <c r="R32" s="879"/>
      <c r="S32" s="879"/>
      <c r="T32" s="879"/>
      <c r="U32" s="879"/>
      <c r="V32" s="879"/>
      <c r="W32" s="879"/>
      <c r="X32" s="879"/>
      <c r="Y32" s="879"/>
      <c r="Z32" s="879"/>
      <c r="AA32" s="879"/>
      <c r="AB32" s="879"/>
      <c r="AC32" s="879"/>
      <c r="AD32" s="850"/>
      <c r="AG32" s="87"/>
      <c r="AH32" s="87"/>
      <c r="AI32" s="87"/>
      <c r="AJ32" s="87"/>
      <c r="AK32" s="87"/>
      <c r="AL32" s="87"/>
      <c r="AM32" s="87"/>
      <c r="AN32" s="87"/>
      <c r="AO32" s="87"/>
    </row>
    <row r="33" spans="1:41" ht="23.1" customHeight="1">
      <c r="A33" s="954"/>
      <c r="B33" s="879"/>
      <c r="C33" s="888"/>
      <c r="D33" s="88" t="s">
        <v>30</v>
      </c>
      <c r="E33" s="88" t="s">
        <v>31</v>
      </c>
      <c r="F33" s="88" t="s">
        <v>32</v>
      </c>
      <c r="G33" s="88" t="s">
        <v>33</v>
      </c>
      <c r="H33" s="88" t="s">
        <v>34</v>
      </c>
      <c r="I33" s="88" t="s">
        <v>35</v>
      </c>
      <c r="J33" s="88" t="s">
        <v>36</v>
      </c>
      <c r="K33" s="88" t="s">
        <v>8</v>
      </c>
      <c r="L33" s="88" t="s">
        <v>37</v>
      </c>
      <c r="M33" s="88" t="s">
        <v>38</v>
      </c>
      <c r="N33" s="88" t="s">
        <v>39</v>
      </c>
      <c r="O33" s="88" t="s">
        <v>40</v>
      </c>
      <c r="P33" s="88" t="s">
        <v>41</v>
      </c>
      <c r="Q33" s="874" t="s">
        <v>61</v>
      </c>
      <c r="R33" s="889"/>
      <c r="S33" s="889"/>
      <c r="T33" s="889"/>
      <c r="U33" s="889"/>
      <c r="V33" s="875"/>
      <c r="W33" s="874" t="s">
        <v>62</v>
      </c>
      <c r="X33" s="889"/>
      <c r="Y33" s="889"/>
      <c r="Z33" s="875"/>
      <c r="AA33" s="874" t="s">
        <v>63</v>
      </c>
      <c r="AB33" s="889"/>
      <c r="AC33" s="889"/>
      <c r="AD33" s="898"/>
      <c r="AF33" s="540" t="s">
        <v>64</v>
      </c>
      <c r="AG33" s="541" t="s">
        <v>65</v>
      </c>
      <c r="AH33" s="541" t="s">
        <v>66</v>
      </c>
      <c r="AI33" s="541" t="s">
        <v>67</v>
      </c>
      <c r="AJ33" s="541" t="s">
        <v>68</v>
      </c>
      <c r="AK33" s="541" t="s">
        <v>69</v>
      </c>
      <c r="AL33" s="541" t="s">
        <v>70</v>
      </c>
      <c r="AM33" s="541" t="s">
        <v>71</v>
      </c>
      <c r="AN33" s="87"/>
      <c r="AO33" s="87"/>
    </row>
    <row r="34" spans="1:41" ht="109.5" customHeight="1">
      <c r="A34" s="934" t="str">
        <f>C17</f>
        <v>Diseñar 13 contenidos para el desarrollo de capacidades socioemocionales, técnicas y digitales de las mujeres, en toda su diversidad.</v>
      </c>
      <c r="B34" s="901">
        <f>+B38</f>
        <v>0.1</v>
      </c>
      <c r="C34" s="90" t="s">
        <v>72</v>
      </c>
      <c r="D34" s="89">
        <v>0</v>
      </c>
      <c r="E34" s="89">
        <v>0</v>
      </c>
      <c r="F34" s="89">
        <v>0</v>
      </c>
      <c r="G34" s="89">
        <v>0</v>
      </c>
      <c r="H34" s="89">
        <v>0</v>
      </c>
      <c r="I34" s="89">
        <v>0</v>
      </c>
      <c r="J34" s="89">
        <v>0</v>
      </c>
      <c r="K34" s="89">
        <v>1</v>
      </c>
      <c r="L34" s="89">
        <v>0</v>
      </c>
      <c r="M34" s="89">
        <v>2</v>
      </c>
      <c r="N34" s="89">
        <v>0</v>
      </c>
      <c r="O34" s="89">
        <v>1</v>
      </c>
      <c r="P34" s="180">
        <f>SUM(D34:O34)</f>
        <v>4</v>
      </c>
      <c r="Q34" s="937" t="s">
        <v>119</v>
      </c>
      <c r="R34" s="938"/>
      <c r="S34" s="938"/>
      <c r="T34" s="938"/>
      <c r="U34" s="938"/>
      <c r="V34" s="939"/>
      <c r="W34" s="937" t="s">
        <v>120</v>
      </c>
      <c r="X34" s="938"/>
      <c r="Y34" s="938"/>
      <c r="Z34" s="938"/>
      <c r="AA34" s="943"/>
      <c r="AB34" s="944"/>
      <c r="AC34" s="944"/>
      <c r="AD34" s="945"/>
      <c r="AF34" s="531" t="s">
        <v>121</v>
      </c>
      <c r="AG34" s="531" t="s">
        <v>122</v>
      </c>
      <c r="AH34" s="531" t="s">
        <v>123</v>
      </c>
      <c r="AI34" s="531" t="s">
        <v>124</v>
      </c>
      <c r="AJ34" s="531" t="s">
        <v>124</v>
      </c>
      <c r="AK34" s="531" t="s">
        <v>125</v>
      </c>
      <c r="AL34" s="531" t="s">
        <v>126</v>
      </c>
      <c r="AM34" s="531" t="s">
        <v>127</v>
      </c>
      <c r="AN34" s="87"/>
      <c r="AO34" s="87"/>
    </row>
    <row r="35" spans="1:41" ht="109.5" customHeight="1">
      <c r="A35" s="935"/>
      <c r="B35" s="936"/>
      <c r="C35" s="91" t="s">
        <v>84</v>
      </c>
      <c r="D35" s="418">
        <v>0</v>
      </c>
      <c r="E35" s="418">
        <v>0</v>
      </c>
      <c r="F35" s="418">
        <v>0</v>
      </c>
      <c r="G35" s="509">
        <v>0</v>
      </c>
      <c r="H35" s="419">
        <v>0</v>
      </c>
      <c r="I35" s="419">
        <v>0</v>
      </c>
      <c r="J35" s="419">
        <v>0</v>
      </c>
      <c r="K35" s="419"/>
      <c r="L35" s="419"/>
      <c r="M35" s="419"/>
      <c r="N35" s="419"/>
      <c r="O35" s="419"/>
      <c r="P35" s="659">
        <f>SUM(D35:O35)</f>
        <v>0</v>
      </c>
      <c r="Q35" s="940"/>
      <c r="R35" s="941"/>
      <c r="S35" s="941"/>
      <c r="T35" s="941"/>
      <c r="U35" s="941"/>
      <c r="V35" s="942"/>
      <c r="W35" s="940"/>
      <c r="X35" s="941"/>
      <c r="Y35" s="941"/>
      <c r="Z35" s="941"/>
      <c r="AA35" s="946"/>
      <c r="AB35" s="947"/>
      <c r="AC35" s="947"/>
      <c r="AD35" s="948"/>
      <c r="AE35" s="49"/>
      <c r="AF35" s="542">
        <f t="shared" ref="AF35:AM35" si="0">LEN(AF34)</f>
        <v>289</v>
      </c>
      <c r="AG35" s="542">
        <f t="shared" si="0"/>
        <v>125</v>
      </c>
      <c r="AH35" s="542">
        <f t="shared" si="0"/>
        <v>67</v>
      </c>
      <c r="AI35" s="542">
        <f t="shared" si="0"/>
        <v>56</v>
      </c>
      <c r="AJ35" s="542">
        <f t="shared" si="0"/>
        <v>56</v>
      </c>
      <c r="AK35" s="542">
        <f t="shared" si="0"/>
        <v>251</v>
      </c>
      <c r="AL35" s="542">
        <f t="shared" si="0"/>
        <v>293</v>
      </c>
      <c r="AM35" s="542">
        <f t="shared" si="0"/>
        <v>268</v>
      </c>
      <c r="AN35" s="87"/>
      <c r="AO35" s="87"/>
    </row>
    <row r="36" spans="1:41" ht="26.1" customHeight="1">
      <c r="A36" s="862" t="s">
        <v>85</v>
      </c>
      <c r="B36" s="927" t="s">
        <v>86</v>
      </c>
      <c r="C36" s="929" t="s">
        <v>87</v>
      </c>
      <c r="D36" s="929"/>
      <c r="E36" s="929"/>
      <c r="F36" s="929"/>
      <c r="G36" s="929"/>
      <c r="H36" s="929"/>
      <c r="I36" s="929"/>
      <c r="J36" s="929"/>
      <c r="K36" s="929"/>
      <c r="L36" s="929"/>
      <c r="M36" s="929"/>
      <c r="N36" s="929"/>
      <c r="O36" s="929"/>
      <c r="P36" s="929"/>
      <c r="Q36" s="930" t="s">
        <v>88</v>
      </c>
      <c r="R36" s="931"/>
      <c r="S36" s="931"/>
      <c r="T36" s="931"/>
      <c r="U36" s="931"/>
      <c r="V36" s="931"/>
      <c r="W36" s="931"/>
      <c r="X36" s="931"/>
      <c r="Y36" s="931"/>
      <c r="Z36" s="931"/>
      <c r="AA36" s="931"/>
      <c r="AB36" s="931"/>
      <c r="AC36" s="931"/>
      <c r="AD36" s="932"/>
      <c r="AG36" s="87"/>
      <c r="AH36" s="87"/>
      <c r="AI36" s="87"/>
      <c r="AJ36" s="87"/>
      <c r="AK36" s="87"/>
      <c r="AL36" s="87"/>
      <c r="AM36" s="87"/>
      <c r="AN36" s="87"/>
      <c r="AO36" s="87"/>
    </row>
    <row r="37" spans="1:41" ht="26.1" customHeight="1">
      <c r="A37" s="849"/>
      <c r="B37" s="928"/>
      <c r="C37" s="88" t="s">
        <v>89</v>
      </c>
      <c r="D37" s="88" t="s">
        <v>90</v>
      </c>
      <c r="E37" s="88" t="s">
        <v>91</v>
      </c>
      <c r="F37" s="88" t="s">
        <v>92</v>
      </c>
      <c r="G37" s="88" t="s">
        <v>93</v>
      </c>
      <c r="H37" s="88" t="s">
        <v>94</v>
      </c>
      <c r="I37" s="88" t="s">
        <v>95</v>
      </c>
      <c r="J37" s="88" t="s">
        <v>96</v>
      </c>
      <c r="K37" s="88" t="s">
        <v>97</v>
      </c>
      <c r="L37" s="88" t="s">
        <v>98</v>
      </c>
      <c r="M37" s="88" t="s">
        <v>99</v>
      </c>
      <c r="N37" s="88" t="s">
        <v>100</v>
      </c>
      <c r="O37" s="88" t="s">
        <v>101</v>
      </c>
      <c r="P37" s="88" t="s">
        <v>102</v>
      </c>
      <c r="Q37" s="876" t="s">
        <v>103</v>
      </c>
      <c r="R37" s="877"/>
      <c r="S37" s="877"/>
      <c r="T37" s="877"/>
      <c r="U37" s="877"/>
      <c r="V37" s="877"/>
      <c r="W37" s="877"/>
      <c r="X37" s="877"/>
      <c r="Y37" s="877"/>
      <c r="Z37" s="877"/>
      <c r="AA37" s="877"/>
      <c r="AB37" s="877"/>
      <c r="AC37" s="877"/>
      <c r="AD37" s="933"/>
      <c r="AG37" s="94"/>
      <c r="AH37" s="94"/>
      <c r="AI37" s="94"/>
      <c r="AJ37" s="94"/>
      <c r="AK37" s="94"/>
      <c r="AL37" s="94"/>
      <c r="AM37" s="94"/>
      <c r="AN37" s="94"/>
      <c r="AO37" s="94"/>
    </row>
    <row r="38" spans="1:41" ht="51" customHeight="1">
      <c r="A38" s="917" t="s">
        <v>128</v>
      </c>
      <c r="B38" s="919">
        <v>0.1</v>
      </c>
      <c r="C38" s="90" t="s">
        <v>72</v>
      </c>
      <c r="D38" s="95">
        <v>0</v>
      </c>
      <c r="E38" s="95">
        <v>0</v>
      </c>
      <c r="F38" s="95">
        <v>0</v>
      </c>
      <c r="G38" s="95">
        <v>0</v>
      </c>
      <c r="H38" s="95">
        <v>0</v>
      </c>
      <c r="I38" s="95">
        <v>0</v>
      </c>
      <c r="J38" s="95">
        <v>0</v>
      </c>
      <c r="K38" s="95">
        <v>0.25</v>
      </c>
      <c r="L38" s="95">
        <v>0</v>
      </c>
      <c r="M38" s="95">
        <v>0.5</v>
      </c>
      <c r="N38" s="95">
        <v>0</v>
      </c>
      <c r="O38" s="95">
        <v>0.25</v>
      </c>
      <c r="P38" s="96">
        <f t="shared" ref="P38:P39" si="1">SUM(D38:O38)</f>
        <v>1</v>
      </c>
      <c r="Q38" s="921" t="s">
        <v>129</v>
      </c>
      <c r="R38" s="922"/>
      <c r="S38" s="922"/>
      <c r="T38" s="922"/>
      <c r="U38" s="922"/>
      <c r="V38" s="922"/>
      <c r="W38" s="922"/>
      <c r="X38" s="922"/>
      <c r="Y38" s="922"/>
      <c r="Z38" s="922"/>
      <c r="AA38" s="922"/>
      <c r="AB38" s="922"/>
      <c r="AC38" s="922"/>
      <c r="AD38" s="923"/>
      <c r="AE38" s="97"/>
      <c r="AG38" s="98"/>
      <c r="AH38" s="98"/>
      <c r="AI38" s="98"/>
      <c r="AJ38" s="98"/>
      <c r="AK38" s="98"/>
      <c r="AL38" s="98"/>
      <c r="AM38" s="98"/>
      <c r="AN38" s="98"/>
      <c r="AO38" s="98"/>
    </row>
    <row r="39" spans="1:41" ht="51" customHeight="1" thickBot="1">
      <c r="A39" s="918"/>
      <c r="B39" s="920"/>
      <c r="C39" s="91" t="s">
        <v>84</v>
      </c>
      <c r="D39" s="105">
        <v>0</v>
      </c>
      <c r="E39" s="105">
        <v>0</v>
      </c>
      <c r="F39" s="105">
        <v>0</v>
      </c>
      <c r="G39" s="105">
        <v>0</v>
      </c>
      <c r="H39" s="105">
        <v>0</v>
      </c>
      <c r="I39" s="105">
        <v>0.1</v>
      </c>
      <c r="J39" s="105">
        <v>0.05</v>
      </c>
      <c r="K39" s="105">
        <v>0.02</v>
      </c>
      <c r="L39" s="105"/>
      <c r="M39" s="105"/>
      <c r="N39" s="105"/>
      <c r="O39" s="105"/>
      <c r="P39" s="107">
        <f t="shared" si="1"/>
        <v>0.17</v>
      </c>
      <c r="Q39" s="924"/>
      <c r="R39" s="925"/>
      <c r="S39" s="925"/>
      <c r="T39" s="925"/>
      <c r="U39" s="925"/>
      <c r="V39" s="925"/>
      <c r="W39" s="925"/>
      <c r="X39" s="925"/>
      <c r="Y39" s="925"/>
      <c r="Z39" s="925"/>
      <c r="AA39" s="925"/>
      <c r="AB39" s="925"/>
      <c r="AC39" s="925"/>
      <c r="AD39" s="926"/>
      <c r="AE39" s="97"/>
    </row>
    <row r="40" spans="1:41">
      <c r="A40" s="50" t="s">
        <v>116</v>
      </c>
    </row>
    <row r="45" spans="1:41">
      <c r="M45" s="510" t="s">
        <v>130</v>
      </c>
    </row>
  </sheetData>
  <mergeCells count="71">
    <mergeCell ref="AB4:AD4"/>
    <mergeCell ref="I7:J9"/>
    <mergeCell ref="K7:L9"/>
    <mergeCell ref="M7:N7"/>
    <mergeCell ref="A1:A4"/>
    <mergeCell ref="B1:AA1"/>
    <mergeCell ref="AB1:AD1"/>
    <mergeCell ref="B2:AA2"/>
    <mergeCell ref="AB2:AD2"/>
    <mergeCell ref="B3:AA4"/>
    <mergeCell ref="AB3:AD3"/>
    <mergeCell ref="O7:P7"/>
    <mergeCell ref="M8:N8"/>
    <mergeCell ref="O8:P8"/>
    <mergeCell ref="M9:N9"/>
    <mergeCell ref="O9:P9"/>
    <mergeCell ref="A11:B13"/>
    <mergeCell ref="C11:AD13"/>
    <mergeCell ref="A7:B9"/>
    <mergeCell ref="C7:C9"/>
    <mergeCell ref="D7:H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Q34:V35"/>
    <mergeCell ref="W34:Z35"/>
    <mergeCell ref="AA34:AD35"/>
    <mergeCell ref="A38:A39"/>
    <mergeCell ref="B38:B39"/>
    <mergeCell ref="Q38:AD39"/>
    <mergeCell ref="A36:A37"/>
    <mergeCell ref="B36:B37"/>
    <mergeCell ref="C36:P36"/>
    <mergeCell ref="Q36:AD36"/>
    <mergeCell ref="Q37:AD37"/>
  </mergeCells>
  <dataValidations count="3">
    <dataValidation type="list" allowBlank="1" showInputMessage="1" showErrorMessage="1" sqref="WVK7:WVK9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C7:C9" xr:uid="{2CAD77F4-E9FD-4E37-8E26-1635D9A6775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34 W34 Q38:AD39" xr:uid="{20077FD2-028B-42CB-B849-FA2F9C7E0796}">
      <formula1>2000</formula1>
    </dataValidation>
  </dataValidations>
  <printOptions horizontalCentered="1"/>
  <pageMargins left="0.19685039370078741" right="0.19685039370078741" top="0.19685039370078741" bottom="0.19685039370078741" header="0" footer="0"/>
  <pageSetup scale="28"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BB68"/>
  <sheetViews>
    <sheetView showGridLines="0" view="pageBreakPreview" topLeftCell="A26" zoomScale="60" zoomScaleNormal="75" workbookViewId="0">
      <selection activeCell="A34" sqref="A34:P35"/>
    </sheetView>
  </sheetViews>
  <sheetFormatPr baseColWidth="10" defaultColWidth="10.85546875" defaultRowHeight="15"/>
  <cols>
    <col min="1" max="1" width="38.5703125" style="50" customWidth="1"/>
    <col min="2" max="2" width="11.42578125" style="50" customWidth="1"/>
    <col min="3" max="3" width="14.42578125" style="50" customWidth="1"/>
    <col min="4" max="4" width="12.85546875" style="50" bestFit="1" customWidth="1"/>
    <col min="5" max="5" width="14.42578125" style="50" bestFit="1" customWidth="1"/>
    <col min="6" max="6" width="12.85546875" style="50" bestFit="1" customWidth="1"/>
    <col min="7" max="7" width="13.5703125" style="50" bestFit="1" customWidth="1"/>
    <col min="8" max="8" width="12" style="50" bestFit="1" customWidth="1"/>
    <col min="9" max="9" width="13.28515625" style="50" bestFit="1" customWidth="1"/>
    <col min="10" max="10" width="11.42578125" style="50" bestFit="1" customWidth="1"/>
    <col min="11" max="13" width="9.7109375" style="50" customWidth="1"/>
    <col min="14" max="14" width="13.85546875" style="50" customWidth="1"/>
    <col min="15" max="15" width="17.28515625" style="50" bestFit="1" customWidth="1"/>
    <col min="16" max="16" width="18.140625" style="50" customWidth="1"/>
    <col min="17" max="17" width="16.28515625" style="50" bestFit="1" customWidth="1"/>
    <col min="18" max="18" width="14" style="50" bestFit="1" customWidth="1"/>
    <col min="19" max="19" width="17" style="50" customWidth="1"/>
    <col min="20" max="20" width="14.7109375" style="50" bestFit="1" customWidth="1"/>
    <col min="21" max="21" width="18.28515625" style="50" customWidth="1"/>
    <col min="22" max="22" width="15.42578125" style="50" bestFit="1" customWidth="1"/>
    <col min="23" max="28" width="14.7109375" style="50" bestFit="1" customWidth="1"/>
    <col min="29" max="29" width="20.5703125" style="50" bestFit="1" customWidth="1"/>
    <col min="30" max="30" width="19.42578125" style="50" customWidth="1"/>
    <col min="31" max="31" width="6.28515625" style="50" bestFit="1" customWidth="1"/>
    <col min="32" max="32" width="50.7109375" style="512" customWidth="1"/>
    <col min="33" max="35" width="34.5703125" style="512" customWidth="1"/>
    <col min="36" max="36" width="22.5703125" style="72" customWidth="1"/>
    <col min="37" max="38" width="22.42578125" style="72" customWidth="1"/>
    <col min="39" max="42" width="22.42578125" style="157" customWidth="1"/>
    <col min="43" max="43" width="25.85546875" style="157" customWidth="1"/>
    <col min="44" max="44" width="18.42578125" style="50" bestFit="1" customWidth="1"/>
    <col min="45" max="45" width="16.140625" style="50" customWidth="1"/>
    <col min="46" max="16384" width="10.85546875" style="50"/>
  </cols>
  <sheetData>
    <row r="1" spans="1:30" ht="32.25" customHeight="1">
      <c r="A1" s="781"/>
      <c r="B1" s="784" t="s">
        <v>0</v>
      </c>
      <c r="C1" s="785"/>
      <c r="D1" s="785"/>
      <c r="E1" s="785"/>
      <c r="F1" s="785"/>
      <c r="G1" s="785"/>
      <c r="H1" s="785"/>
      <c r="I1" s="785"/>
      <c r="J1" s="785"/>
      <c r="K1" s="785"/>
      <c r="L1" s="785"/>
      <c r="M1" s="785"/>
      <c r="N1" s="785"/>
      <c r="O1" s="785"/>
      <c r="P1" s="785"/>
      <c r="Q1" s="785"/>
      <c r="R1" s="785"/>
      <c r="S1" s="785"/>
      <c r="T1" s="785"/>
      <c r="U1" s="785"/>
      <c r="V1" s="785"/>
      <c r="W1" s="785"/>
      <c r="X1" s="785"/>
      <c r="Y1" s="785"/>
      <c r="Z1" s="785"/>
      <c r="AA1" s="786"/>
      <c r="AB1" s="966" t="s">
        <v>1</v>
      </c>
      <c r="AC1" s="967"/>
      <c r="AD1" s="968"/>
    </row>
    <row r="2" spans="1:30" ht="30.75" customHeight="1">
      <c r="A2" s="782"/>
      <c r="B2" s="790" t="s">
        <v>2</v>
      </c>
      <c r="C2" s="791"/>
      <c r="D2" s="791"/>
      <c r="E2" s="791"/>
      <c r="F2" s="791"/>
      <c r="G2" s="791"/>
      <c r="H2" s="791"/>
      <c r="I2" s="791"/>
      <c r="J2" s="791"/>
      <c r="K2" s="791"/>
      <c r="L2" s="791"/>
      <c r="M2" s="791"/>
      <c r="N2" s="791"/>
      <c r="O2" s="791"/>
      <c r="P2" s="791"/>
      <c r="Q2" s="791"/>
      <c r="R2" s="791"/>
      <c r="S2" s="791"/>
      <c r="T2" s="791"/>
      <c r="U2" s="791"/>
      <c r="V2" s="791"/>
      <c r="W2" s="791"/>
      <c r="X2" s="791"/>
      <c r="Y2" s="791"/>
      <c r="Z2" s="791"/>
      <c r="AA2" s="792"/>
      <c r="AB2" s="969" t="s">
        <v>3</v>
      </c>
      <c r="AC2" s="970"/>
      <c r="AD2" s="971"/>
    </row>
    <row r="3" spans="1:30" ht="24" customHeight="1">
      <c r="A3" s="782"/>
      <c r="B3" s="796" t="s">
        <v>4</v>
      </c>
      <c r="C3" s="797"/>
      <c r="D3" s="797"/>
      <c r="E3" s="797"/>
      <c r="F3" s="797"/>
      <c r="G3" s="797"/>
      <c r="H3" s="797"/>
      <c r="I3" s="797"/>
      <c r="J3" s="797"/>
      <c r="K3" s="797"/>
      <c r="L3" s="797"/>
      <c r="M3" s="797"/>
      <c r="N3" s="797"/>
      <c r="O3" s="797"/>
      <c r="P3" s="797"/>
      <c r="Q3" s="797"/>
      <c r="R3" s="797"/>
      <c r="S3" s="797"/>
      <c r="T3" s="797"/>
      <c r="U3" s="797"/>
      <c r="V3" s="797"/>
      <c r="W3" s="797"/>
      <c r="X3" s="797"/>
      <c r="Y3" s="797"/>
      <c r="Z3" s="797"/>
      <c r="AA3" s="798"/>
      <c r="AB3" s="969" t="s">
        <v>5</v>
      </c>
      <c r="AC3" s="970"/>
      <c r="AD3" s="971"/>
    </row>
    <row r="4" spans="1:30" ht="21.95" customHeight="1" thickBot="1">
      <c r="A4" s="783"/>
      <c r="B4" s="799"/>
      <c r="C4" s="800"/>
      <c r="D4" s="800"/>
      <c r="E4" s="800"/>
      <c r="F4" s="800"/>
      <c r="G4" s="800"/>
      <c r="H4" s="800"/>
      <c r="I4" s="800"/>
      <c r="J4" s="800"/>
      <c r="K4" s="800"/>
      <c r="L4" s="800"/>
      <c r="M4" s="800"/>
      <c r="N4" s="800"/>
      <c r="O4" s="800"/>
      <c r="P4" s="800"/>
      <c r="Q4" s="800"/>
      <c r="R4" s="800"/>
      <c r="S4" s="800"/>
      <c r="T4" s="800"/>
      <c r="U4" s="800"/>
      <c r="V4" s="800"/>
      <c r="W4" s="800"/>
      <c r="X4" s="800"/>
      <c r="Y4" s="800"/>
      <c r="Z4" s="800"/>
      <c r="AA4" s="801"/>
      <c r="AB4" s="963" t="s">
        <v>6</v>
      </c>
      <c r="AC4" s="964"/>
      <c r="AD4" s="965"/>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c r="A7" s="805" t="s">
        <v>7</v>
      </c>
      <c r="B7" s="806"/>
      <c r="C7" s="814" t="s">
        <v>8</v>
      </c>
      <c r="D7" s="805" t="s">
        <v>9</v>
      </c>
      <c r="E7" s="817"/>
      <c r="F7" s="817"/>
      <c r="G7" s="817"/>
      <c r="H7" s="806"/>
      <c r="I7" s="820">
        <v>44806</v>
      </c>
      <c r="J7" s="821"/>
      <c r="K7" s="805" t="s">
        <v>10</v>
      </c>
      <c r="L7" s="806"/>
      <c r="M7" s="826" t="s">
        <v>11</v>
      </c>
      <c r="N7" s="827"/>
      <c r="O7" s="831"/>
      <c r="P7" s="832"/>
      <c r="Q7" s="54"/>
      <c r="R7" s="54"/>
      <c r="S7" s="54"/>
      <c r="T7" s="54"/>
      <c r="U7" s="54"/>
      <c r="V7" s="54"/>
      <c r="W7" s="54"/>
      <c r="X7" s="54"/>
      <c r="Y7" s="54"/>
      <c r="Z7" s="55"/>
      <c r="AA7" s="54"/>
      <c r="AB7" s="54"/>
      <c r="AC7" s="60"/>
      <c r="AD7" s="61"/>
    </row>
    <row r="8" spans="1:30" ht="15" customHeight="1">
      <c r="A8" s="807"/>
      <c r="B8" s="808"/>
      <c r="C8" s="815"/>
      <c r="D8" s="807"/>
      <c r="E8" s="818"/>
      <c r="F8" s="818"/>
      <c r="G8" s="818"/>
      <c r="H8" s="808"/>
      <c r="I8" s="822"/>
      <c r="J8" s="823"/>
      <c r="K8" s="807"/>
      <c r="L8" s="808"/>
      <c r="M8" s="833" t="s">
        <v>12</v>
      </c>
      <c r="N8" s="834"/>
      <c r="O8" s="835"/>
      <c r="P8" s="836"/>
      <c r="Q8" s="54"/>
      <c r="R8" s="54"/>
      <c r="S8" s="54"/>
      <c r="T8" s="54"/>
      <c r="U8" s="54"/>
      <c r="V8" s="54"/>
      <c r="W8" s="54"/>
      <c r="X8" s="54"/>
      <c r="Y8" s="54"/>
      <c r="Z8" s="55"/>
      <c r="AA8" s="54"/>
      <c r="AB8" s="54"/>
      <c r="AC8" s="60"/>
      <c r="AD8" s="61"/>
    </row>
    <row r="9" spans="1:30" ht="15.75" customHeight="1" thickBot="1">
      <c r="A9" s="809"/>
      <c r="B9" s="810"/>
      <c r="C9" s="816"/>
      <c r="D9" s="809"/>
      <c r="E9" s="819"/>
      <c r="F9" s="819"/>
      <c r="G9" s="819"/>
      <c r="H9" s="810"/>
      <c r="I9" s="824"/>
      <c r="J9" s="825"/>
      <c r="K9" s="809"/>
      <c r="L9" s="810"/>
      <c r="M9" s="837" t="s">
        <v>13</v>
      </c>
      <c r="N9" s="838"/>
      <c r="O9" s="839" t="s">
        <v>14</v>
      </c>
      <c r="P9" s="840"/>
      <c r="Q9" s="54"/>
      <c r="R9" s="54"/>
      <c r="S9" s="54"/>
      <c r="T9" s="54"/>
      <c r="U9" s="54"/>
      <c r="V9" s="54"/>
      <c r="W9" s="54"/>
      <c r="X9" s="54"/>
      <c r="Y9" s="54"/>
      <c r="Z9" s="55"/>
      <c r="AA9" s="54"/>
      <c r="AB9" s="54"/>
      <c r="AC9" s="60"/>
      <c r="AD9" s="61"/>
    </row>
    <row r="10" spans="1:30" ht="15" customHeight="1" thickBot="1">
      <c r="A10" s="158"/>
      <c r="B10" s="382"/>
      <c r="C10" s="382"/>
      <c r="D10" s="65"/>
      <c r="E10" s="65"/>
      <c r="F10" s="65"/>
      <c r="G10" s="65"/>
      <c r="H10" s="65"/>
      <c r="I10" s="383"/>
      <c r="J10" s="383"/>
      <c r="K10" s="65"/>
      <c r="L10" s="65"/>
      <c r="M10" s="156"/>
      <c r="N10" s="156"/>
      <c r="O10" s="157"/>
      <c r="P10" s="157"/>
      <c r="Q10" s="382"/>
      <c r="R10" s="382"/>
      <c r="S10" s="382"/>
      <c r="T10" s="382"/>
      <c r="U10" s="382"/>
      <c r="V10" s="382"/>
      <c r="W10" s="382"/>
      <c r="X10" s="382"/>
      <c r="Y10" s="382"/>
      <c r="Z10" s="384"/>
      <c r="AA10" s="382"/>
      <c r="AB10" s="382"/>
      <c r="AC10" s="385"/>
      <c r="AD10" s="159"/>
    </row>
    <row r="11" spans="1:30" ht="15" customHeight="1">
      <c r="A11" s="805" t="s">
        <v>15</v>
      </c>
      <c r="B11" s="806"/>
      <c r="C11" s="811" t="s">
        <v>16</v>
      </c>
      <c r="D11" s="812"/>
      <c r="E11" s="812"/>
      <c r="F11" s="812"/>
      <c r="G11" s="812"/>
      <c r="H11" s="812"/>
      <c r="I11" s="812"/>
      <c r="J11" s="812"/>
      <c r="K11" s="812"/>
      <c r="L11" s="812"/>
      <c r="M11" s="812"/>
      <c r="N11" s="812"/>
      <c r="O11" s="812"/>
      <c r="P11" s="812"/>
      <c r="Q11" s="812"/>
      <c r="R11" s="812"/>
      <c r="S11" s="812"/>
      <c r="T11" s="812"/>
      <c r="U11" s="812"/>
      <c r="V11" s="812"/>
      <c r="W11" s="812"/>
      <c r="X11" s="812"/>
      <c r="Y11" s="812"/>
      <c r="Z11" s="812"/>
      <c r="AA11" s="812"/>
      <c r="AB11" s="812"/>
      <c r="AC11" s="812"/>
      <c r="AD11" s="813"/>
    </row>
    <row r="12" spans="1:30" ht="15" customHeight="1">
      <c r="A12" s="807"/>
      <c r="B12" s="808"/>
      <c r="C12" s="796"/>
      <c r="D12" s="797"/>
      <c r="E12" s="797"/>
      <c r="F12" s="797"/>
      <c r="G12" s="797"/>
      <c r="H12" s="797"/>
      <c r="I12" s="797"/>
      <c r="J12" s="797"/>
      <c r="K12" s="797"/>
      <c r="L12" s="797"/>
      <c r="M12" s="797"/>
      <c r="N12" s="797"/>
      <c r="O12" s="797"/>
      <c r="P12" s="797"/>
      <c r="Q12" s="797"/>
      <c r="R12" s="797"/>
      <c r="S12" s="797"/>
      <c r="T12" s="797"/>
      <c r="U12" s="797"/>
      <c r="V12" s="797"/>
      <c r="W12" s="797"/>
      <c r="X12" s="797"/>
      <c r="Y12" s="797"/>
      <c r="Z12" s="797"/>
      <c r="AA12" s="797"/>
      <c r="AB12" s="797"/>
      <c r="AC12" s="797"/>
      <c r="AD12" s="798"/>
    </row>
    <row r="13" spans="1:30" ht="15" customHeight="1" thickBot="1">
      <c r="A13" s="809"/>
      <c r="B13" s="810"/>
      <c r="C13" s="799"/>
      <c r="D13" s="800"/>
      <c r="E13" s="800"/>
      <c r="F13" s="800"/>
      <c r="G13" s="800"/>
      <c r="H13" s="800"/>
      <c r="I13" s="800"/>
      <c r="J13" s="800"/>
      <c r="K13" s="800"/>
      <c r="L13" s="800"/>
      <c r="M13" s="800"/>
      <c r="N13" s="800"/>
      <c r="O13" s="800"/>
      <c r="P13" s="800"/>
      <c r="Q13" s="800"/>
      <c r="R13" s="800"/>
      <c r="S13" s="800"/>
      <c r="T13" s="800"/>
      <c r="U13" s="800"/>
      <c r="V13" s="800"/>
      <c r="W13" s="800"/>
      <c r="X13" s="800"/>
      <c r="Y13" s="800"/>
      <c r="Z13" s="800"/>
      <c r="AA13" s="800"/>
      <c r="AB13" s="800"/>
      <c r="AC13" s="800"/>
      <c r="AD13" s="801"/>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841" t="s">
        <v>17</v>
      </c>
      <c r="B15" s="842"/>
      <c r="C15" s="828" t="s">
        <v>18</v>
      </c>
      <c r="D15" s="829"/>
      <c r="E15" s="829"/>
      <c r="F15" s="829"/>
      <c r="G15" s="829"/>
      <c r="H15" s="829"/>
      <c r="I15" s="829"/>
      <c r="J15" s="829"/>
      <c r="K15" s="830"/>
      <c r="L15" s="843" t="s">
        <v>19</v>
      </c>
      <c r="M15" s="844"/>
      <c r="N15" s="844"/>
      <c r="O15" s="844"/>
      <c r="P15" s="844"/>
      <c r="Q15" s="845"/>
      <c r="R15" s="846" t="s">
        <v>20</v>
      </c>
      <c r="S15" s="847"/>
      <c r="T15" s="847"/>
      <c r="U15" s="847"/>
      <c r="V15" s="847"/>
      <c r="W15" s="847"/>
      <c r="X15" s="848"/>
      <c r="Y15" s="843" t="s">
        <v>21</v>
      </c>
      <c r="Z15" s="845"/>
      <c r="AA15" s="828" t="s">
        <v>22</v>
      </c>
      <c r="AB15" s="829"/>
      <c r="AC15" s="829"/>
      <c r="AD15" s="830"/>
    </row>
    <row r="16" spans="1:30" ht="9" customHeight="1" thickBot="1">
      <c r="A16" s="59"/>
      <c r="B16" s="54"/>
      <c r="C16" s="851"/>
      <c r="D16" s="851"/>
      <c r="E16" s="851"/>
      <c r="F16" s="851"/>
      <c r="G16" s="851"/>
      <c r="H16" s="851"/>
      <c r="I16" s="851"/>
      <c r="J16" s="851"/>
      <c r="K16" s="851"/>
      <c r="L16" s="851"/>
      <c r="M16" s="851"/>
      <c r="N16" s="851"/>
      <c r="O16" s="851"/>
      <c r="P16" s="851"/>
      <c r="Q16" s="851"/>
      <c r="R16" s="851"/>
      <c r="S16" s="851"/>
      <c r="T16" s="851"/>
      <c r="U16" s="851"/>
      <c r="V16" s="851"/>
      <c r="W16" s="851"/>
      <c r="X16" s="851"/>
      <c r="Y16" s="851"/>
      <c r="Z16" s="851"/>
      <c r="AA16" s="851"/>
      <c r="AB16" s="851"/>
      <c r="AC16" s="73"/>
      <c r="AD16" s="74"/>
    </row>
    <row r="17" spans="1:45" s="76" customFormat="1" ht="37.5" customHeight="1" thickBot="1">
      <c r="A17" s="841" t="s">
        <v>23</v>
      </c>
      <c r="B17" s="842"/>
      <c r="C17" s="852" t="s">
        <v>131</v>
      </c>
      <c r="D17" s="853"/>
      <c r="E17" s="853"/>
      <c r="F17" s="853"/>
      <c r="G17" s="853"/>
      <c r="H17" s="853"/>
      <c r="I17" s="853"/>
      <c r="J17" s="853"/>
      <c r="K17" s="853"/>
      <c r="L17" s="853"/>
      <c r="M17" s="853"/>
      <c r="N17" s="853"/>
      <c r="O17" s="853"/>
      <c r="P17" s="853"/>
      <c r="Q17" s="854"/>
      <c r="R17" s="843" t="s">
        <v>25</v>
      </c>
      <c r="S17" s="844"/>
      <c r="T17" s="844"/>
      <c r="U17" s="844"/>
      <c r="V17" s="845"/>
      <c r="W17" s="1001">
        <v>0.2</v>
      </c>
      <c r="X17" s="1002"/>
      <c r="Y17" s="844" t="s">
        <v>26</v>
      </c>
      <c r="Z17" s="844"/>
      <c r="AA17" s="844"/>
      <c r="AB17" s="845"/>
      <c r="AC17" s="857">
        <v>0.25</v>
      </c>
      <c r="AD17" s="858"/>
      <c r="AF17" s="513"/>
      <c r="AG17" s="513"/>
      <c r="AH17" s="513"/>
      <c r="AI17" s="513"/>
      <c r="AJ17" s="420"/>
      <c r="AK17" s="420"/>
      <c r="AL17" s="420"/>
      <c r="AM17" s="420"/>
      <c r="AN17" s="420"/>
      <c r="AO17" s="420"/>
      <c r="AP17" s="420"/>
      <c r="AQ17" s="420"/>
    </row>
    <row r="18" spans="1:45" ht="16.5" hidden="1" customHeigh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5" ht="32.1" hidden="1" customHeight="1">
      <c r="A19" s="843" t="s">
        <v>27</v>
      </c>
      <c r="B19" s="844"/>
      <c r="C19" s="844"/>
      <c r="D19" s="844"/>
      <c r="E19" s="844"/>
      <c r="F19" s="844"/>
      <c r="G19" s="844"/>
      <c r="H19" s="844"/>
      <c r="I19" s="844"/>
      <c r="J19" s="844"/>
      <c r="K19" s="844"/>
      <c r="L19" s="844"/>
      <c r="M19" s="844"/>
      <c r="N19" s="844"/>
      <c r="O19" s="844"/>
      <c r="P19" s="844"/>
      <c r="Q19" s="844"/>
      <c r="R19" s="844"/>
      <c r="S19" s="844"/>
      <c r="T19" s="844"/>
      <c r="U19" s="844"/>
      <c r="V19" s="844"/>
      <c r="W19" s="844"/>
      <c r="X19" s="844"/>
      <c r="Y19" s="844"/>
      <c r="Z19" s="844"/>
      <c r="AA19" s="844"/>
      <c r="AB19" s="844"/>
      <c r="AC19" s="844"/>
      <c r="AD19" s="845"/>
      <c r="AE19" s="83"/>
      <c r="AF19" s="514"/>
      <c r="AG19" s="514"/>
      <c r="AH19" s="514"/>
      <c r="AI19" s="514"/>
    </row>
    <row r="20" spans="1:45" ht="32.1" customHeight="1" thickBot="1">
      <c r="A20" s="82"/>
      <c r="B20" s="60"/>
      <c r="C20" s="859" t="s">
        <v>28</v>
      </c>
      <c r="D20" s="860"/>
      <c r="E20" s="860"/>
      <c r="F20" s="860"/>
      <c r="G20" s="860"/>
      <c r="H20" s="860"/>
      <c r="I20" s="860"/>
      <c r="J20" s="860"/>
      <c r="K20" s="860"/>
      <c r="L20" s="860"/>
      <c r="M20" s="860"/>
      <c r="N20" s="860"/>
      <c r="O20" s="860"/>
      <c r="P20" s="861"/>
      <c r="Q20" s="957" t="s">
        <v>29</v>
      </c>
      <c r="R20" s="955"/>
      <c r="S20" s="955"/>
      <c r="T20" s="955"/>
      <c r="U20" s="955"/>
      <c r="V20" s="955"/>
      <c r="W20" s="955"/>
      <c r="X20" s="955"/>
      <c r="Y20" s="955"/>
      <c r="Z20" s="955"/>
      <c r="AA20" s="955"/>
      <c r="AB20" s="955"/>
      <c r="AC20" s="955"/>
      <c r="AD20" s="956"/>
      <c r="AE20" s="83"/>
      <c r="AF20" s="514"/>
      <c r="AG20" s="514"/>
      <c r="AH20" s="514"/>
      <c r="AI20" s="514"/>
    </row>
    <row r="21" spans="1:45" ht="32.1" customHeight="1" thickBot="1">
      <c r="A21" s="359"/>
      <c r="B21" s="56"/>
      <c r="C21" s="378" t="s">
        <v>30</v>
      </c>
      <c r="D21" s="379" t="s">
        <v>31</v>
      </c>
      <c r="E21" s="379" t="s">
        <v>32</v>
      </c>
      <c r="F21" s="379" t="s">
        <v>33</v>
      </c>
      <c r="G21" s="379" t="s">
        <v>34</v>
      </c>
      <c r="H21" s="379" t="s">
        <v>35</v>
      </c>
      <c r="I21" s="379" t="s">
        <v>36</v>
      </c>
      <c r="J21" s="379" t="s">
        <v>8</v>
      </c>
      <c r="K21" s="379" t="s">
        <v>37</v>
      </c>
      <c r="L21" s="379" t="s">
        <v>38</v>
      </c>
      <c r="M21" s="379" t="s">
        <v>39</v>
      </c>
      <c r="N21" s="379" t="s">
        <v>40</v>
      </c>
      <c r="O21" s="379" t="s">
        <v>41</v>
      </c>
      <c r="P21" s="380" t="s">
        <v>42</v>
      </c>
      <c r="Q21" s="378" t="s">
        <v>30</v>
      </c>
      <c r="R21" s="379" t="s">
        <v>31</v>
      </c>
      <c r="S21" s="379" t="s">
        <v>32</v>
      </c>
      <c r="T21" s="379" t="s">
        <v>33</v>
      </c>
      <c r="U21" s="379" t="s">
        <v>34</v>
      </c>
      <c r="V21" s="379" t="s">
        <v>35</v>
      </c>
      <c r="W21" s="379" t="s">
        <v>36</v>
      </c>
      <c r="X21" s="379" t="s">
        <v>8</v>
      </c>
      <c r="Y21" s="379" t="s">
        <v>37</v>
      </c>
      <c r="Z21" s="379" t="s">
        <v>38</v>
      </c>
      <c r="AA21" s="379" t="s">
        <v>39</v>
      </c>
      <c r="AB21" s="379" t="s">
        <v>40</v>
      </c>
      <c r="AC21" s="379" t="s">
        <v>41</v>
      </c>
      <c r="AD21" s="380" t="s">
        <v>42</v>
      </c>
      <c r="AE21" s="3"/>
      <c r="AF21" s="515"/>
      <c r="AG21" s="515"/>
      <c r="AH21" s="515"/>
      <c r="AI21" s="515"/>
    </row>
    <row r="22" spans="1:45" ht="32.1" customHeight="1">
      <c r="A22" s="862" t="s">
        <v>43</v>
      </c>
      <c r="B22" s="930"/>
      <c r="C22" s="641">
        <v>0</v>
      </c>
      <c r="D22" s="642">
        <v>0</v>
      </c>
      <c r="E22" s="642">
        <v>0</v>
      </c>
      <c r="F22" s="642">
        <v>0</v>
      </c>
      <c r="G22" s="642">
        <v>0</v>
      </c>
      <c r="H22" s="642">
        <v>0</v>
      </c>
      <c r="I22" s="642">
        <v>0</v>
      </c>
      <c r="J22" s="642">
        <v>0</v>
      </c>
      <c r="K22" s="642">
        <v>0</v>
      </c>
      <c r="L22" s="642">
        <v>0</v>
      </c>
      <c r="M22" s="642">
        <v>0</v>
      </c>
      <c r="N22" s="642">
        <v>0</v>
      </c>
      <c r="O22" s="642">
        <f>SUM(C22:N22)</f>
        <v>0</v>
      </c>
      <c r="P22" s="643"/>
      <c r="Q22" s="654">
        <v>1452847000</v>
      </c>
      <c r="R22" s="642">
        <v>0</v>
      </c>
      <c r="S22" s="642">
        <v>0</v>
      </c>
      <c r="T22" s="649">
        <f>(5500000*9%)+(150000000*67%)</f>
        <v>100995000</v>
      </c>
      <c r="U22" s="649">
        <f>(471340694*5%)+8000000</f>
        <v>31567034.700000003</v>
      </c>
      <c r="V22" s="649">
        <f>(58000000*14%)+(5117000*29%)+(71651306*19%)</f>
        <v>23217678.140000001</v>
      </c>
      <c r="W22" s="649">
        <v>-28052209</v>
      </c>
      <c r="X22" s="642">
        <v>0</v>
      </c>
      <c r="Y22" s="649">
        <v>0</v>
      </c>
      <c r="Z22" s="642">
        <v>0</v>
      </c>
      <c r="AA22" s="642">
        <v>0</v>
      </c>
      <c r="AB22" s="642">
        <v>0</v>
      </c>
      <c r="AC22" s="701">
        <f>SUM(Q22:AB22)</f>
        <v>1580574503.8400002</v>
      </c>
      <c r="AD22" s="655"/>
      <c r="AE22" s="3"/>
      <c r="AF22" s="515"/>
      <c r="AG22" s="515"/>
      <c r="AH22" s="515"/>
      <c r="AI22" s="515"/>
      <c r="AJ22" s="435"/>
    </row>
    <row r="23" spans="1:45" ht="32.1" customHeight="1">
      <c r="A23" s="849" t="s">
        <v>44</v>
      </c>
      <c r="B23" s="876"/>
      <c r="C23" s="644">
        <v>0</v>
      </c>
      <c r="D23" s="645">
        <v>0</v>
      </c>
      <c r="E23" s="645">
        <v>0</v>
      </c>
      <c r="F23" s="645">
        <v>0</v>
      </c>
      <c r="G23" s="645">
        <v>0</v>
      </c>
      <c r="H23" s="645">
        <v>0</v>
      </c>
      <c r="I23" s="645">
        <v>0</v>
      </c>
      <c r="J23" s="645">
        <v>0</v>
      </c>
      <c r="K23" s="645">
        <v>0</v>
      </c>
      <c r="L23" s="645">
        <v>0</v>
      </c>
      <c r="M23" s="645">
        <v>0</v>
      </c>
      <c r="N23" s="645">
        <v>0</v>
      </c>
      <c r="O23" s="642">
        <f>SUM(C23:N23)</f>
        <v>0</v>
      </c>
      <c r="P23" s="646" t="str">
        <f>IFERROR(O23/(SUMIF(C23:N23,"&gt;0",C22:N22))," ")</f>
        <v xml:space="preserve"> </v>
      </c>
      <c r="Q23" s="654">
        <v>1451347000</v>
      </c>
      <c r="R23" s="649">
        <v>0</v>
      </c>
      <c r="S23" s="649">
        <v>100000000</v>
      </c>
      <c r="T23" s="649">
        <v>0</v>
      </c>
      <c r="U23" s="649">
        <v>16454619</v>
      </c>
      <c r="V23" s="649">
        <v>9095800</v>
      </c>
      <c r="W23" s="649">
        <v>0</v>
      </c>
      <c r="X23" s="649">
        <v>0</v>
      </c>
      <c r="Y23" s="642">
        <v>0</v>
      </c>
      <c r="Z23" s="642">
        <v>0</v>
      </c>
      <c r="AA23" s="642">
        <v>0</v>
      </c>
      <c r="AB23" s="642">
        <v>0</v>
      </c>
      <c r="AC23" s="702">
        <f>SUM(Q23:AB23)</f>
        <v>1576897419</v>
      </c>
      <c r="AD23" s="646">
        <f>AC23/AC22</f>
        <v>0.99767357702464088</v>
      </c>
      <c r="AE23" s="3"/>
      <c r="AF23" s="517" t="s">
        <v>132</v>
      </c>
      <c r="AG23" s="517"/>
      <c r="AH23" s="517"/>
      <c r="AI23" s="517"/>
    </row>
    <row r="24" spans="1:45" ht="32.1" customHeight="1">
      <c r="A24" s="849" t="s">
        <v>46</v>
      </c>
      <c r="B24" s="876"/>
      <c r="C24" s="644">
        <v>0</v>
      </c>
      <c r="D24" s="647">
        <f>4533333</f>
        <v>4533333</v>
      </c>
      <c r="E24" s="647">
        <v>3795913.4249999998</v>
      </c>
      <c r="F24" s="647">
        <v>6507926.4249999998</v>
      </c>
      <c r="G24" s="647">
        <v>7591826.8499999996</v>
      </c>
      <c r="H24" s="645">
        <v>0</v>
      </c>
      <c r="I24" s="645">
        <v>0</v>
      </c>
      <c r="J24" s="645">
        <v>0</v>
      </c>
      <c r="K24" s="645">
        <v>0</v>
      </c>
      <c r="L24" s="645">
        <v>0</v>
      </c>
      <c r="M24" s="645">
        <v>0</v>
      </c>
      <c r="N24" s="645">
        <v>0</v>
      </c>
      <c r="O24" s="703">
        <f>SUM(C24:N24)</f>
        <v>22428999.699999999</v>
      </c>
      <c r="P24" s="650"/>
      <c r="Q24" s="654">
        <v>0</v>
      </c>
      <c r="R24" s="649">
        <v>47124065.236666664</v>
      </c>
      <c r="S24" s="649">
        <v>135175398.56999999</v>
      </c>
      <c r="T24" s="649">
        <v>135175398.56999999</v>
      </c>
      <c r="U24" s="530">
        <v>135175398.56999999</v>
      </c>
      <c r="V24" s="530">
        <v>135237273.56999999</v>
      </c>
      <c r="W24" s="530">
        <v>170752273.56999999</v>
      </c>
      <c r="X24" s="530">
        <v>137252273.56999999</v>
      </c>
      <c r="Y24" s="530">
        <v>170752273.56999999</v>
      </c>
      <c r="Z24" s="530">
        <v>137252273.56999999</v>
      </c>
      <c r="AA24" s="530">
        <v>170752273.56999999</v>
      </c>
      <c r="AB24" s="530">
        <f>137252273.57+96725536.9033333-28052209</f>
        <v>205925601.4733333</v>
      </c>
      <c r="AC24" s="702">
        <f>SUM(Q24:AB24)</f>
        <v>1580574503.8399997</v>
      </c>
      <c r="AD24" s="646"/>
      <c r="AE24" s="3"/>
      <c r="AF24" s="515"/>
      <c r="AG24" s="515"/>
      <c r="AH24" s="515"/>
      <c r="AI24" s="515"/>
    </row>
    <row r="25" spans="1:45" ht="32.1" customHeight="1">
      <c r="A25" s="864" t="s">
        <v>47</v>
      </c>
      <c r="B25" s="865"/>
      <c r="C25" s="651">
        <v>1721301.54</v>
      </c>
      <c r="D25" s="652">
        <v>600398.46</v>
      </c>
      <c r="E25" s="652">
        <v>10231325.92</v>
      </c>
      <c r="F25" s="652">
        <v>0</v>
      </c>
      <c r="G25" s="652">
        <v>3424236.48</v>
      </c>
      <c r="H25" s="652">
        <f>(29338503*6%)</f>
        <v>1760310.18</v>
      </c>
      <c r="I25" s="652">
        <f>35681367*6%</f>
        <v>2140882.02</v>
      </c>
      <c r="J25" s="766">
        <f>26958669*6%</f>
        <v>1617520.14</v>
      </c>
      <c r="K25" s="653">
        <v>0</v>
      </c>
      <c r="L25" s="653">
        <v>0</v>
      </c>
      <c r="M25" s="653">
        <v>0</v>
      </c>
      <c r="N25" s="653">
        <v>0</v>
      </c>
      <c r="O25" s="704">
        <f>SUM(C25:N25)</f>
        <v>21495974.740000002</v>
      </c>
      <c r="P25" s="470">
        <f>O25/O24</f>
        <v>0.95840095534889158</v>
      </c>
      <c r="Q25" s="656">
        <v>0</v>
      </c>
      <c r="R25" s="657">
        <v>47866500</v>
      </c>
      <c r="S25" s="657">
        <v>133077000</v>
      </c>
      <c r="T25" s="657">
        <v>133077000</v>
      </c>
      <c r="U25" s="657">
        <v>143002000</v>
      </c>
      <c r="V25" s="657">
        <v>159456619</v>
      </c>
      <c r="W25" s="657">
        <v>127927000</v>
      </c>
      <c r="X25" s="657">
        <v>127927000</v>
      </c>
      <c r="Y25" s="658"/>
      <c r="Z25" s="658">
        <v>0</v>
      </c>
      <c r="AA25" s="658">
        <v>0</v>
      </c>
      <c r="AB25" s="658">
        <v>0</v>
      </c>
      <c r="AC25" s="775">
        <f>SUM(Q25:AB25)</f>
        <v>872333119</v>
      </c>
      <c r="AD25" s="470">
        <f>AC25/AC24</f>
        <v>0.55190888938210125</v>
      </c>
      <c r="AE25" s="3"/>
      <c r="AF25" s="515"/>
      <c r="AG25" s="512">
        <v>744406119</v>
      </c>
      <c r="AH25" s="515"/>
      <c r="AI25" s="515"/>
      <c r="AJ25" s="50"/>
      <c r="AK25" s="50"/>
      <c r="AL25" s="50"/>
      <c r="AM25" s="50"/>
      <c r="AN25" s="50"/>
      <c r="AO25" s="50"/>
      <c r="AP25" s="50"/>
      <c r="AQ25" s="50"/>
    </row>
    <row r="26" spans="1:45" ht="32.1" customHeight="1">
      <c r="A26" s="59"/>
      <c r="B26" s="54"/>
      <c r="C26" s="80"/>
      <c r="D26" s="80"/>
      <c r="E26" s="80"/>
      <c r="F26" s="80"/>
      <c r="G26" s="80"/>
      <c r="H26" s="80"/>
      <c r="I26" s="80"/>
      <c r="J26" s="80"/>
      <c r="K26" s="80"/>
      <c r="L26" s="80"/>
      <c r="M26" s="80"/>
      <c r="N26" s="80"/>
      <c r="O26" s="677"/>
      <c r="P26" s="80"/>
      <c r="Q26" s="80"/>
      <c r="R26" s="80"/>
      <c r="S26" s="80"/>
      <c r="T26" s="80"/>
      <c r="U26" s="80"/>
      <c r="V26" s="80"/>
      <c r="W26" s="80"/>
      <c r="X26" s="80"/>
      <c r="Y26" s="80"/>
      <c r="Z26" s="80"/>
      <c r="AA26" s="80"/>
      <c r="AB26" s="80"/>
      <c r="AC26" s="60"/>
      <c r="AD26" s="159"/>
      <c r="AF26" s="515"/>
      <c r="AG26" s="516"/>
      <c r="AH26" s="516"/>
      <c r="AI26" s="516"/>
    </row>
    <row r="27" spans="1:45" ht="33.950000000000003" customHeight="1">
      <c r="A27" s="866" t="s">
        <v>48</v>
      </c>
      <c r="B27" s="867"/>
      <c r="C27" s="868"/>
      <c r="D27" s="868"/>
      <c r="E27" s="868"/>
      <c r="F27" s="868"/>
      <c r="G27" s="868"/>
      <c r="H27" s="868"/>
      <c r="I27" s="868"/>
      <c r="J27" s="868"/>
      <c r="K27" s="868"/>
      <c r="L27" s="868"/>
      <c r="M27" s="868"/>
      <c r="N27" s="868"/>
      <c r="O27" s="868"/>
      <c r="P27" s="868"/>
      <c r="Q27" s="868"/>
      <c r="R27" s="868"/>
      <c r="S27" s="868"/>
      <c r="T27" s="868"/>
      <c r="U27" s="868"/>
      <c r="V27" s="868"/>
      <c r="W27" s="868"/>
      <c r="X27" s="868"/>
      <c r="Y27" s="868"/>
      <c r="Z27" s="868"/>
      <c r="AA27" s="868"/>
      <c r="AB27" s="868"/>
      <c r="AC27" s="868"/>
      <c r="AD27" s="869"/>
      <c r="AF27" s="516"/>
    </row>
    <row r="28" spans="1:45" ht="15" customHeight="1">
      <c r="A28" s="870" t="s">
        <v>49</v>
      </c>
      <c r="B28" s="872" t="s">
        <v>50</v>
      </c>
      <c r="C28" s="873"/>
      <c r="D28" s="876" t="s">
        <v>51</v>
      </c>
      <c r="E28" s="877"/>
      <c r="F28" s="877"/>
      <c r="G28" s="877"/>
      <c r="H28" s="877"/>
      <c r="I28" s="877"/>
      <c r="J28" s="877"/>
      <c r="K28" s="877"/>
      <c r="L28" s="877"/>
      <c r="M28" s="877"/>
      <c r="N28" s="877"/>
      <c r="O28" s="878"/>
      <c r="P28" s="879" t="s">
        <v>41</v>
      </c>
      <c r="Q28" s="879" t="s">
        <v>52</v>
      </c>
      <c r="R28" s="879"/>
      <c r="S28" s="879"/>
      <c r="T28" s="879"/>
      <c r="U28" s="879"/>
      <c r="V28" s="879"/>
      <c r="W28" s="879"/>
      <c r="X28" s="879"/>
      <c r="Y28" s="879"/>
      <c r="Z28" s="879"/>
      <c r="AA28" s="879"/>
      <c r="AB28" s="879"/>
      <c r="AC28" s="879"/>
      <c r="AD28" s="850"/>
    </row>
    <row r="29" spans="1:45" ht="27" customHeight="1">
      <c r="A29" s="871"/>
      <c r="B29" s="874"/>
      <c r="C29" s="875"/>
      <c r="D29" s="88" t="s">
        <v>30</v>
      </c>
      <c r="E29" s="88" t="s">
        <v>31</v>
      </c>
      <c r="F29" s="88" t="s">
        <v>32</v>
      </c>
      <c r="G29" s="88" t="s">
        <v>33</v>
      </c>
      <c r="H29" s="88" t="s">
        <v>34</v>
      </c>
      <c r="I29" s="88" t="s">
        <v>35</v>
      </c>
      <c r="J29" s="88" t="s">
        <v>36</v>
      </c>
      <c r="K29" s="88" t="s">
        <v>8</v>
      </c>
      <c r="L29" s="88" t="s">
        <v>37</v>
      </c>
      <c r="M29" s="88" t="s">
        <v>38</v>
      </c>
      <c r="N29" s="88" t="s">
        <v>39</v>
      </c>
      <c r="O29" s="88" t="s">
        <v>40</v>
      </c>
      <c r="P29" s="878"/>
      <c r="Q29" s="879"/>
      <c r="R29" s="879"/>
      <c r="S29" s="879"/>
      <c r="T29" s="879"/>
      <c r="U29" s="879"/>
      <c r="V29" s="879"/>
      <c r="W29" s="879"/>
      <c r="X29" s="879"/>
      <c r="Y29" s="879"/>
      <c r="Z29" s="879"/>
      <c r="AA29" s="879"/>
      <c r="AB29" s="879"/>
      <c r="AC29" s="879"/>
      <c r="AD29" s="850"/>
      <c r="AF29" s="156" t="s">
        <v>133</v>
      </c>
      <c r="AG29" s="156"/>
      <c r="AH29" s="433"/>
      <c r="AI29" s="433"/>
    </row>
    <row r="30" spans="1:45" ht="150.75" customHeight="1" thickBot="1">
      <c r="A30" s="377" t="str">
        <f>C17</f>
        <v>Diseñar e implementar una (1) estrategia para el desarrollo de capacidades socioemocionales y técnicas de las mujeres en toda su diversidad para su emprendimiento y empleabilidad.</v>
      </c>
      <c r="B30" s="949"/>
      <c r="C30" s="950"/>
      <c r="D30" s="89"/>
      <c r="E30" s="89"/>
      <c r="F30" s="89"/>
      <c r="G30" s="89"/>
      <c r="H30" s="89"/>
      <c r="I30" s="89"/>
      <c r="J30" s="89"/>
      <c r="K30" s="89"/>
      <c r="L30" s="89"/>
      <c r="M30" s="89"/>
      <c r="N30" s="89"/>
      <c r="O30" s="89"/>
      <c r="P30" s="86">
        <f>SUM(D30:O30)</f>
        <v>0</v>
      </c>
      <c r="Q30" s="882" t="s">
        <v>54</v>
      </c>
      <c r="R30" s="883"/>
      <c r="S30" s="883"/>
      <c r="T30" s="883"/>
      <c r="U30" s="883"/>
      <c r="V30" s="883"/>
      <c r="W30" s="883"/>
      <c r="X30" s="883"/>
      <c r="Y30" s="883"/>
      <c r="Z30" s="883"/>
      <c r="AA30" s="883"/>
      <c r="AB30" s="883"/>
      <c r="AC30" s="883"/>
      <c r="AD30" s="884"/>
      <c r="AF30" s="629" t="s">
        <v>134</v>
      </c>
      <c r="AG30" s="628"/>
      <c r="AH30" s="628"/>
      <c r="AI30" s="628"/>
      <c r="AJ30" s="733"/>
      <c r="AK30" s="733"/>
      <c r="AL30" s="733"/>
      <c r="AM30" s="733"/>
      <c r="AN30" s="733"/>
      <c r="AO30" s="733"/>
      <c r="AP30" s="733"/>
      <c r="AQ30" s="733"/>
      <c r="AR30" s="733"/>
      <c r="AS30" s="628"/>
    </row>
    <row r="31" spans="1:45" ht="45" customHeight="1">
      <c r="A31" s="885" t="s">
        <v>56</v>
      </c>
      <c r="B31" s="886"/>
      <c r="C31" s="886"/>
      <c r="D31" s="886"/>
      <c r="E31" s="886"/>
      <c r="F31" s="886"/>
      <c r="G31" s="886"/>
      <c r="H31" s="886"/>
      <c r="I31" s="886"/>
      <c r="J31" s="886"/>
      <c r="K31" s="886"/>
      <c r="L31" s="886"/>
      <c r="M31" s="886"/>
      <c r="N31" s="886"/>
      <c r="O31" s="886"/>
      <c r="P31" s="886"/>
      <c r="Q31" s="886"/>
      <c r="R31" s="886"/>
      <c r="S31" s="886"/>
      <c r="T31" s="886"/>
      <c r="U31" s="886"/>
      <c r="V31" s="886"/>
      <c r="W31" s="886"/>
      <c r="X31" s="886"/>
      <c r="Y31" s="886"/>
      <c r="Z31" s="886"/>
      <c r="AA31" s="886"/>
      <c r="AB31" s="886"/>
      <c r="AC31" s="886"/>
      <c r="AD31" s="887"/>
      <c r="AJ31" s="732"/>
      <c r="AK31" s="732"/>
      <c r="AL31" s="732"/>
      <c r="AM31" s="734"/>
      <c r="AN31" s="734"/>
      <c r="AO31" s="734"/>
      <c r="AP31" s="734"/>
      <c r="AQ31" s="734"/>
      <c r="AR31" s="735"/>
    </row>
    <row r="32" spans="1:45" ht="23.1" customHeight="1">
      <c r="A32" s="849" t="s">
        <v>57</v>
      </c>
      <c r="B32" s="879" t="s">
        <v>58</v>
      </c>
      <c r="C32" s="879" t="s">
        <v>50</v>
      </c>
      <c r="D32" s="879" t="s">
        <v>59</v>
      </c>
      <c r="E32" s="879"/>
      <c r="F32" s="879"/>
      <c r="G32" s="879"/>
      <c r="H32" s="879"/>
      <c r="I32" s="879"/>
      <c r="J32" s="879"/>
      <c r="K32" s="879"/>
      <c r="L32" s="879"/>
      <c r="M32" s="879"/>
      <c r="N32" s="879"/>
      <c r="O32" s="879"/>
      <c r="P32" s="879"/>
      <c r="Q32" s="879" t="s">
        <v>60</v>
      </c>
      <c r="R32" s="879"/>
      <c r="S32" s="879"/>
      <c r="T32" s="879"/>
      <c r="U32" s="879"/>
      <c r="V32" s="879"/>
      <c r="W32" s="879"/>
      <c r="X32" s="879"/>
      <c r="Y32" s="879"/>
      <c r="Z32" s="879"/>
      <c r="AA32" s="879"/>
      <c r="AB32" s="879"/>
      <c r="AC32" s="879"/>
      <c r="AD32" s="850"/>
      <c r="AJ32" s="736"/>
      <c r="AK32" s="736"/>
      <c r="AL32" s="736"/>
      <c r="AM32" s="737"/>
      <c r="AN32" s="737"/>
      <c r="AO32" s="737"/>
      <c r="AP32" s="737"/>
      <c r="AQ32" s="737"/>
      <c r="AR32" s="738"/>
    </row>
    <row r="33" spans="1:46" ht="23.1" customHeight="1">
      <c r="A33" s="849"/>
      <c r="B33" s="879"/>
      <c r="C33" s="888"/>
      <c r="D33" s="88" t="s">
        <v>30</v>
      </c>
      <c r="E33" s="88" t="s">
        <v>31</v>
      </c>
      <c r="F33" s="88" t="s">
        <v>32</v>
      </c>
      <c r="G33" s="88" t="s">
        <v>33</v>
      </c>
      <c r="H33" s="88" t="s">
        <v>34</v>
      </c>
      <c r="I33" s="88" t="s">
        <v>35</v>
      </c>
      <c r="J33" s="88" t="s">
        <v>36</v>
      </c>
      <c r="K33" s="88" t="s">
        <v>8</v>
      </c>
      <c r="L33" s="88" t="s">
        <v>37</v>
      </c>
      <c r="M33" s="88" t="s">
        <v>38</v>
      </c>
      <c r="N33" s="88" t="s">
        <v>39</v>
      </c>
      <c r="O33" s="88" t="s">
        <v>40</v>
      </c>
      <c r="P33" s="88" t="s">
        <v>41</v>
      </c>
      <c r="Q33" s="874" t="s">
        <v>61</v>
      </c>
      <c r="R33" s="889"/>
      <c r="S33" s="889"/>
      <c r="T33" s="889"/>
      <c r="U33" s="889"/>
      <c r="V33" s="875"/>
      <c r="W33" s="874" t="s">
        <v>62</v>
      </c>
      <c r="X33" s="889"/>
      <c r="Y33" s="889"/>
      <c r="Z33" s="875"/>
      <c r="AA33" s="874" t="s">
        <v>63</v>
      </c>
      <c r="AB33" s="889"/>
      <c r="AC33" s="889"/>
      <c r="AD33" s="898"/>
      <c r="AF33" s="156" t="s">
        <v>135</v>
      </c>
      <c r="AG33" s="156" t="s">
        <v>136</v>
      </c>
      <c r="AH33" s="433" t="s">
        <v>137</v>
      </c>
      <c r="AI33" s="433" t="s">
        <v>138</v>
      </c>
      <c r="AJ33" s="732"/>
      <c r="AK33" s="540" t="s">
        <v>64</v>
      </c>
      <c r="AL33" s="541" t="s">
        <v>65</v>
      </c>
      <c r="AM33" s="541" t="s">
        <v>66</v>
      </c>
      <c r="AN33" s="541" t="s">
        <v>67</v>
      </c>
      <c r="AO33" s="541" t="s">
        <v>68</v>
      </c>
      <c r="AP33" s="541" t="s">
        <v>69</v>
      </c>
      <c r="AQ33" s="541" t="s">
        <v>70</v>
      </c>
      <c r="AR33" s="541" t="s">
        <v>71</v>
      </c>
    </row>
    <row r="34" spans="1:46" ht="104.25" customHeight="1">
      <c r="A34" s="934" t="str">
        <f>C17</f>
        <v>Diseñar e implementar una (1) estrategia para el desarrollo de capacidades socioemocionales y técnicas de las mujeres en toda su diversidad para su emprendimiento y empleabilidad.</v>
      </c>
      <c r="B34" s="901">
        <f>B38+B40+B42+B44+B46</f>
        <v>0.25</v>
      </c>
      <c r="C34" s="90" t="s">
        <v>72</v>
      </c>
      <c r="D34" s="205">
        <f>D68</f>
        <v>0</v>
      </c>
      <c r="E34" s="205">
        <f t="shared" ref="E34:O34" si="0">E68</f>
        <v>1.0400000000000003E-2</v>
      </c>
      <c r="F34" s="205">
        <f t="shared" si="0"/>
        <v>2.0000000000000004E-2</v>
      </c>
      <c r="G34" s="205">
        <f t="shared" si="0"/>
        <v>2.0000000000000004E-2</v>
      </c>
      <c r="H34" s="205">
        <f t="shared" si="0"/>
        <v>2.0000000000000004E-2</v>
      </c>
      <c r="I34" s="205">
        <f t="shared" si="0"/>
        <v>2.0000000000000004E-2</v>
      </c>
      <c r="J34" s="205">
        <f t="shared" si="0"/>
        <v>2.0000000000000004E-2</v>
      </c>
      <c r="K34" s="205">
        <f t="shared" si="0"/>
        <v>2.0000000000000004E-2</v>
      </c>
      <c r="L34" s="205">
        <f t="shared" si="0"/>
        <v>2.0000000000000004E-2</v>
      </c>
      <c r="M34" s="205">
        <f t="shared" si="0"/>
        <v>2.0000000000000004E-2</v>
      </c>
      <c r="N34" s="205">
        <f t="shared" si="0"/>
        <v>2.0000000000000004E-2</v>
      </c>
      <c r="O34" s="205">
        <f t="shared" si="0"/>
        <v>9.6000000000000026E-3</v>
      </c>
      <c r="P34" s="205">
        <f>SUM(D34:O34)</f>
        <v>0.20000000000000007</v>
      </c>
      <c r="Q34" s="983" t="s">
        <v>139</v>
      </c>
      <c r="R34" s="984"/>
      <c r="S34" s="984"/>
      <c r="T34" s="984"/>
      <c r="U34" s="984"/>
      <c r="V34" s="985"/>
      <c r="W34" s="983" t="s">
        <v>140</v>
      </c>
      <c r="X34" s="984"/>
      <c r="Y34" s="984"/>
      <c r="Z34" s="985"/>
      <c r="AA34" s="983" t="s">
        <v>141</v>
      </c>
      <c r="AB34" s="989"/>
      <c r="AC34" s="989"/>
      <c r="AD34" s="990"/>
      <c r="AF34" s="620" t="s">
        <v>142</v>
      </c>
      <c r="AG34" s="621" t="s">
        <v>143</v>
      </c>
      <c r="AH34" s="621" t="s">
        <v>144</v>
      </c>
      <c r="AI34" s="621"/>
      <c r="AJ34" s="732"/>
      <c r="AK34" s="531" t="s">
        <v>145</v>
      </c>
      <c r="AL34" s="531" t="s">
        <v>146</v>
      </c>
      <c r="AM34" s="531" t="s">
        <v>147</v>
      </c>
      <c r="AN34" s="531" t="s">
        <v>148</v>
      </c>
      <c r="AO34" s="531" t="s">
        <v>149</v>
      </c>
      <c r="AP34" s="531" t="s">
        <v>150</v>
      </c>
      <c r="AQ34" s="531" t="s">
        <v>151</v>
      </c>
      <c r="AR34" s="531" t="s">
        <v>152</v>
      </c>
      <c r="AS34" s="512"/>
      <c r="AT34" s="512"/>
    </row>
    <row r="35" spans="1:46" ht="104.25" customHeight="1" thickBot="1">
      <c r="A35" s="935"/>
      <c r="B35" s="936"/>
      <c r="C35" s="368" t="s">
        <v>84</v>
      </c>
      <c r="D35" s="413">
        <f t="shared" ref="D35:O35" si="1">D65</f>
        <v>0</v>
      </c>
      <c r="E35" s="413">
        <f t="shared" si="1"/>
        <v>1.0480000000000003E-2</v>
      </c>
      <c r="F35" s="413">
        <f t="shared" si="1"/>
        <v>1.9440000000000006E-2</v>
      </c>
      <c r="G35" s="413">
        <f t="shared" si="1"/>
        <v>1.7280000000000007E-2</v>
      </c>
      <c r="H35" s="413">
        <f t="shared" si="1"/>
        <v>2.0000000000000004E-2</v>
      </c>
      <c r="I35" s="413">
        <f t="shared" si="1"/>
        <v>2.1600000000000008E-2</v>
      </c>
      <c r="J35" s="413">
        <f t="shared" si="1"/>
        <v>1.9440000000000006E-2</v>
      </c>
      <c r="K35" s="413">
        <f t="shared" si="1"/>
        <v>2.0000000000000004E-2</v>
      </c>
      <c r="L35" s="413">
        <f t="shared" si="1"/>
        <v>0</v>
      </c>
      <c r="M35" s="413">
        <f t="shared" si="1"/>
        <v>0</v>
      </c>
      <c r="N35" s="413">
        <f t="shared" si="1"/>
        <v>0</v>
      </c>
      <c r="O35" s="413">
        <f t="shared" si="1"/>
        <v>0</v>
      </c>
      <c r="P35" s="367">
        <f>SUM(D35:O35)</f>
        <v>0.12824000000000002</v>
      </c>
      <c r="Q35" s="986"/>
      <c r="R35" s="987"/>
      <c r="S35" s="987"/>
      <c r="T35" s="987"/>
      <c r="U35" s="987"/>
      <c r="V35" s="988"/>
      <c r="W35" s="986"/>
      <c r="X35" s="987"/>
      <c r="Y35" s="987"/>
      <c r="Z35" s="988"/>
      <c r="AA35" s="991"/>
      <c r="AB35" s="992"/>
      <c r="AC35" s="992"/>
      <c r="AD35" s="993"/>
      <c r="AE35" s="49"/>
      <c r="AG35" s="612"/>
      <c r="AH35" s="612"/>
      <c r="AI35" s="612"/>
      <c r="AJ35" s="732"/>
      <c r="AK35" s="739">
        <f t="shared" ref="AK35:AP35" si="2">LEN(AK34)</f>
        <v>301</v>
      </c>
      <c r="AL35" s="739">
        <f t="shared" si="2"/>
        <v>288</v>
      </c>
      <c r="AM35" s="739">
        <f t="shared" si="2"/>
        <v>301</v>
      </c>
      <c r="AN35" s="739">
        <f t="shared" si="2"/>
        <v>298</v>
      </c>
      <c r="AO35" s="739">
        <f t="shared" si="2"/>
        <v>299</v>
      </c>
      <c r="AP35" s="739">
        <f t="shared" si="2"/>
        <v>298</v>
      </c>
      <c r="AQ35" s="739">
        <f t="shared" ref="AQ35:AR35" si="3">LEN(AQ34)</f>
        <v>300</v>
      </c>
      <c r="AR35" s="739">
        <f t="shared" si="3"/>
        <v>300</v>
      </c>
      <c r="AS35" s="528"/>
    </row>
    <row r="36" spans="1:46" ht="32.25" customHeight="1">
      <c r="A36" s="862" t="s">
        <v>85</v>
      </c>
      <c r="B36" s="927" t="s">
        <v>86</v>
      </c>
      <c r="C36" s="929" t="s">
        <v>87</v>
      </c>
      <c r="D36" s="929"/>
      <c r="E36" s="929"/>
      <c r="F36" s="929"/>
      <c r="G36" s="929"/>
      <c r="H36" s="929"/>
      <c r="I36" s="929"/>
      <c r="J36" s="929"/>
      <c r="K36" s="929"/>
      <c r="L36" s="929"/>
      <c r="M36" s="929"/>
      <c r="N36" s="929"/>
      <c r="O36" s="929"/>
      <c r="P36" s="929"/>
      <c r="Q36" s="995" t="s">
        <v>88</v>
      </c>
      <c r="R36" s="996"/>
      <c r="S36" s="996"/>
      <c r="T36" s="996"/>
      <c r="U36" s="996"/>
      <c r="V36" s="996"/>
      <c r="W36" s="996"/>
      <c r="X36" s="996"/>
      <c r="Y36" s="996"/>
      <c r="Z36" s="996"/>
      <c r="AA36" s="996"/>
      <c r="AB36" s="996"/>
      <c r="AC36" s="996"/>
      <c r="AD36" s="997"/>
      <c r="AG36" s="621"/>
      <c r="AH36" s="621"/>
      <c r="AI36" s="621"/>
      <c r="AJ36" s="736"/>
      <c r="AK36" s="736"/>
      <c r="AL36" s="736"/>
      <c r="AM36" s="737"/>
      <c r="AN36" s="737"/>
      <c r="AO36" s="737"/>
      <c r="AP36" s="737"/>
      <c r="AQ36" s="737"/>
      <c r="AR36" s="738"/>
    </row>
    <row r="37" spans="1:46" ht="32.25" customHeight="1" thickBot="1">
      <c r="A37" s="953"/>
      <c r="B37" s="994"/>
      <c r="C37" s="202" t="s">
        <v>89</v>
      </c>
      <c r="D37" s="202" t="s">
        <v>90</v>
      </c>
      <c r="E37" s="202" t="s">
        <v>91</v>
      </c>
      <c r="F37" s="202" t="s">
        <v>92</v>
      </c>
      <c r="G37" s="202" t="s">
        <v>93</v>
      </c>
      <c r="H37" s="202" t="s">
        <v>94</v>
      </c>
      <c r="I37" s="202" t="s">
        <v>95</v>
      </c>
      <c r="J37" s="202" t="s">
        <v>96</v>
      </c>
      <c r="K37" s="202" t="s">
        <v>97</v>
      </c>
      <c r="L37" s="202" t="s">
        <v>98</v>
      </c>
      <c r="M37" s="202" t="s">
        <v>99</v>
      </c>
      <c r="N37" s="202" t="s">
        <v>100</v>
      </c>
      <c r="O37" s="202" t="s">
        <v>101</v>
      </c>
      <c r="P37" s="202" t="s">
        <v>102</v>
      </c>
      <c r="Q37" s="998" t="s">
        <v>103</v>
      </c>
      <c r="R37" s="999"/>
      <c r="S37" s="999"/>
      <c r="T37" s="999"/>
      <c r="U37" s="999"/>
      <c r="V37" s="999"/>
      <c r="W37" s="999"/>
      <c r="X37" s="999"/>
      <c r="Y37" s="999"/>
      <c r="Z37" s="999"/>
      <c r="AA37" s="999"/>
      <c r="AB37" s="999"/>
      <c r="AC37" s="999"/>
      <c r="AD37" s="1000"/>
      <c r="AF37" s="156" t="s">
        <v>153</v>
      </c>
      <c r="AG37" s="521" t="s">
        <v>154</v>
      </c>
      <c r="AH37" s="433" t="s">
        <v>137</v>
      </c>
      <c r="AI37" s="433" t="s">
        <v>138</v>
      </c>
      <c r="AJ37" s="740"/>
      <c r="AK37" s="541"/>
      <c r="AL37" s="541"/>
      <c r="AM37" s="741"/>
      <c r="AN37" s="741"/>
      <c r="AO37" s="741"/>
      <c r="AP37" s="741"/>
      <c r="AQ37" s="741"/>
      <c r="AR37" s="742"/>
    </row>
    <row r="38" spans="1:46" ht="65.25" customHeight="1">
      <c r="A38" s="974" t="s">
        <v>155</v>
      </c>
      <c r="B38" s="976">
        <v>7.0000000000000007E-2</v>
      </c>
      <c r="C38" s="203" t="s">
        <v>72</v>
      </c>
      <c r="D38" s="204">
        <v>0</v>
      </c>
      <c r="E38" s="204">
        <v>0.05</v>
      </c>
      <c r="F38" s="204">
        <v>0.1</v>
      </c>
      <c r="G38" s="204">
        <v>0.1</v>
      </c>
      <c r="H38" s="204">
        <v>0.1</v>
      </c>
      <c r="I38" s="204">
        <v>0.1</v>
      </c>
      <c r="J38" s="204">
        <v>0.1</v>
      </c>
      <c r="K38" s="204">
        <v>0.1</v>
      </c>
      <c r="L38" s="204">
        <v>0.1</v>
      </c>
      <c r="M38" s="204">
        <v>0.1</v>
      </c>
      <c r="N38" s="204">
        <v>0.1</v>
      </c>
      <c r="O38" s="204">
        <v>0.05</v>
      </c>
      <c r="P38" s="347">
        <f t="shared" ref="P38:P45" si="4">SUM(D38:O38)</f>
        <v>0.99999999999999989</v>
      </c>
      <c r="Q38" s="978" t="s">
        <v>156</v>
      </c>
      <c r="R38" s="978"/>
      <c r="S38" s="978"/>
      <c r="T38" s="978"/>
      <c r="U38" s="978"/>
      <c r="V38" s="978"/>
      <c r="W38" s="978"/>
      <c r="X38" s="978"/>
      <c r="Y38" s="978"/>
      <c r="Z38" s="978"/>
      <c r="AA38" s="978"/>
      <c r="AB38" s="978"/>
      <c r="AC38" s="978"/>
      <c r="AD38" s="979"/>
      <c r="AE38" s="522"/>
      <c r="AF38" s="1003" t="s">
        <v>157</v>
      </c>
      <c r="AG38" s="1003" t="s">
        <v>158</v>
      </c>
      <c r="AH38" s="620" t="s">
        <v>159</v>
      </c>
      <c r="AI38" s="620"/>
      <c r="AJ38" s="743"/>
      <c r="AK38" s="540"/>
      <c r="AL38" s="540"/>
      <c r="AM38" s="744"/>
      <c r="AN38" s="744"/>
      <c r="AO38" s="744"/>
      <c r="AP38" s="744"/>
      <c r="AQ38" s="744"/>
      <c r="AR38" s="745"/>
    </row>
    <row r="39" spans="1:46" ht="65.25" customHeight="1">
      <c r="A39" s="975"/>
      <c r="B39" s="977"/>
      <c r="C39" s="99" t="s">
        <v>84</v>
      </c>
      <c r="D39" s="100">
        <v>0</v>
      </c>
      <c r="E39" s="100">
        <v>0.04</v>
      </c>
      <c r="F39" s="100">
        <v>0.09</v>
      </c>
      <c r="G39" s="100">
        <v>0.08</v>
      </c>
      <c r="H39" s="100">
        <v>0.1</v>
      </c>
      <c r="I39" s="100">
        <v>0.1</v>
      </c>
      <c r="J39" s="100">
        <v>0.09</v>
      </c>
      <c r="K39" s="100">
        <v>0.1</v>
      </c>
      <c r="L39" s="100"/>
      <c r="M39" s="100"/>
      <c r="N39" s="100"/>
      <c r="O39" s="100"/>
      <c r="P39" s="348">
        <f t="shared" si="4"/>
        <v>0.6</v>
      </c>
      <c r="Q39" s="978"/>
      <c r="R39" s="978"/>
      <c r="S39" s="978"/>
      <c r="T39" s="978"/>
      <c r="U39" s="978"/>
      <c r="V39" s="978"/>
      <c r="W39" s="978"/>
      <c r="X39" s="978"/>
      <c r="Y39" s="978"/>
      <c r="Z39" s="978"/>
      <c r="AA39" s="978"/>
      <c r="AB39" s="978"/>
      <c r="AC39" s="978"/>
      <c r="AD39" s="979"/>
      <c r="AE39" s="522"/>
      <c r="AF39" s="1003"/>
      <c r="AG39" s="1003"/>
      <c r="AH39" s="623"/>
      <c r="AI39" s="623"/>
      <c r="AJ39" s="743"/>
      <c r="AK39" s="732"/>
      <c r="AL39" s="732"/>
      <c r="AM39" s="734"/>
      <c r="AN39" s="734"/>
      <c r="AO39" s="734"/>
      <c r="AP39" s="734"/>
      <c r="AQ39" s="734"/>
      <c r="AR39" s="735"/>
    </row>
    <row r="40" spans="1:46" ht="72.75" customHeight="1">
      <c r="A40" s="975" t="s">
        <v>160</v>
      </c>
      <c r="B40" s="901">
        <v>0.05</v>
      </c>
      <c r="C40" s="102" t="s">
        <v>72</v>
      </c>
      <c r="D40" s="103">
        <v>0</v>
      </c>
      <c r="E40" s="103">
        <v>0.1</v>
      </c>
      <c r="F40" s="103">
        <v>0.1</v>
      </c>
      <c r="G40" s="103">
        <v>0.1</v>
      </c>
      <c r="H40" s="103">
        <v>0.1</v>
      </c>
      <c r="I40" s="103">
        <v>0.1</v>
      </c>
      <c r="J40" s="103">
        <v>0.1</v>
      </c>
      <c r="K40" s="103">
        <v>0.1</v>
      </c>
      <c r="L40" s="103">
        <v>0.1</v>
      </c>
      <c r="M40" s="103">
        <v>0.1</v>
      </c>
      <c r="N40" s="103">
        <v>0.1</v>
      </c>
      <c r="O40" s="103">
        <v>0</v>
      </c>
      <c r="P40" s="348">
        <f t="shared" si="4"/>
        <v>0.99999999999999989</v>
      </c>
      <c r="Q40" s="978" t="s">
        <v>161</v>
      </c>
      <c r="R40" s="978"/>
      <c r="S40" s="978"/>
      <c r="T40" s="978"/>
      <c r="U40" s="978"/>
      <c r="V40" s="978"/>
      <c r="W40" s="978"/>
      <c r="X40" s="978"/>
      <c r="Y40" s="978"/>
      <c r="Z40" s="978"/>
      <c r="AA40" s="978"/>
      <c r="AB40" s="978"/>
      <c r="AC40" s="978"/>
      <c r="AD40" s="979"/>
      <c r="AE40" s="522"/>
      <c r="AF40" s="1003" t="s">
        <v>162</v>
      </c>
      <c r="AG40" s="1003" t="s">
        <v>163</v>
      </c>
      <c r="AH40" s="620" t="s">
        <v>164</v>
      </c>
      <c r="AI40" s="620"/>
      <c r="AJ40" s="743"/>
      <c r="AK40" s="732"/>
      <c r="AL40" s="732"/>
      <c r="AM40" s="734"/>
      <c r="AN40" s="734"/>
      <c r="AO40" s="734"/>
      <c r="AP40" s="734"/>
      <c r="AQ40" s="734"/>
      <c r="AR40" s="735"/>
    </row>
    <row r="41" spans="1:46" ht="72.75" customHeight="1">
      <c r="A41" s="975"/>
      <c r="B41" s="977"/>
      <c r="C41" s="99" t="s">
        <v>84</v>
      </c>
      <c r="D41" s="100">
        <v>0</v>
      </c>
      <c r="E41" s="100">
        <v>0.1</v>
      </c>
      <c r="F41" s="100">
        <v>0.1</v>
      </c>
      <c r="G41" s="100">
        <v>0.1</v>
      </c>
      <c r="H41" s="100">
        <v>0.1</v>
      </c>
      <c r="I41" s="100">
        <v>0.1</v>
      </c>
      <c r="J41" s="100">
        <v>0.1</v>
      </c>
      <c r="K41" s="100">
        <v>0.1</v>
      </c>
      <c r="L41" s="100"/>
      <c r="M41" s="100"/>
      <c r="N41" s="100"/>
      <c r="O41" s="100"/>
      <c r="P41" s="348">
        <f t="shared" si="4"/>
        <v>0.7</v>
      </c>
      <c r="Q41" s="978"/>
      <c r="R41" s="978"/>
      <c r="S41" s="978"/>
      <c r="T41" s="978"/>
      <c r="U41" s="978"/>
      <c r="V41" s="978"/>
      <c r="W41" s="978"/>
      <c r="X41" s="978"/>
      <c r="Y41" s="978"/>
      <c r="Z41" s="978"/>
      <c r="AA41" s="978"/>
      <c r="AB41" s="978"/>
      <c r="AC41" s="978"/>
      <c r="AD41" s="979"/>
      <c r="AE41" s="522"/>
      <c r="AF41" s="1003"/>
      <c r="AG41" s="1003"/>
      <c r="AH41" s="623"/>
      <c r="AI41" s="623"/>
      <c r="AJ41" s="743"/>
      <c r="AK41" s="732"/>
      <c r="AL41" s="732"/>
      <c r="AM41" s="734"/>
      <c r="AN41" s="734"/>
      <c r="AO41" s="734"/>
      <c r="AP41" s="734"/>
      <c r="AQ41" s="734"/>
      <c r="AR41" s="735"/>
    </row>
    <row r="42" spans="1:46" ht="69.75" customHeight="1">
      <c r="A42" s="975" t="s">
        <v>165</v>
      </c>
      <c r="B42" s="901">
        <v>0.05</v>
      </c>
      <c r="C42" s="102" t="s">
        <v>72</v>
      </c>
      <c r="D42" s="103">
        <v>0</v>
      </c>
      <c r="E42" s="103">
        <v>0.05</v>
      </c>
      <c r="F42" s="103">
        <v>0.1</v>
      </c>
      <c r="G42" s="103">
        <v>0.1</v>
      </c>
      <c r="H42" s="103">
        <v>0.1</v>
      </c>
      <c r="I42" s="103">
        <v>0.1</v>
      </c>
      <c r="J42" s="103">
        <v>0.1</v>
      </c>
      <c r="K42" s="103">
        <v>0.1</v>
      </c>
      <c r="L42" s="103">
        <v>0.1</v>
      </c>
      <c r="M42" s="103">
        <v>0.1</v>
      </c>
      <c r="N42" s="103">
        <v>0.1</v>
      </c>
      <c r="O42" s="103">
        <v>0.05</v>
      </c>
      <c r="P42" s="348">
        <f>SUM(D42:O42)</f>
        <v>0.99999999999999989</v>
      </c>
      <c r="Q42" s="978" t="s">
        <v>166</v>
      </c>
      <c r="R42" s="978"/>
      <c r="S42" s="978"/>
      <c r="T42" s="978"/>
      <c r="U42" s="978"/>
      <c r="V42" s="978"/>
      <c r="W42" s="978"/>
      <c r="X42" s="978"/>
      <c r="Y42" s="978"/>
      <c r="Z42" s="978"/>
      <c r="AA42" s="978"/>
      <c r="AB42" s="978"/>
      <c r="AC42" s="978"/>
      <c r="AD42" s="979"/>
      <c r="AE42" s="97"/>
      <c r="AF42" s="1003" t="s">
        <v>167</v>
      </c>
      <c r="AG42" s="1003" t="s">
        <v>168</v>
      </c>
      <c r="AH42" s="620" t="s">
        <v>169</v>
      </c>
      <c r="AI42" s="620"/>
      <c r="AJ42" s="732"/>
      <c r="AK42" s="732"/>
      <c r="AL42" s="732"/>
      <c r="AM42" s="734"/>
      <c r="AN42" s="734"/>
      <c r="AO42" s="734"/>
      <c r="AP42" s="734"/>
      <c r="AQ42" s="734"/>
      <c r="AR42" s="735"/>
    </row>
    <row r="43" spans="1:46" ht="69.75" customHeight="1">
      <c r="A43" s="975"/>
      <c r="B43" s="977"/>
      <c r="C43" s="99" t="s">
        <v>84</v>
      </c>
      <c r="D43" s="100">
        <v>0</v>
      </c>
      <c r="E43" s="100">
        <v>0.05</v>
      </c>
      <c r="F43" s="100">
        <v>0.1</v>
      </c>
      <c r="G43" s="100">
        <v>0.1</v>
      </c>
      <c r="H43" s="100">
        <v>0.1</v>
      </c>
      <c r="I43" s="100">
        <v>0.1</v>
      </c>
      <c r="J43" s="100">
        <v>0.1</v>
      </c>
      <c r="K43" s="100">
        <v>0.1</v>
      </c>
      <c r="L43" s="100"/>
      <c r="M43" s="100"/>
      <c r="N43" s="100"/>
      <c r="O43" s="100"/>
      <c r="P43" s="348">
        <f>SUM(D43:O43)</f>
        <v>0.64999999999999991</v>
      </c>
      <c r="Q43" s="978"/>
      <c r="R43" s="978"/>
      <c r="S43" s="978"/>
      <c r="T43" s="978"/>
      <c r="U43" s="978"/>
      <c r="V43" s="978"/>
      <c r="W43" s="978"/>
      <c r="X43" s="978"/>
      <c r="Y43" s="978"/>
      <c r="Z43" s="978"/>
      <c r="AA43" s="978"/>
      <c r="AB43" s="978"/>
      <c r="AC43" s="978"/>
      <c r="AD43" s="979"/>
      <c r="AE43" s="97"/>
      <c r="AF43" s="1003"/>
      <c r="AG43" s="1003"/>
      <c r="AH43" s="623"/>
      <c r="AI43" s="623"/>
      <c r="AJ43" s="746"/>
      <c r="AK43" s="540" t="s">
        <v>170</v>
      </c>
      <c r="AL43" s="540" t="s">
        <v>171</v>
      </c>
      <c r="AM43" s="540" t="s">
        <v>172</v>
      </c>
      <c r="AN43" s="540" t="s">
        <v>173</v>
      </c>
      <c r="AO43" s="540" t="s">
        <v>174</v>
      </c>
      <c r="AP43" s="540" t="s">
        <v>175</v>
      </c>
      <c r="AQ43" s="540" t="s">
        <v>176</v>
      </c>
      <c r="AR43" s="540" t="s">
        <v>177</v>
      </c>
    </row>
    <row r="44" spans="1:46" ht="53.25" customHeight="1">
      <c r="A44" s="975" t="s">
        <v>178</v>
      </c>
      <c r="B44" s="901">
        <v>0.04</v>
      </c>
      <c r="C44" s="102" t="s">
        <v>72</v>
      </c>
      <c r="D44" s="103">
        <v>0</v>
      </c>
      <c r="E44" s="103">
        <v>0</v>
      </c>
      <c r="F44" s="103">
        <v>0.1</v>
      </c>
      <c r="G44" s="103">
        <v>0.1</v>
      </c>
      <c r="H44" s="103">
        <v>0.1</v>
      </c>
      <c r="I44" s="103">
        <v>0.1</v>
      </c>
      <c r="J44" s="103">
        <v>0.1</v>
      </c>
      <c r="K44" s="103">
        <v>0.1</v>
      </c>
      <c r="L44" s="103">
        <v>0.1</v>
      </c>
      <c r="M44" s="103">
        <v>0.1</v>
      </c>
      <c r="N44" s="103">
        <v>0.1</v>
      </c>
      <c r="O44" s="103">
        <v>0.1</v>
      </c>
      <c r="P44" s="348">
        <f t="shared" si="4"/>
        <v>0.99999999999999989</v>
      </c>
      <c r="Q44" s="978" t="s">
        <v>179</v>
      </c>
      <c r="R44" s="978"/>
      <c r="S44" s="978"/>
      <c r="T44" s="978"/>
      <c r="U44" s="978"/>
      <c r="V44" s="978"/>
      <c r="W44" s="978"/>
      <c r="X44" s="978"/>
      <c r="Y44" s="978"/>
      <c r="Z44" s="978"/>
      <c r="AA44" s="978"/>
      <c r="AB44" s="978"/>
      <c r="AC44" s="978"/>
      <c r="AD44" s="979"/>
      <c r="AE44" s="97"/>
      <c r="AF44" s="1003" t="s">
        <v>180</v>
      </c>
      <c r="AG44" s="1003" t="s">
        <v>181</v>
      </c>
      <c r="AH44" s="623"/>
      <c r="AI44" s="623"/>
      <c r="AJ44" s="746"/>
      <c r="AK44" s="746"/>
      <c r="AL44" s="746"/>
      <c r="AM44" s="746"/>
      <c r="AN44" s="746"/>
      <c r="AO44" s="756" t="s">
        <v>182</v>
      </c>
      <c r="AP44" s="756" t="s">
        <v>183</v>
      </c>
      <c r="AQ44" s="756" t="s">
        <v>184</v>
      </c>
      <c r="AR44" s="756" t="s">
        <v>179</v>
      </c>
    </row>
    <row r="45" spans="1:46" ht="53.25" customHeight="1">
      <c r="A45" s="975"/>
      <c r="B45" s="977"/>
      <c r="C45" s="99" t="s">
        <v>84</v>
      </c>
      <c r="D45" s="100">
        <v>0</v>
      </c>
      <c r="E45" s="100">
        <v>0.02</v>
      </c>
      <c r="F45" s="100">
        <v>0.1</v>
      </c>
      <c r="G45" s="100">
        <v>0.05</v>
      </c>
      <c r="H45" s="100">
        <v>0.1</v>
      </c>
      <c r="I45" s="100">
        <v>0.15</v>
      </c>
      <c r="J45" s="100">
        <v>0.1</v>
      </c>
      <c r="K45" s="100">
        <v>0.1</v>
      </c>
      <c r="L45" s="100"/>
      <c r="M45" s="100"/>
      <c r="N45" s="100"/>
      <c r="O45" s="100"/>
      <c r="P45" s="348">
        <f t="shared" si="4"/>
        <v>0.62</v>
      </c>
      <c r="Q45" s="978"/>
      <c r="R45" s="978"/>
      <c r="S45" s="978"/>
      <c r="T45" s="978"/>
      <c r="U45" s="978"/>
      <c r="V45" s="978"/>
      <c r="W45" s="978"/>
      <c r="X45" s="978"/>
      <c r="Y45" s="978"/>
      <c r="Z45" s="978"/>
      <c r="AA45" s="978"/>
      <c r="AB45" s="978"/>
      <c r="AC45" s="978"/>
      <c r="AD45" s="979"/>
      <c r="AE45" s="97"/>
      <c r="AF45" s="1003"/>
      <c r="AG45" s="1003"/>
      <c r="AH45" s="623"/>
      <c r="AI45" s="623"/>
      <c r="AJ45" s="747"/>
      <c r="AK45" s="748">
        <f>LEN(AK44)</f>
        <v>0</v>
      </c>
      <c r="AL45" s="748">
        <f t="shared" ref="AL45:AQ45" si="5">LEN(AL44)</f>
        <v>0</v>
      </c>
      <c r="AM45" s="748">
        <f t="shared" si="5"/>
        <v>0</v>
      </c>
      <c r="AN45" s="748">
        <f t="shared" si="5"/>
        <v>0</v>
      </c>
      <c r="AO45" s="748">
        <f t="shared" si="5"/>
        <v>262</v>
      </c>
      <c r="AP45" s="748">
        <f t="shared" si="5"/>
        <v>298</v>
      </c>
      <c r="AQ45" s="748">
        <f t="shared" si="5"/>
        <v>292</v>
      </c>
      <c r="AR45" s="748">
        <f t="shared" ref="AR45" si="6">LEN(AR44)</f>
        <v>216</v>
      </c>
    </row>
    <row r="46" spans="1:46" ht="157.5" customHeight="1">
      <c r="A46" s="975" t="s">
        <v>185</v>
      </c>
      <c r="B46" s="901">
        <v>0.04</v>
      </c>
      <c r="C46" s="102" t="s">
        <v>72</v>
      </c>
      <c r="D46" s="103">
        <v>0</v>
      </c>
      <c r="E46" s="103">
        <v>0.05</v>
      </c>
      <c r="F46" s="103">
        <v>0.1</v>
      </c>
      <c r="G46" s="103">
        <v>0.1</v>
      </c>
      <c r="H46" s="103">
        <v>0.1</v>
      </c>
      <c r="I46" s="103">
        <v>0.1</v>
      </c>
      <c r="J46" s="103">
        <v>0.1</v>
      </c>
      <c r="K46" s="103">
        <v>0.1</v>
      </c>
      <c r="L46" s="103">
        <v>0.1</v>
      </c>
      <c r="M46" s="103">
        <v>0.1</v>
      </c>
      <c r="N46" s="103">
        <v>0.1</v>
      </c>
      <c r="O46" s="103">
        <v>0.05</v>
      </c>
      <c r="P46" s="348">
        <f>SUM(D46:O46)</f>
        <v>0.99999999999999989</v>
      </c>
      <c r="Q46" s="1006" t="s">
        <v>186</v>
      </c>
      <c r="R46" s="1007"/>
      <c r="S46" s="1007"/>
      <c r="T46" s="1007"/>
      <c r="U46" s="1007"/>
      <c r="V46" s="1007"/>
      <c r="W46" s="1007"/>
      <c r="X46" s="1007"/>
      <c r="Y46" s="1007"/>
      <c r="Z46" s="1007"/>
      <c r="AA46" s="1007"/>
      <c r="AB46" s="1007"/>
      <c r="AC46" s="1007"/>
      <c r="AD46" s="1008"/>
      <c r="AE46" s="97"/>
      <c r="AF46" s="1003" t="s">
        <v>187</v>
      </c>
      <c r="AG46" s="1003" t="s">
        <v>188</v>
      </c>
      <c r="AH46" s="623"/>
      <c r="AI46" s="623"/>
      <c r="AJ46" s="732"/>
      <c r="AK46" s="540" t="s">
        <v>189</v>
      </c>
      <c r="AL46" s="540" t="s">
        <v>190</v>
      </c>
      <c r="AM46" s="540" t="s">
        <v>191</v>
      </c>
      <c r="AN46" s="744" t="s">
        <v>192</v>
      </c>
      <c r="AO46" s="744" t="s">
        <v>193</v>
      </c>
      <c r="AP46" s="744" t="s">
        <v>194</v>
      </c>
      <c r="AQ46" s="744" t="s">
        <v>195</v>
      </c>
      <c r="AR46" s="744" t="s">
        <v>196</v>
      </c>
    </row>
    <row r="47" spans="1:46" ht="157.5" customHeight="1" thickBot="1">
      <c r="A47" s="918"/>
      <c r="B47" s="1005"/>
      <c r="C47" s="91" t="s">
        <v>84</v>
      </c>
      <c r="D47" s="105">
        <v>0</v>
      </c>
      <c r="E47" s="105">
        <v>0.05</v>
      </c>
      <c r="F47" s="105">
        <v>0.1</v>
      </c>
      <c r="G47" s="105">
        <v>0.1</v>
      </c>
      <c r="H47" s="105">
        <v>0.1</v>
      </c>
      <c r="I47" s="105">
        <v>0.1</v>
      </c>
      <c r="J47" s="105">
        <v>0.1</v>
      </c>
      <c r="K47" s="105">
        <v>0.1</v>
      </c>
      <c r="L47" s="105"/>
      <c r="M47" s="105"/>
      <c r="N47" s="105"/>
      <c r="O47" s="105"/>
      <c r="P47" s="349">
        <f>SUM(D47:O47)</f>
        <v>0.64999999999999991</v>
      </c>
      <c r="Q47" s="1009"/>
      <c r="R47" s="1010"/>
      <c r="S47" s="1010"/>
      <c r="T47" s="1010"/>
      <c r="U47" s="1010"/>
      <c r="V47" s="1010"/>
      <c r="W47" s="1010"/>
      <c r="X47" s="1010"/>
      <c r="Y47" s="1010"/>
      <c r="Z47" s="1010"/>
      <c r="AA47" s="1010"/>
      <c r="AB47" s="1010"/>
      <c r="AC47" s="1010"/>
      <c r="AD47" s="1011"/>
      <c r="AE47" s="97"/>
      <c r="AF47" s="1003"/>
      <c r="AG47" s="1003"/>
      <c r="AH47" s="623"/>
      <c r="AI47" s="623"/>
      <c r="AJ47" s="732"/>
      <c r="AK47" s="732" t="s">
        <v>197</v>
      </c>
      <c r="AL47" s="732" t="s">
        <v>198</v>
      </c>
      <c r="AM47" s="732" t="s">
        <v>199</v>
      </c>
      <c r="AN47" s="732" t="s">
        <v>200</v>
      </c>
      <c r="AO47" s="732" t="s">
        <v>201</v>
      </c>
      <c r="AP47" s="732" t="s">
        <v>202</v>
      </c>
      <c r="AQ47" s="732" t="s">
        <v>203</v>
      </c>
      <c r="AR47" s="732" t="s">
        <v>204</v>
      </c>
    </row>
    <row r="48" spans="1:46">
      <c r="A48" s="50" t="s">
        <v>116</v>
      </c>
      <c r="AJ48" s="732"/>
      <c r="AK48" s="749">
        <f t="shared" ref="AK48:AP48" si="7">LEN(AK47)</f>
        <v>300</v>
      </c>
      <c r="AL48" s="749">
        <f t="shared" si="7"/>
        <v>263</v>
      </c>
      <c r="AM48" s="749">
        <f t="shared" si="7"/>
        <v>300</v>
      </c>
      <c r="AN48" s="749">
        <f t="shared" si="7"/>
        <v>299</v>
      </c>
      <c r="AO48" s="749">
        <f t="shared" si="7"/>
        <v>226</v>
      </c>
      <c r="AP48" s="749">
        <f t="shared" si="7"/>
        <v>298</v>
      </c>
      <c r="AQ48" s="749">
        <f t="shared" ref="AQ48:AR48" si="8">LEN(AQ47)</f>
        <v>176</v>
      </c>
      <c r="AR48" s="749">
        <f t="shared" si="8"/>
        <v>187</v>
      </c>
    </row>
    <row r="49" spans="1:54">
      <c r="AJ49" s="732"/>
      <c r="AK49" s="736"/>
      <c r="AL49" s="736"/>
      <c r="AM49" s="732"/>
      <c r="AN49" s="734"/>
      <c r="AO49" s="734"/>
      <c r="AP49" s="734"/>
      <c r="AQ49" s="734"/>
      <c r="AR49" s="735"/>
    </row>
    <row r="50" spans="1:54">
      <c r="AJ50" s="732"/>
      <c r="AK50" s="732"/>
      <c r="AL50" s="732" t="s">
        <v>190</v>
      </c>
      <c r="AM50" s="732" t="s">
        <v>191</v>
      </c>
      <c r="AN50" s="734" t="s">
        <v>192</v>
      </c>
      <c r="AO50" s="734" t="s">
        <v>205</v>
      </c>
      <c r="AP50" s="540" t="s">
        <v>206</v>
      </c>
      <c r="AQ50" s="540" t="s">
        <v>207</v>
      </c>
      <c r="AR50" s="744" t="s">
        <v>196</v>
      </c>
    </row>
    <row r="51" spans="1:54">
      <c r="AJ51" s="732"/>
      <c r="AK51" s="732"/>
      <c r="AL51" s="732"/>
      <c r="AM51" s="732"/>
      <c r="AN51" s="734"/>
      <c r="AO51" s="734"/>
      <c r="AP51" s="734"/>
      <c r="AQ51" s="734"/>
      <c r="AR51" s="732"/>
    </row>
    <row r="52" spans="1:54" s="191" customFormat="1" ht="233.25" customHeight="1">
      <c r="A52" s="1004" t="s">
        <v>208</v>
      </c>
      <c r="B52" s="1004" t="s">
        <v>86</v>
      </c>
      <c r="C52" s="980" t="s">
        <v>87</v>
      </c>
      <c r="D52" s="981"/>
      <c r="E52" s="981"/>
      <c r="F52" s="981"/>
      <c r="G52" s="981"/>
      <c r="H52" s="981"/>
      <c r="I52" s="981"/>
      <c r="J52" s="981"/>
      <c r="K52" s="981"/>
      <c r="L52" s="981"/>
      <c r="M52" s="981"/>
      <c r="N52" s="981"/>
      <c r="O52" s="981"/>
      <c r="P52" s="982"/>
      <c r="Q52" s="189"/>
      <c r="R52" s="189"/>
      <c r="S52" s="189"/>
      <c r="T52" s="189"/>
      <c r="U52" s="189"/>
      <c r="V52" s="189"/>
      <c r="W52" s="189"/>
      <c r="X52" s="189"/>
      <c r="Y52" s="189"/>
      <c r="Z52" s="189"/>
      <c r="AA52" s="189"/>
      <c r="AB52" s="189"/>
      <c r="AC52" s="189"/>
      <c r="AD52" s="189"/>
      <c r="AE52" s="189"/>
      <c r="AF52" s="524"/>
      <c r="AG52" s="524"/>
      <c r="AH52" s="524"/>
      <c r="AI52" s="524"/>
      <c r="AJ52" s="190"/>
      <c r="AK52" s="437"/>
      <c r="AL52" s="732" t="s">
        <v>209</v>
      </c>
      <c r="AM52" s="732" t="s">
        <v>210</v>
      </c>
      <c r="AN52" s="732" t="s">
        <v>211</v>
      </c>
      <c r="AO52" s="732" t="s">
        <v>212</v>
      </c>
      <c r="AP52" s="732" t="s">
        <v>213</v>
      </c>
      <c r="AQ52" s="732" t="s">
        <v>214</v>
      </c>
      <c r="AR52" s="732" t="s">
        <v>215</v>
      </c>
      <c r="AS52" s="189"/>
      <c r="AT52" s="190"/>
      <c r="AU52" s="190"/>
      <c r="AV52" s="190"/>
      <c r="AW52" s="190"/>
      <c r="AX52" s="190"/>
      <c r="AY52" s="190"/>
      <c r="AZ52" s="190"/>
      <c r="BA52" s="190"/>
      <c r="BB52" s="190"/>
    </row>
    <row r="53" spans="1:54" s="191" customFormat="1" ht="21">
      <c r="A53" s="973"/>
      <c r="B53" s="973"/>
      <c r="C53" s="192" t="s">
        <v>89</v>
      </c>
      <c r="D53" s="192" t="s">
        <v>90</v>
      </c>
      <c r="E53" s="192" t="s">
        <v>91</v>
      </c>
      <c r="F53" s="192" t="s">
        <v>92</v>
      </c>
      <c r="G53" s="192" t="s">
        <v>93</v>
      </c>
      <c r="H53" s="192" t="s">
        <v>94</v>
      </c>
      <c r="I53" s="192" t="s">
        <v>95</v>
      </c>
      <c r="J53" s="192" t="s">
        <v>96</v>
      </c>
      <c r="K53" s="192" t="s">
        <v>97</v>
      </c>
      <c r="L53" s="192" t="s">
        <v>98</v>
      </c>
      <c r="M53" s="192" t="s">
        <v>99</v>
      </c>
      <c r="N53" s="192" t="s">
        <v>100</v>
      </c>
      <c r="O53" s="192" t="s">
        <v>101</v>
      </c>
      <c r="P53" s="192" t="s">
        <v>102</v>
      </c>
      <c r="Q53" s="189"/>
      <c r="R53" s="189"/>
      <c r="S53" s="189"/>
      <c r="T53" s="189"/>
      <c r="U53" s="189"/>
      <c r="V53" s="189"/>
      <c r="W53" s="189"/>
      <c r="X53" s="189"/>
      <c r="Y53" s="189"/>
      <c r="Z53" s="189"/>
      <c r="AA53" s="189"/>
      <c r="AB53" s="189"/>
      <c r="AC53" s="189"/>
      <c r="AD53" s="189"/>
      <c r="AE53" s="189"/>
      <c r="AF53" s="524"/>
      <c r="AG53" s="524"/>
      <c r="AH53" s="524"/>
      <c r="AI53" s="524"/>
      <c r="AJ53" s="190"/>
      <c r="AK53" s="437"/>
      <c r="AL53" s="749">
        <f t="shared" ref="AL53:AR53" si="9">LEN(AL52)</f>
        <v>196</v>
      </c>
      <c r="AM53" s="749">
        <f t="shared" si="9"/>
        <v>218</v>
      </c>
      <c r="AN53" s="749">
        <f t="shared" si="9"/>
        <v>199</v>
      </c>
      <c r="AO53" s="749">
        <f t="shared" si="9"/>
        <v>200</v>
      </c>
      <c r="AP53" s="749">
        <f t="shared" si="9"/>
        <v>225</v>
      </c>
      <c r="AQ53" s="749">
        <f t="shared" si="9"/>
        <v>295</v>
      </c>
      <c r="AR53" s="749">
        <f t="shared" si="9"/>
        <v>270</v>
      </c>
      <c r="AS53" s="189"/>
      <c r="AT53" s="190"/>
      <c r="AU53" s="190"/>
      <c r="AV53" s="190"/>
      <c r="AW53" s="190"/>
      <c r="AX53" s="190"/>
      <c r="AY53" s="190"/>
      <c r="AZ53" s="190"/>
      <c r="BA53" s="190"/>
      <c r="BB53" s="190"/>
    </row>
    <row r="54" spans="1:54" s="191" customFormat="1">
      <c r="A54" s="972" t="str">
        <f>A38</f>
        <v>8. Implementar la ruta de divulgación y orientación para la formación y oferta de empleo y emprendimiento de mujeres diseñada en el marco de la estrategia de emprendimiento y empleabilidad.</v>
      </c>
      <c r="B54" s="972">
        <f>B38</f>
        <v>7.0000000000000007E-2</v>
      </c>
      <c r="C54" s="193" t="s">
        <v>72</v>
      </c>
      <c r="D54" s="350">
        <f>D38*$B$38/$P$38</f>
        <v>0</v>
      </c>
      <c r="E54" s="194">
        <f t="shared" ref="E54:O54" si="10">E38*$B$38/$P$38</f>
        <v>3.5000000000000009E-3</v>
      </c>
      <c r="F54" s="194">
        <f t="shared" si="10"/>
        <v>7.0000000000000019E-3</v>
      </c>
      <c r="G54" s="194">
        <f t="shared" si="10"/>
        <v>7.0000000000000019E-3</v>
      </c>
      <c r="H54" s="194">
        <f t="shared" si="10"/>
        <v>7.0000000000000019E-3</v>
      </c>
      <c r="I54" s="194">
        <f t="shared" si="10"/>
        <v>7.0000000000000019E-3</v>
      </c>
      <c r="J54" s="194">
        <f t="shared" si="10"/>
        <v>7.0000000000000019E-3</v>
      </c>
      <c r="K54" s="194">
        <f t="shared" si="10"/>
        <v>7.0000000000000019E-3</v>
      </c>
      <c r="L54" s="194">
        <f t="shared" si="10"/>
        <v>7.0000000000000019E-3</v>
      </c>
      <c r="M54" s="194">
        <f t="shared" si="10"/>
        <v>7.0000000000000019E-3</v>
      </c>
      <c r="N54" s="194">
        <f t="shared" si="10"/>
        <v>7.0000000000000019E-3</v>
      </c>
      <c r="O54" s="194">
        <f t="shared" si="10"/>
        <v>3.5000000000000009E-3</v>
      </c>
      <c r="P54" s="346">
        <f t="shared" ref="P54:P57" si="11">SUM(D54:O54)</f>
        <v>7.0000000000000007E-2</v>
      </c>
      <c r="Q54" s="194"/>
      <c r="R54" s="194"/>
      <c r="S54" s="194"/>
      <c r="T54" s="194"/>
      <c r="U54" s="194"/>
      <c r="V54" s="194"/>
      <c r="W54" s="194"/>
      <c r="X54" s="194"/>
      <c r="Y54" s="194"/>
      <c r="Z54" s="194"/>
      <c r="AA54" s="194"/>
      <c r="AB54" s="194"/>
      <c r="AC54" s="194"/>
      <c r="AD54" s="194"/>
      <c r="AE54" s="194"/>
      <c r="AF54" s="524"/>
      <c r="AG54" s="524"/>
      <c r="AH54" s="524"/>
      <c r="AI54" s="524"/>
      <c r="AJ54" s="190"/>
      <c r="AK54" s="438"/>
      <c r="AL54" s="540" t="s">
        <v>190</v>
      </c>
      <c r="AM54" s="540" t="s">
        <v>191</v>
      </c>
      <c r="AN54" s="540" t="s">
        <v>192</v>
      </c>
      <c r="AO54" s="540" t="s">
        <v>193</v>
      </c>
      <c r="AP54" s="540" t="s">
        <v>194</v>
      </c>
      <c r="AQ54" s="540" t="s">
        <v>195</v>
      </c>
      <c r="AR54" s="744" t="s">
        <v>196</v>
      </c>
      <c r="AS54" s="194"/>
      <c r="AT54" s="190"/>
      <c r="AU54" s="190"/>
      <c r="AV54" s="190"/>
      <c r="AW54" s="190"/>
      <c r="AX54" s="190"/>
      <c r="AY54" s="190"/>
      <c r="AZ54" s="190"/>
      <c r="BA54" s="190"/>
      <c r="BB54" s="190"/>
    </row>
    <row r="55" spans="1:54" s="191" customFormat="1">
      <c r="A55" s="973"/>
      <c r="B55" s="973"/>
      <c r="C55" s="195" t="s">
        <v>84</v>
      </c>
      <c r="D55" s="196">
        <f>D38*$B$38/$P$38</f>
        <v>0</v>
      </c>
      <c r="E55" s="196">
        <f t="shared" ref="E55:O55" si="12">E39*$B$38/$P$38</f>
        <v>2.8000000000000008E-3</v>
      </c>
      <c r="F55" s="196">
        <f t="shared" si="12"/>
        <v>6.3000000000000009E-3</v>
      </c>
      <c r="G55" s="196">
        <f t="shared" si="12"/>
        <v>5.6000000000000017E-3</v>
      </c>
      <c r="H55" s="196">
        <f t="shared" si="12"/>
        <v>7.0000000000000019E-3</v>
      </c>
      <c r="I55" s="196">
        <f t="shared" si="12"/>
        <v>7.0000000000000019E-3</v>
      </c>
      <c r="J55" s="196">
        <f t="shared" si="12"/>
        <v>6.3000000000000009E-3</v>
      </c>
      <c r="K55" s="196">
        <f t="shared" si="12"/>
        <v>7.0000000000000019E-3</v>
      </c>
      <c r="L55" s="196">
        <f t="shared" si="12"/>
        <v>0</v>
      </c>
      <c r="M55" s="196">
        <f t="shared" si="12"/>
        <v>0</v>
      </c>
      <c r="N55" s="196">
        <f t="shared" si="12"/>
        <v>0</v>
      </c>
      <c r="O55" s="196">
        <f t="shared" si="12"/>
        <v>0</v>
      </c>
      <c r="P55" s="197">
        <f t="shared" si="11"/>
        <v>4.200000000000001E-2</v>
      </c>
      <c r="Q55" s="194"/>
      <c r="R55" s="194"/>
      <c r="S55" s="194"/>
      <c r="T55" s="194"/>
      <c r="U55" s="194"/>
      <c r="V55" s="194"/>
      <c r="W55" s="194"/>
      <c r="X55" s="194"/>
      <c r="Y55" s="194"/>
      <c r="Z55" s="194"/>
      <c r="AA55" s="194"/>
      <c r="AB55" s="194"/>
      <c r="AC55" s="194"/>
      <c r="AD55" s="194"/>
      <c r="AE55" s="194"/>
      <c r="AF55" s="524"/>
      <c r="AG55" s="524"/>
      <c r="AH55" s="524"/>
      <c r="AI55" s="524"/>
      <c r="AJ55" s="190"/>
      <c r="AK55" s="438"/>
      <c r="AL55" s="732"/>
      <c r="AM55" s="438"/>
      <c r="AN55" s="194"/>
      <c r="AO55" s="194"/>
      <c r="AP55" s="194"/>
      <c r="AQ55" s="194"/>
      <c r="AR55" s="194"/>
      <c r="AS55" s="194"/>
      <c r="AT55" s="190"/>
      <c r="AU55" s="190"/>
      <c r="AV55" s="190"/>
      <c r="AW55" s="190"/>
      <c r="AX55" s="190"/>
      <c r="AY55" s="190"/>
      <c r="AZ55" s="190"/>
      <c r="BA55" s="190"/>
      <c r="BB55" s="190"/>
    </row>
    <row r="56" spans="1:54" s="191" customFormat="1">
      <c r="A56" s="972" t="str">
        <f>+A40</f>
        <v>9. Gestionar y articular con el sector público y privado, acciones que contribuyan a la implementación del Decreto 332 del 29 de diciembre de 2020 "Por medio del cual se establecen medidas afirmativas para promover la participación de las mujeres en la Contratación del distritito Capital"</v>
      </c>
      <c r="B56" s="972">
        <f>B40</f>
        <v>0.05</v>
      </c>
      <c r="C56" s="193" t="s">
        <v>72</v>
      </c>
      <c r="D56" s="194">
        <f>D40*$B$40/$P$40</f>
        <v>0</v>
      </c>
      <c r="E56" s="194">
        <f t="shared" ref="E56:O56" si="13">E40*$B$40/$P$40</f>
        <v>5.0000000000000018E-3</v>
      </c>
      <c r="F56" s="194">
        <f t="shared" si="13"/>
        <v>5.0000000000000018E-3</v>
      </c>
      <c r="G56" s="194">
        <f t="shared" si="13"/>
        <v>5.0000000000000018E-3</v>
      </c>
      <c r="H56" s="194">
        <f t="shared" si="13"/>
        <v>5.0000000000000018E-3</v>
      </c>
      <c r="I56" s="194">
        <f t="shared" si="13"/>
        <v>5.0000000000000018E-3</v>
      </c>
      <c r="J56" s="194">
        <f t="shared" si="13"/>
        <v>5.0000000000000018E-3</v>
      </c>
      <c r="K56" s="194">
        <f t="shared" si="13"/>
        <v>5.0000000000000018E-3</v>
      </c>
      <c r="L56" s="194">
        <f t="shared" si="13"/>
        <v>5.0000000000000018E-3</v>
      </c>
      <c r="M56" s="194">
        <f t="shared" si="13"/>
        <v>5.0000000000000018E-3</v>
      </c>
      <c r="N56" s="194">
        <f t="shared" si="13"/>
        <v>5.0000000000000018E-3</v>
      </c>
      <c r="O56" s="194">
        <f t="shared" si="13"/>
        <v>0</v>
      </c>
      <c r="P56" s="346">
        <f t="shared" si="11"/>
        <v>5.0000000000000024E-2</v>
      </c>
      <c r="Q56" s="194"/>
      <c r="R56" s="194"/>
      <c r="S56" s="194"/>
      <c r="T56" s="194"/>
      <c r="U56" s="194"/>
      <c r="V56" s="194"/>
      <c r="W56" s="194"/>
      <c r="X56" s="194"/>
      <c r="Y56" s="194"/>
      <c r="Z56" s="194"/>
      <c r="AA56" s="194"/>
      <c r="AB56" s="194"/>
      <c r="AC56" s="194"/>
      <c r="AD56" s="194"/>
      <c r="AE56" s="194"/>
      <c r="AF56" s="524"/>
      <c r="AG56" s="524"/>
      <c r="AH56" s="524"/>
      <c r="AI56" s="524"/>
      <c r="AJ56" s="190"/>
      <c r="AK56" s="438"/>
      <c r="AL56" s="732" t="s">
        <v>216</v>
      </c>
      <c r="AM56" s="732">
        <v>0</v>
      </c>
      <c r="AN56" s="732">
        <v>0</v>
      </c>
      <c r="AO56" s="732">
        <v>0</v>
      </c>
      <c r="AP56" s="732">
        <v>0</v>
      </c>
      <c r="AQ56" s="732">
        <v>0</v>
      </c>
      <c r="AR56" s="732">
        <v>0</v>
      </c>
      <c r="AS56" s="194"/>
      <c r="AT56" s="190"/>
      <c r="AU56" s="190"/>
      <c r="AV56" s="190"/>
      <c r="AW56" s="190"/>
      <c r="AX56" s="190"/>
      <c r="AY56" s="190"/>
      <c r="AZ56" s="190"/>
      <c r="BA56" s="190"/>
      <c r="BB56" s="190"/>
    </row>
    <row r="57" spans="1:54" s="191" customFormat="1">
      <c r="A57" s="973"/>
      <c r="B57" s="973"/>
      <c r="C57" s="195" t="s">
        <v>84</v>
      </c>
      <c r="D57" s="196">
        <f t="shared" ref="D57" si="14">D41*$B$40/$P$40</f>
        <v>0</v>
      </c>
      <c r="E57" s="196">
        <f t="shared" ref="E57:O57" si="15">E41*$B$40/$P$40</f>
        <v>5.0000000000000018E-3</v>
      </c>
      <c r="F57" s="196">
        <f t="shared" si="15"/>
        <v>5.0000000000000018E-3</v>
      </c>
      <c r="G57" s="196">
        <f t="shared" si="15"/>
        <v>5.0000000000000018E-3</v>
      </c>
      <c r="H57" s="196">
        <f t="shared" si="15"/>
        <v>5.0000000000000018E-3</v>
      </c>
      <c r="I57" s="196">
        <f t="shared" si="15"/>
        <v>5.0000000000000018E-3</v>
      </c>
      <c r="J57" s="196">
        <f t="shared" si="15"/>
        <v>5.0000000000000018E-3</v>
      </c>
      <c r="K57" s="196">
        <f t="shared" si="15"/>
        <v>5.0000000000000018E-3</v>
      </c>
      <c r="L57" s="196">
        <f t="shared" si="15"/>
        <v>0</v>
      </c>
      <c r="M57" s="196">
        <f t="shared" si="15"/>
        <v>0</v>
      </c>
      <c r="N57" s="196">
        <f t="shared" si="15"/>
        <v>0</v>
      </c>
      <c r="O57" s="196">
        <f t="shared" si="15"/>
        <v>0</v>
      </c>
      <c r="P57" s="197">
        <f t="shared" si="11"/>
        <v>3.500000000000001E-2</v>
      </c>
      <c r="Q57" s="194"/>
      <c r="R57" s="194"/>
      <c r="S57" s="194"/>
      <c r="T57" s="194"/>
      <c r="U57" s="194"/>
      <c r="V57" s="194"/>
      <c r="W57" s="194"/>
      <c r="X57" s="194"/>
      <c r="Y57" s="194"/>
      <c r="Z57" s="194"/>
      <c r="AA57" s="194"/>
      <c r="AB57" s="194"/>
      <c r="AC57" s="194"/>
      <c r="AD57" s="194"/>
      <c r="AE57" s="194"/>
      <c r="AF57" s="524"/>
      <c r="AG57" s="524"/>
      <c r="AH57" s="524"/>
      <c r="AI57" s="524"/>
      <c r="AJ57" s="190"/>
      <c r="AK57" s="438"/>
      <c r="AL57" s="749">
        <f t="shared" ref="AL57:AQ57" si="16">LEN(AL56)</f>
        <v>1</v>
      </c>
      <c r="AM57" s="749">
        <f t="shared" si="16"/>
        <v>1</v>
      </c>
      <c r="AN57" s="749">
        <f t="shared" si="16"/>
        <v>1</v>
      </c>
      <c r="AO57" s="749">
        <f t="shared" si="16"/>
        <v>1</v>
      </c>
      <c r="AP57" s="749">
        <f t="shared" si="16"/>
        <v>1</v>
      </c>
      <c r="AQ57" s="749">
        <f t="shared" si="16"/>
        <v>1</v>
      </c>
      <c r="AR57" s="749">
        <f t="shared" ref="AR57" si="17">LEN(AR56)</f>
        <v>1</v>
      </c>
      <c r="AS57" s="194"/>
      <c r="AT57" s="190"/>
      <c r="AU57" s="190"/>
      <c r="AV57" s="190"/>
      <c r="AW57" s="190"/>
      <c r="AX57" s="190"/>
      <c r="AY57" s="190"/>
      <c r="AZ57" s="190"/>
      <c r="BA57" s="190"/>
      <c r="BB57" s="190"/>
    </row>
    <row r="58" spans="1:54" s="191" customFormat="1">
      <c r="A58" s="972" t="str">
        <f>A42</f>
        <v>10. Promover acciones que contribuyan a la generación de ingresos y empleo para las mujeres, conforme a la oferta de las diferentes entidades del distrito.</v>
      </c>
      <c r="B58" s="972">
        <f>B42</f>
        <v>0.05</v>
      </c>
      <c r="C58" s="193" t="s">
        <v>72</v>
      </c>
      <c r="D58" s="194">
        <f>D42*$B$42/$P$42</f>
        <v>0</v>
      </c>
      <c r="E58" s="194">
        <f t="shared" ref="E58:O58" si="18">E42*$B$42/$P$42</f>
        <v>2.5000000000000009E-3</v>
      </c>
      <c r="F58" s="194">
        <f t="shared" si="18"/>
        <v>5.0000000000000018E-3</v>
      </c>
      <c r="G58" s="194">
        <f t="shared" si="18"/>
        <v>5.0000000000000018E-3</v>
      </c>
      <c r="H58" s="194">
        <f t="shared" si="18"/>
        <v>5.0000000000000018E-3</v>
      </c>
      <c r="I58" s="194">
        <f t="shared" si="18"/>
        <v>5.0000000000000018E-3</v>
      </c>
      <c r="J58" s="194">
        <f t="shared" si="18"/>
        <v>5.0000000000000018E-3</v>
      </c>
      <c r="K58" s="194">
        <f t="shared" si="18"/>
        <v>5.0000000000000018E-3</v>
      </c>
      <c r="L58" s="194">
        <f t="shared" si="18"/>
        <v>5.0000000000000018E-3</v>
      </c>
      <c r="M58" s="194">
        <f t="shared" si="18"/>
        <v>5.0000000000000018E-3</v>
      </c>
      <c r="N58" s="194">
        <f t="shared" si="18"/>
        <v>5.0000000000000018E-3</v>
      </c>
      <c r="O58" s="194">
        <f t="shared" si="18"/>
        <v>2.5000000000000009E-3</v>
      </c>
      <c r="P58" s="346">
        <f t="shared" ref="P58:P61" si="19">SUM(D58:O58)</f>
        <v>5.0000000000000024E-2</v>
      </c>
      <c r="Q58" s="194"/>
      <c r="R58" s="194"/>
      <c r="S58" s="194"/>
      <c r="T58" s="194"/>
      <c r="U58" s="194"/>
      <c r="V58" s="194"/>
      <c r="W58" s="194"/>
      <c r="X58" s="194"/>
      <c r="Y58" s="194"/>
      <c r="Z58" s="194"/>
      <c r="AA58" s="194"/>
      <c r="AB58" s="194"/>
      <c r="AC58" s="194"/>
      <c r="AD58" s="194"/>
      <c r="AE58" s="194"/>
      <c r="AF58" s="524"/>
      <c r="AG58" s="524"/>
      <c r="AH58" s="524"/>
      <c r="AI58" s="524"/>
      <c r="AJ58" s="190"/>
      <c r="AK58" s="438"/>
      <c r="AL58" s="438"/>
      <c r="AM58" s="438"/>
      <c r="AN58" s="194"/>
      <c r="AO58" s="194"/>
      <c r="AP58" s="194"/>
      <c r="AQ58" s="194"/>
      <c r="AR58" s="194"/>
      <c r="AS58" s="194"/>
      <c r="AT58" s="190"/>
      <c r="AU58" s="190"/>
      <c r="AV58" s="190"/>
      <c r="AW58" s="190"/>
      <c r="AX58" s="190"/>
      <c r="AY58" s="190"/>
      <c r="AZ58" s="190"/>
      <c r="BA58" s="190"/>
      <c r="BB58" s="190"/>
    </row>
    <row r="59" spans="1:54" s="191" customFormat="1">
      <c r="A59" s="973"/>
      <c r="B59" s="973"/>
      <c r="C59" s="195" t="s">
        <v>84</v>
      </c>
      <c r="D59" s="196">
        <f>D43*$B$42/$P$42</f>
        <v>0</v>
      </c>
      <c r="E59" s="196">
        <f t="shared" ref="E59:O59" si="20">E43*$B$42/$P$42</f>
        <v>2.5000000000000009E-3</v>
      </c>
      <c r="F59" s="196">
        <f t="shared" si="20"/>
        <v>5.0000000000000018E-3</v>
      </c>
      <c r="G59" s="196">
        <f t="shared" si="20"/>
        <v>5.0000000000000018E-3</v>
      </c>
      <c r="H59" s="196">
        <f t="shared" si="20"/>
        <v>5.0000000000000018E-3</v>
      </c>
      <c r="I59" s="196">
        <f t="shared" si="20"/>
        <v>5.0000000000000018E-3</v>
      </c>
      <c r="J59" s="196">
        <f t="shared" si="20"/>
        <v>5.0000000000000018E-3</v>
      </c>
      <c r="K59" s="196">
        <f t="shared" si="20"/>
        <v>5.0000000000000018E-3</v>
      </c>
      <c r="L59" s="196">
        <f t="shared" si="20"/>
        <v>0</v>
      </c>
      <c r="M59" s="196">
        <f t="shared" si="20"/>
        <v>0</v>
      </c>
      <c r="N59" s="196">
        <f t="shared" si="20"/>
        <v>0</v>
      </c>
      <c r="O59" s="196">
        <f t="shared" si="20"/>
        <v>0</v>
      </c>
      <c r="P59" s="197">
        <f t="shared" si="19"/>
        <v>3.2500000000000008E-2</v>
      </c>
      <c r="Q59" s="194"/>
      <c r="R59" s="194"/>
      <c r="S59" s="194"/>
      <c r="T59" s="194"/>
      <c r="U59" s="194"/>
      <c r="V59" s="194"/>
      <c r="W59" s="194"/>
      <c r="X59" s="194"/>
      <c r="Y59" s="194"/>
      <c r="Z59" s="194"/>
      <c r="AA59" s="194"/>
      <c r="AB59" s="194"/>
      <c r="AC59" s="194"/>
      <c r="AD59" s="194"/>
      <c r="AE59" s="194"/>
      <c r="AF59" s="524"/>
      <c r="AG59" s="524"/>
      <c r="AH59" s="524"/>
      <c r="AI59" s="524"/>
      <c r="AJ59" s="190"/>
      <c r="AK59" s="438"/>
      <c r="AL59" s="540" t="s">
        <v>190</v>
      </c>
      <c r="AM59" s="540" t="s">
        <v>191</v>
      </c>
      <c r="AN59" s="540" t="s">
        <v>192</v>
      </c>
      <c r="AO59" s="540" t="s">
        <v>193</v>
      </c>
      <c r="AP59" s="540" t="s">
        <v>194</v>
      </c>
      <c r="AQ59" s="540" t="s">
        <v>194</v>
      </c>
      <c r="AR59" s="744" t="s">
        <v>196</v>
      </c>
      <c r="AS59" s="194"/>
      <c r="AT59" s="190"/>
      <c r="AU59" s="190"/>
      <c r="AV59" s="190"/>
      <c r="AW59" s="190"/>
      <c r="AX59" s="190"/>
      <c r="AY59" s="190"/>
      <c r="AZ59" s="190"/>
      <c r="BA59" s="190"/>
      <c r="BB59" s="190"/>
    </row>
    <row r="60" spans="1:54" s="191" customFormat="1" ht="101.25">
      <c r="A60" s="972" t="str">
        <f>A44</f>
        <v>11. Diseñar dos (2) programas que promuevan la autonomía económica de mujeres, en especial cuidadoras.</v>
      </c>
      <c r="B60" s="972">
        <f>B44</f>
        <v>0.04</v>
      </c>
      <c r="C60" s="193" t="s">
        <v>72</v>
      </c>
      <c r="D60" s="194">
        <f>D44*$B$44/$P$44</f>
        <v>0</v>
      </c>
      <c r="E60" s="194">
        <f t="shared" ref="E60:O60" si="21">E44*$B$44/$P$44</f>
        <v>0</v>
      </c>
      <c r="F60" s="194">
        <f t="shared" si="21"/>
        <v>4.000000000000001E-3</v>
      </c>
      <c r="G60" s="194">
        <f t="shared" si="21"/>
        <v>4.000000000000001E-3</v>
      </c>
      <c r="H60" s="194">
        <f t="shared" si="21"/>
        <v>4.000000000000001E-3</v>
      </c>
      <c r="I60" s="194">
        <f t="shared" si="21"/>
        <v>4.000000000000001E-3</v>
      </c>
      <c r="J60" s="194">
        <f t="shared" si="21"/>
        <v>4.000000000000001E-3</v>
      </c>
      <c r="K60" s="194">
        <f t="shared" si="21"/>
        <v>4.000000000000001E-3</v>
      </c>
      <c r="L60" s="194">
        <f t="shared" si="21"/>
        <v>4.000000000000001E-3</v>
      </c>
      <c r="M60" s="194">
        <f t="shared" si="21"/>
        <v>4.000000000000001E-3</v>
      </c>
      <c r="N60" s="194">
        <f t="shared" si="21"/>
        <v>4.000000000000001E-3</v>
      </c>
      <c r="O60" s="194">
        <f t="shared" si="21"/>
        <v>4.000000000000001E-3</v>
      </c>
      <c r="P60" s="346">
        <f t="shared" si="19"/>
        <v>4.0000000000000015E-2</v>
      </c>
      <c r="Q60" s="194"/>
      <c r="R60" s="194"/>
      <c r="S60" s="194"/>
      <c r="T60" s="194"/>
      <c r="U60" s="194"/>
      <c r="V60" s="194"/>
      <c r="W60" s="194"/>
      <c r="X60" s="194"/>
      <c r="Y60" s="194"/>
      <c r="Z60" s="194"/>
      <c r="AA60" s="194"/>
      <c r="AB60" s="194"/>
      <c r="AC60" s="194"/>
      <c r="AD60" s="194"/>
      <c r="AE60" s="194"/>
      <c r="AF60" s="524"/>
      <c r="AG60" s="524"/>
      <c r="AH60" s="524"/>
      <c r="AI60" s="524"/>
      <c r="AJ60" s="190"/>
      <c r="AK60" s="438"/>
      <c r="AL60" s="732" t="s">
        <v>217</v>
      </c>
      <c r="AM60" s="732" t="s">
        <v>218</v>
      </c>
      <c r="AN60" s="732" t="s">
        <v>219</v>
      </c>
      <c r="AO60" s="732" t="s">
        <v>220</v>
      </c>
      <c r="AP60" s="531" t="s">
        <v>125</v>
      </c>
      <c r="AQ60" s="531" t="s">
        <v>126</v>
      </c>
      <c r="AR60" s="531"/>
      <c r="AS60" s="194"/>
      <c r="AT60" s="190"/>
      <c r="AU60" s="190"/>
      <c r="AV60" s="190"/>
      <c r="AW60" s="190"/>
      <c r="AX60" s="190"/>
      <c r="AY60" s="190"/>
      <c r="AZ60" s="190"/>
      <c r="BA60" s="190"/>
      <c r="BB60" s="190"/>
    </row>
    <row r="61" spans="1:54" s="191" customFormat="1">
      <c r="A61" s="973"/>
      <c r="B61" s="973"/>
      <c r="C61" s="195" t="s">
        <v>84</v>
      </c>
      <c r="D61" s="196">
        <f>D45*$B$44/$P$44</f>
        <v>0</v>
      </c>
      <c r="E61" s="196">
        <f t="shared" ref="E61:O61" si="22">E45*$B$44/$P$44</f>
        <v>8.0000000000000015E-4</v>
      </c>
      <c r="F61" s="196">
        <f t="shared" si="22"/>
        <v>4.000000000000001E-3</v>
      </c>
      <c r="G61" s="196">
        <f t="shared" si="22"/>
        <v>2.0000000000000005E-3</v>
      </c>
      <c r="H61" s="196">
        <f t="shared" si="22"/>
        <v>4.000000000000001E-3</v>
      </c>
      <c r="I61" s="196">
        <f t="shared" si="22"/>
        <v>6.000000000000001E-3</v>
      </c>
      <c r="J61" s="196">
        <f t="shared" si="22"/>
        <v>4.000000000000001E-3</v>
      </c>
      <c r="K61" s="196">
        <f t="shared" si="22"/>
        <v>4.000000000000001E-3</v>
      </c>
      <c r="L61" s="196">
        <f t="shared" si="22"/>
        <v>0</v>
      </c>
      <c r="M61" s="196">
        <f t="shared" si="22"/>
        <v>0</v>
      </c>
      <c r="N61" s="196">
        <f t="shared" si="22"/>
        <v>0</v>
      </c>
      <c r="O61" s="196">
        <f t="shared" si="22"/>
        <v>0</v>
      </c>
      <c r="P61" s="197">
        <f t="shared" si="19"/>
        <v>2.4800000000000006E-2</v>
      </c>
      <c r="Q61" s="194"/>
      <c r="R61" s="194"/>
      <c r="S61" s="194"/>
      <c r="T61" s="194"/>
      <c r="U61" s="194"/>
      <c r="V61" s="194"/>
      <c r="W61" s="194"/>
      <c r="X61" s="194"/>
      <c r="Y61" s="194"/>
      <c r="Z61" s="194"/>
      <c r="AA61" s="194"/>
      <c r="AB61" s="194"/>
      <c r="AC61" s="194"/>
      <c r="AD61" s="194"/>
      <c r="AE61" s="194"/>
      <c r="AF61" s="524"/>
      <c r="AG61" s="524"/>
      <c r="AH61" s="524"/>
      <c r="AI61" s="524"/>
      <c r="AJ61" s="190"/>
      <c r="AK61" s="438"/>
      <c r="AL61" s="749">
        <f t="shared" ref="AL61:AR61" si="23">LEN(AL60)</f>
        <v>135</v>
      </c>
      <c r="AM61" s="749">
        <f t="shared" si="23"/>
        <v>143</v>
      </c>
      <c r="AN61" s="749">
        <f t="shared" si="23"/>
        <v>67</v>
      </c>
      <c r="AO61" s="749">
        <f t="shared" si="23"/>
        <v>79</v>
      </c>
      <c r="AP61" s="749">
        <f t="shared" si="23"/>
        <v>251</v>
      </c>
      <c r="AQ61" s="749">
        <f t="shared" si="23"/>
        <v>293</v>
      </c>
      <c r="AR61" s="749">
        <f t="shared" si="23"/>
        <v>0</v>
      </c>
      <c r="AS61" s="194"/>
      <c r="AT61" s="190"/>
      <c r="AU61" s="190"/>
      <c r="AV61" s="190"/>
      <c r="AW61" s="190"/>
      <c r="AX61" s="190"/>
      <c r="AY61" s="190"/>
      <c r="AZ61" s="190"/>
      <c r="BA61" s="190"/>
      <c r="BB61" s="190"/>
    </row>
    <row r="62" spans="1:54" s="191" customFormat="1">
      <c r="A62" s="972" t="str">
        <f>+A46</f>
        <v xml:space="preserve">12. Generar y desarrollar alianzas estratégicas que contribuyan a la implementación de la estrategia de emprendimiento y empleabilidad. </v>
      </c>
      <c r="B62" s="972">
        <f>B46</f>
        <v>0.04</v>
      </c>
      <c r="C62" s="193" t="s">
        <v>72</v>
      </c>
      <c r="D62" s="194">
        <f>D46*$B$46/$P$46</f>
        <v>0</v>
      </c>
      <c r="E62" s="194">
        <f t="shared" ref="E62:O62" si="24">E46*$B$46/$P$46</f>
        <v>2.0000000000000005E-3</v>
      </c>
      <c r="F62" s="194">
        <f t="shared" si="24"/>
        <v>4.000000000000001E-3</v>
      </c>
      <c r="G62" s="194">
        <f t="shared" si="24"/>
        <v>4.000000000000001E-3</v>
      </c>
      <c r="H62" s="194">
        <f t="shared" si="24"/>
        <v>4.000000000000001E-3</v>
      </c>
      <c r="I62" s="194">
        <f t="shared" si="24"/>
        <v>4.000000000000001E-3</v>
      </c>
      <c r="J62" s="194">
        <f t="shared" si="24"/>
        <v>4.000000000000001E-3</v>
      </c>
      <c r="K62" s="194">
        <f t="shared" si="24"/>
        <v>4.000000000000001E-3</v>
      </c>
      <c r="L62" s="194">
        <f t="shared" si="24"/>
        <v>4.000000000000001E-3</v>
      </c>
      <c r="M62" s="194">
        <f t="shared" si="24"/>
        <v>4.000000000000001E-3</v>
      </c>
      <c r="N62" s="194">
        <f t="shared" si="24"/>
        <v>4.000000000000001E-3</v>
      </c>
      <c r="O62" s="194">
        <f t="shared" si="24"/>
        <v>2.0000000000000005E-3</v>
      </c>
      <c r="P62" s="346">
        <f t="shared" ref="P62:P63" si="25">SUM(D62:O62)</f>
        <v>4.0000000000000008E-2</v>
      </c>
      <c r="Q62" s="194"/>
      <c r="R62" s="194"/>
      <c r="S62" s="194"/>
      <c r="T62" s="194"/>
      <c r="U62" s="194"/>
      <c r="V62" s="194"/>
      <c r="W62" s="194"/>
      <c r="X62" s="194"/>
      <c r="Y62" s="194"/>
      <c r="Z62" s="194"/>
      <c r="AA62" s="194"/>
      <c r="AB62" s="194"/>
      <c r="AC62" s="194"/>
      <c r="AD62" s="194"/>
      <c r="AE62" s="194"/>
      <c r="AF62" s="525"/>
      <c r="AG62" s="525"/>
      <c r="AH62" s="525"/>
      <c r="AI62" s="525"/>
      <c r="AJ62" s="438"/>
      <c r="AK62" s="438"/>
      <c r="AL62" s="438"/>
      <c r="AM62" s="194"/>
      <c r="AN62" s="194"/>
      <c r="AO62" s="194"/>
      <c r="AP62" s="194"/>
      <c r="AQ62" s="194"/>
      <c r="AR62" s="194"/>
      <c r="AS62" s="194"/>
      <c r="AT62" s="190"/>
      <c r="AU62" s="190"/>
      <c r="AV62" s="190"/>
      <c r="AW62" s="190"/>
      <c r="AX62" s="190"/>
      <c r="AY62" s="190"/>
      <c r="AZ62" s="190"/>
      <c r="BA62" s="190"/>
      <c r="BB62" s="190"/>
    </row>
    <row r="63" spans="1:54" s="191" customFormat="1">
      <c r="A63" s="973"/>
      <c r="B63" s="973"/>
      <c r="C63" s="195" t="s">
        <v>84</v>
      </c>
      <c r="D63" s="196">
        <f>D47*$B$46/$P$46</f>
        <v>0</v>
      </c>
      <c r="E63" s="196">
        <f t="shared" ref="E63:O63" si="26">E47*$B$46/$P$46</f>
        <v>2.0000000000000005E-3</v>
      </c>
      <c r="F63" s="196">
        <f t="shared" si="26"/>
        <v>4.000000000000001E-3</v>
      </c>
      <c r="G63" s="196">
        <f t="shared" si="26"/>
        <v>4.000000000000001E-3</v>
      </c>
      <c r="H63" s="196">
        <f t="shared" si="26"/>
        <v>4.000000000000001E-3</v>
      </c>
      <c r="I63" s="196">
        <f t="shared" si="26"/>
        <v>4.000000000000001E-3</v>
      </c>
      <c r="J63" s="196">
        <f t="shared" si="26"/>
        <v>4.000000000000001E-3</v>
      </c>
      <c r="K63" s="196">
        <f t="shared" si="26"/>
        <v>4.000000000000001E-3</v>
      </c>
      <c r="L63" s="196">
        <f t="shared" si="26"/>
        <v>0</v>
      </c>
      <c r="M63" s="196">
        <f t="shared" si="26"/>
        <v>0</v>
      </c>
      <c r="N63" s="196">
        <f t="shared" si="26"/>
        <v>0</v>
      </c>
      <c r="O63" s="196">
        <f t="shared" si="26"/>
        <v>0</v>
      </c>
      <c r="P63" s="197">
        <f t="shared" si="25"/>
        <v>2.6000000000000002E-2</v>
      </c>
      <c r="Q63" s="194"/>
      <c r="R63" s="194"/>
      <c r="S63" s="194"/>
      <c r="T63" s="194"/>
      <c r="U63" s="194"/>
      <c r="V63" s="194"/>
      <c r="W63" s="194"/>
      <c r="X63" s="194"/>
      <c r="Y63" s="194"/>
      <c r="Z63" s="194"/>
      <c r="AA63" s="194"/>
      <c r="AB63" s="194"/>
      <c r="AC63" s="194"/>
      <c r="AD63" s="194"/>
      <c r="AE63" s="194"/>
      <c r="AF63" s="525"/>
      <c r="AG63" s="525"/>
      <c r="AH63" s="525"/>
      <c r="AI63" s="525"/>
      <c r="AJ63" s="438"/>
      <c r="AK63" s="438"/>
      <c r="AL63" s="438"/>
      <c r="AM63" s="194"/>
      <c r="AN63" s="194"/>
      <c r="AO63" s="194"/>
      <c r="AP63" s="194"/>
      <c r="AQ63" s="194"/>
      <c r="AR63" s="194"/>
      <c r="AS63" s="194"/>
      <c r="AT63" s="190"/>
      <c r="AU63" s="190"/>
      <c r="AV63" s="190"/>
      <c r="AW63" s="190"/>
      <c r="AX63" s="190"/>
      <c r="AY63" s="190"/>
      <c r="AZ63" s="190"/>
      <c r="BA63" s="190"/>
      <c r="BB63" s="190"/>
    </row>
    <row r="64" spans="1:54" s="191" customFormat="1">
      <c r="A64" s="194"/>
      <c r="B64" s="194"/>
      <c r="C64" s="198"/>
      <c r="D64" s="199">
        <f>D55+D57+D59+D61+D63</f>
        <v>0</v>
      </c>
      <c r="E64" s="199">
        <f t="shared" ref="E64:O64" si="27">E55+E57+E59+E61+E63</f>
        <v>1.3100000000000004E-2</v>
      </c>
      <c r="F64" s="199">
        <f t="shared" si="27"/>
        <v>2.4300000000000006E-2</v>
      </c>
      <c r="G64" s="199">
        <f t="shared" si="27"/>
        <v>2.1600000000000008E-2</v>
      </c>
      <c r="H64" s="199">
        <f t="shared" si="27"/>
        <v>2.5000000000000005E-2</v>
      </c>
      <c r="I64" s="199">
        <f t="shared" si="27"/>
        <v>2.7000000000000007E-2</v>
      </c>
      <c r="J64" s="199">
        <f t="shared" si="27"/>
        <v>2.4300000000000006E-2</v>
      </c>
      <c r="K64" s="199">
        <f t="shared" si="27"/>
        <v>2.5000000000000005E-2</v>
      </c>
      <c r="L64" s="199">
        <f t="shared" si="27"/>
        <v>0</v>
      </c>
      <c r="M64" s="199">
        <f t="shared" si="27"/>
        <v>0</v>
      </c>
      <c r="N64" s="199">
        <f t="shared" si="27"/>
        <v>0</v>
      </c>
      <c r="O64" s="199">
        <f t="shared" si="27"/>
        <v>0</v>
      </c>
      <c r="P64" s="199">
        <f>P55+P57+P59+P61+P63</f>
        <v>0.16030000000000003</v>
      </c>
      <c r="Q64" s="194"/>
      <c r="R64" s="194"/>
      <c r="S64" s="194"/>
      <c r="T64" s="194"/>
      <c r="U64" s="194"/>
      <c r="V64" s="194"/>
      <c r="W64" s="194"/>
      <c r="X64" s="194"/>
      <c r="Y64" s="194"/>
      <c r="Z64" s="194"/>
      <c r="AA64" s="194"/>
      <c r="AB64" s="194"/>
      <c r="AC64" s="194"/>
      <c r="AD64" s="194"/>
      <c r="AE64" s="194"/>
      <c r="AF64" s="525"/>
      <c r="AG64" s="525"/>
      <c r="AH64" s="525"/>
      <c r="AI64" s="525"/>
      <c r="AJ64" s="438"/>
      <c r="AK64" s="438"/>
      <c r="AL64" s="438"/>
      <c r="AM64" s="194"/>
      <c r="AN64" s="194"/>
      <c r="AO64" s="194"/>
      <c r="AP64" s="194"/>
      <c r="AQ64" s="194"/>
      <c r="AR64" s="194"/>
      <c r="AS64" s="194"/>
      <c r="AT64" s="190"/>
      <c r="AU64" s="190"/>
      <c r="AV64" s="190"/>
      <c r="AW64" s="190"/>
      <c r="AX64" s="190"/>
      <c r="AY64" s="190"/>
      <c r="AZ64" s="190"/>
      <c r="BA64" s="190"/>
      <c r="BB64" s="190"/>
    </row>
    <row r="65" spans="1:54" s="375" customFormat="1">
      <c r="A65" s="201"/>
      <c r="B65" s="201"/>
      <c r="C65" s="372" t="s">
        <v>84</v>
      </c>
      <c r="D65" s="373">
        <f>D64*$W$17/$B$34</f>
        <v>0</v>
      </c>
      <c r="E65" s="373">
        <f t="shared" ref="E65:O65" si="28">E64*$W$17/$B$34</f>
        <v>1.0480000000000003E-2</v>
      </c>
      <c r="F65" s="373">
        <f t="shared" si="28"/>
        <v>1.9440000000000006E-2</v>
      </c>
      <c r="G65" s="373">
        <f t="shared" si="28"/>
        <v>1.7280000000000007E-2</v>
      </c>
      <c r="H65" s="373">
        <f t="shared" si="28"/>
        <v>2.0000000000000004E-2</v>
      </c>
      <c r="I65" s="373">
        <f t="shared" si="28"/>
        <v>2.1600000000000008E-2</v>
      </c>
      <c r="J65" s="373">
        <f t="shared" si="28"/>
        <v>1.9440000000000006E-2</v>
      </c>
      <c r="K65" s="373">
        <f t="shared" si="28"/>
        <v>2.0000000000000004E-2</v>
      </c>
      <c r="L65" s="373">
        <f t="shared" si="28"/>
        <v>0</v>
      </c>
      <c r="M65" s="373">
        <f t="shared" si="28"/>
        <v>0</v>
      </c>
      <c r="N65" s="373">
        <f t="shared" si="28"/>
        <v>0</v>
      </c>
      <c r="O65" s="373">
        <f t="shared" si="28"/>
        <v>0</v>
      </c>
      <c r="P65" s="374">
        <f>SUM(D65:O65)</f>
        <v>0.12824000000000002</v>
      </c>
      <c r="Q65" s="200"/>
      <c r="R65" s="201"/>
      <c r="S65" s="201"/>
      <c r="T65" s="201"/>
      <c r="U65" s="201"/>
      <c r="V65" s="201"/>
      <c r="W65" s="201"/>
      <c r="X65" s="201"/>
      <c r="Y65" s="201"/>
      <c r="Z65" s="201"/>
      <c r="AA65" s="201"/>
      <c r="AB65" s="201"/>
      <c r="AC65" s="201"/>
      <c r="AD65" s="201"/>
      <c r="AE65" s="201"/>
      <c r="AF65" s="526"/>
      <c r="AG65" s="526"/>
      <c r="AH65" s="526"/>
      <c r="AI65" s="526"/>
      <c r="AJ65" s="437"/>
      <c r="AK65" s="437"/>
      <c r="AL65" s="437"/>
      <c r="AM65" s="434"/>
      <c r="AN65" s="434"/>
      <c r="AO65" s="434"/>
      <c r="AP65" s="434"/>
      <c r="AQ65" s="434"/>
      <c r="AR65" s="201"/>
      <c r="AS65" s="201"/>
      <c r="AT65" s="201"/>
      <c r="AU65" s="201"/>
      <c r="AV65" s="201"/>
      <c r="AW65" s="201"/>
      <c r="AX65" s="201"/>
      <c r="AY65" s="201"/>
      <c r="AZ65" s="201"/>
      <c r="BA65" s="201"/>
      <c r="BB65" s="201"/>
    </row>
    <row r="66" spans="1:54" s="375" customFormat="1">
      <c r="A66" s="200"/>
      <c r="B66" s="200"/>
      <c r="C66" s="200"/>
      <c r="D66" s="200"/>
      <c r="E66" s="200"/>
      <c r="F66" s="200"/>
      <c r="G66" s="200"/>
      <c r="H66" s="200"/>
      <c r="I66" s="200"/>
      <c r="J66" s="200"/>
      <c r="K66" s="200"/>
      <c r="L66" s="200"/>
      <c r="M66" s="200"/>
      <c r="N66" s="200"/>
      <c r="O66" s="200"/>
      <c r="P66" s="200"/>
      <c r="Q66" s="200"/>
      <c r="R66" s="200"/>
      <c r="S66" s="200"/>
      <c r="T66" s="200"/>
      <c r="U66" s="200"/>
      <c r="V66" s="200"/>
      <c r="W66" s="200"/>
      <c r="X66" s="200"/>
      <c r="Y66" s="200"/>
      <c r="Z66" s="200"/>
      <c r="AA66" s="200"/>
      <c r="AB66" s="200"/>
      <c r="AC66" s="200"/>
      <c r="AD66" s="201"/>
      <c r="AE66" s="201"/>
      <c r="AF66" s="526"/>
      <c r="AG66" s="526"/>
      <c r="AH66" s="526"/>
      <c r="AI66" s="526"/>
      <c r="AJ66" s="437"/>
      <c r="AK66" s="437"/>
      <c r="AL66" s="437"/>
      <c r="AM66" s="434"/>
      <c r="AN66" s="434"/>
      <c r="AO66" s="434"/>
      <c r="AP66" s="434"/>
      <c r="AQ66" s="434"/>
      <c r="AR66" s="201"/>
      <c r="AS66" s="201"/>
      <c r="AT66" s="201"/>
      <c r="AU66" s="201"/>
      <c r="AV66" s="201"/>
      <c r="AW66" s="201"/>
      <c r="AX66" s="201"/>
      <c r="AY66" s="201"/>
      <c r="AZ66" s="201"/>
      <c r="BA66" s="201"/>
      <c r="BB66" s="201"/>
    </row>
    <row r="67" spans="1:54" s="108" customFormat="1">
      <c r="D67" s="376">
        <f>D54+D56+D58+D60+D62</f>
        <v>0</v>
      </c>
      <c r="E67" s="376">
        <f t="shared" ref="E67:O67" si="29">E54+E56+E58+E60+E62</f>
        <v>1.3000000000000003E-2</v>
      </c>
      <c r="F67" s="376">
        <f t="shared" si="29"/>
        <v>2.5000000000000005E-2</v>
      </c>
      <c r="G67" s="376">
        <f t="shared" si="29"/>
        <v>2.5000000000000005E-2</v>
      </c>
      <c r="H67" s="376">
        <f t="shared" si="29"/>
        <v>2.5000000000000005E-2</v>
      </c>
      <c r="I67" s="376">
        <f t="shared" si="29"/>
        <v>2.5000000000000005E-2</v>
      </c>
      <c r="J67" s="376">
        <f t="shared" si="29"/>
        <v>2.5000000000000005E-2</v>
      </c>
      <c r="K67" s="376">
        <f t="shared" si="29"/>
        <v>2.5000000000000005E-2</v>
      </c>
      <c r="L67" s="376">
        <f t="shared" si="29"/>
        <v>2.5000000000000005E-2</v>
      </c>
      <c r="M67" s="376">
        <f t="shared" si="29"/>
        <v>2.5000000000000005E-2</v>
      </c>
      <c r="N67" s="376">
        <f t="shared" si="29"/>
        <v>2.5000000000000005E-2</v>
      </c>
      <c r="O67" s="376">
        <f t="shared" si="29"/>
        <v>1.2000000000000002E-2</v>
      </c>
      <c r="P67" s="376">
        <f>SUM(D67:O67)</f>
        <v>0.25</v>
      </c>
      <c r="AF67" s="527"/>
      <c r="AG67" s="527"/>
      <c r="AH67" s="527"/>
      <c r="AI67" s="527"/>
      <c r="AJ67" s="432"/>
      <c r="AK67" s="432"/>
      <c r="AL67" s="432"/>
      <c r="AM67" s="114"/>
      <c r="AN67" s="114"/>
      <c r="AO67" s="114"/>
      <c r="AP67" s="114"/>
      <c r="AQ67" s="114"/>
    </row>
    <row r="68" spans="1:54" s="375" customFormat="1">
      <c r="A68" s="201"/>
      <c r="B68" s="201"/>
      <c r="C68" s="372" t="s">
        <v>72</v>
      </c>
      <c r="D68" s="373">
        <f>D67*$W$17/$B$34</f>
        <v>0</v>
      </c>
      <c r="E68" s="373">
        <f t="shared" ref="E68:O68" si="30">E67*$W$17/$B$34</f>
        <v>1.0400000000000003E-2</v>
      </c>
      <c r="F68" s="373">
        <f t="shared" si="30"/>
        <v>2.0000000000000004E-2</v>
      </c>
      <c r="G68" s="373">
        <f t="shared" si="30"/>
        <v>2.0000000000000004E-2</v>
      </c>
      <c r="H68" s="373">
        <f t="shared" si="30"/>
        <v>2.0000000000000004E-2</v>
      </c>
      <c r="I68" s="373">
        <f t="shared" si="30"/>
        <v>2.0000000000000004E-2</v>
      </c>
      <c r="J68" s="373">
        <f t="shared" si="30"/>
        <v>2.0000000000000004E-2</v>
      </c>
      <c r="K68" s="373">
        <f t="shared" si="30"/>
        <v>2.0000000000000004E-2</v>
      </c>
      <c r="L68" s="373">
        <f t="shared" si="30"/>
        <v>2.0000000000000004E-2</v>
      </c>
      <c r="M68" s="373">
        <f t="shared" si="30"/>
        <v>2.0000000000000004E-2</v>
      </c>
      <c r="N68" s="373">
        <f t="shared" si="30"/>
        <v>2.0000000000000004E-2</v>
      </c>
      <c r="O68" s="373">
        <f t="shared" si="30"/>
        <v>9.6000000000000026E-3</v>
      </c>
      <c r="P68" s="374">
        <f>SUM(D68:O68)</f>
        <v>0.20000000000000007</v>
      </c>
      <c r="Q68" s="200"/>
      <c r="R68" s="201"/>
      <c r="S68" s="201"/>
      <c r="T68" s="201"/>
      <c r="U68" s="201"/>
      <c r="V68" s="201"/>
      <c r="W68" s="201"/>
      <c r="X68" s="201"/>
      <c r="Y68" s="201"/>
      <c r="Z68" s="201"/>
      <c r="AA68" s="201"/>
      <c r="AB68" s="201"/>
      <c r="AC68" s="201"/>
      <c r="AD68" s="201"/>
      <c r="AE68" s="201"/>
      <c r="AF68" s="526"/>
      <c r="AG68" s="526"/>
      <c r="AH68" s="526"/>
      <c r="AI68" s="526"/>
      <c r="AJ68" s="437"/>
      <c r="AK68" s="437"/>
      <c r="AL68" s="437"/>
      <c r="AM68" s="434"/>
      <c r="AN68" s="434"/>
      <c r="AO68" s="434"/>
      <c r="AP68" s="434"/>
      <c r="AQ68" s="434"/>
      <c r="AR68" s="201"/>
      <c r="AS68" s="201"/>
      <c r="AT68" s="201"/>
      <c r="AU68" s="201"/>
      <c r="AV68" s="201"/>
      <c r="AW68" s="201"/>
      <c r="AX68" s="201"/>
      <c r="AY68" s="201"/>
      <c r="AZ68" s="201"/>
      <c r="BA68" s="201"/>
      <c r="BB68" s="201"/>
    </row>
  </sheetData>
  <mergeCells count="106">
    <mergeCell ref="AG38:AG39"/>
    <mergeCell ref="AG40:AG41"/>
    <mergeCell ref="AG42:AG43"/>
    <mergeCell ref="AF38:AF39"/>
    <mergeCell ref="AF40:AF41"/>
    <mergeCell ref="AF42:AF43"/>
    <mergeCell ref="AF44:AF45"/>
    <mergeCell ref="AF46:AF47"/>
    <mergeCell ref="A58:A59"/>
    <mergeCell ref="B58:B59"/>
    <mergeCell ref="A52:A53"/>
    <mergeCell ref="B52:B53"/>
    <mergeCell ref="A46:A47"/>
    <mergeCell ref="B46:B47"/>
    <mergeCell ref="A42:A43"/>
    <mergeCell ref="B42:B43"/>
    <mergeCell ref="A54:A55"/>
    <mergeCell ref="B54:B55"/>
    <mergeCell ref="A56:A57"/>
    <mergeCell ref="B56:B57"/>
    <mergeCell ref="Q46:AD47"/>
    <mergeCell ref="Q42:AD43"/>
    <mergeCell ref="AG44:AG45"/>
    <mergeCell ref="AG46:AG47"/>
    <mergeCell ref="AA15:AD15"/>
    <mergeCell ref="C16:AB16"/>
    <mergeCell ref="AC17:AD17"/>
    <mergeCell ref="A19:AD19"/>
    <mergeCell ref="C20:P20"/>
    <mergeCell ref="Q20:AD20"/>
    <mergeCell ref="A17:B17"/>
    <mergeCell ref="C17:Q17"/>
    <mergeCell ref="R17:V17"/>
    <mergeCell ref="W17:X17"/>
    <mergeCell ref="Y17:AB17"/>
    <mergeCell ref="A15:B15"/>
    <mergeCell ref="C15:K15"/>
    <mergeCell ref="L15:Q15"/>
    <mergeCell ref="R15:X15"/>
    <mergeCell ref="Y15:Z15"/>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O7:P7"/>
    <mergeCell ref="M8:N8"/>
    <mergeCell ref="O8:P8"/>
    <mergeCell ref="M9:N9"/>
    <mergeCell ref="O9:P9"/>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Q34:V35"/>
    <mergeCell ref="W34:Z35"/>
    <mergeCell ref="AA34:AD35"/>
    <mergeCell ref="A36:A37"/>
    <mergeCell ref="B36:B37"/>
    <mergeCell ref="C36:P36"/>
    <mergeCell ref="Q36:AD36"/>
    <mergeCell ref="Q37:AD37"/>
    <mergeCell ref="A62:A63"/>
    <mergeCell ref="B62:B63"/>
    <mergeCell ref="A38:A39"/>
    <mergeCell ref="B38:B39"/>
    <mergeCell ref="Q38:AD39"/>
    <mergeCell ref="A44:A45"/>
    <mergeCell ref="B44:B45"/>
    <mergeCell ref="Q44:AD45"/>
    <mergeCell ref="A40:A41"/>
    <mergeCell ref="B40:B41"/>
    <mergeCell ref="Q40:AD41"/>
    <mergeCell ref="C52:P52"/>
    <mergeCell ref="A60:A61"/>
    <mergeCell ref="B60:B61"/>
  </mergeCells>
  <dataValidations count="3">
    <dataValidation type="textLength" operator="lessThanOrEqual" allowBlank="1" showInputMessage="1" showErrorMessage="1" errorTitle="Máximo 2.000 caracteres" error="Máximo 2.000 caracteres" sqref="Q38:AD47 AG44:AI44 Q34 W34 AA34 AJ44:AV45" xr:uid="{00000000-0002-0000-0100-000000000000}">
      <formula1>2000</formula1>
    </dataValidation>
    <dataValidation type="textLength" operator="lessThanOrEqual" allowBlank="1" showInputMessage="1" showErrorMessage="1" errorTitle="Máximo 2.000 caracteres" error="Máximo 2.000 caracteres" promptTitle="2.000 caracteres" sqref="AF30:AS30 Q30:AD30" xr:uid="{D38D317C-C352-42BC-BA6C-7A0245C01227}">
      <formula1>2000</formula1>
    </dataValidation>
    <dataValidation type="list" allowBlank="1" showInputMessage="1" showErrorMessage="1" sqref="WVN7:WVN9 JB7:JB9 SX7:SX9 ACT7:ACT9 AMP7:AMP9 AWL7:AWL9 BGH7:BGH9 BQD7:BQD9 BZZ7:BZZ9 CJV7:CJV9 CTR7:CTR9 DDN7:DDN9 DNJ7:DNJ9 DXF7:DXF9 EHB7:EHB9 EQX7:EQX9 FAT7:FAT9 FKP7:FKP9 FUL7:FUL9 GEH7:GEH9 GOD7:GOD9 GXZ7:GXZ9 HHV7:HHV9 HRR7:HRR9 IBN7:IBN9 ILJ7:ILJ9 IVF7:IVF9 JFB7:JFB9 JOX7:JOX9 JYT7:JYT9 KIP7:KIP9 KSL7:KSL9 LCH7:LCH9 LMD7:LMD9 LVZ7:LVZ9 MFV7:MFV9 MPR7:MPR9 MZN7:MZN9 NJJ7:NJJ9 NTF7:NTF9 ODB7:ODB9 OMX7:OMX9 OWT7:OWT9 PGP7:PGP9 PQL7:PQL9 QAH7:QAH9 QKD7:QKD9 QTZ7:QTZ9 RDV7:RDV9 RNR7:RNR9 RXN7:RXN9 SHJ7:SHJ9 SRF7:SRF9 TBB7:TBB9 TKX7:TKX9 TUT7:TUT9 UEP7:UEP9 UOL7:UOL9 UYH7:UYH9 VID7:VID9 VRZ7:VRZ9 WBV7:WBV9 WLR7:WLR9 C7:C9" xr:uid="{D19E3A7A-625A-4028-A70C-DF4B4E8F8D3F}">
      <formula1>$C$21:$N$21</formula1>
    </dataValidation>
  </dataValidations>
  <printOptions horizontalCentered="1"/>
  <pageMargins left="0.19685039370078741" right="0.19685039370078741" top="0.19685039370078741" bottom="0.19685039370078741" header="0" footer="0"/>
  <pageSetup scale="29"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BB65"/>
  <sheetViews>
    <sheetView showGridLines="0" tabSelected="1" view="pageBreakPreview" topLeftCell="P40" zoomScale="60" zoomScaleNormal="75" workbookViewId="0">
      <selection activeCell="Q44" sqref="Q44:AD45"/>
    </sheetView>
  </sheetViews>
  <sheetFormatPr baseColWidth="10" defaultColWidth="10.85546875" defaultRowHeight="1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20.5703125" style="50" bestFit="1" customWidth="1"/>
    <col min="30" max="30" width="19.42578125" style="50" customWidth="1"/>
    <col min="31" max="31" width="6.28515625" style="50" bestFit="1" customWidth="1"/>
    <col min="32" max="36" width="25" style="50" customWidth="1"/>
    <col min="37" max="41" width="17.7109375" style="531" customWidth="1"/>
    <col min="42" max="45" width="17.7109375" style="735" customWidth="1"/>
    <col min="46" max="46" width="17.7109375" style="50" customWidth="1"/>
    <col min="47" max="16384" width="10.85546875" style="50"/>
  </cols>
  <sheetData>
    <row r="1" spans="1:30" ht="32.25" customHeight="1">
      <c r="A1" s="781"/>
      <c r="B1" s="784" t="s">
        <v>0</v>
      </c>
      <c r="C1" s="785"/>
      <c r="D1" s="785"/>
      <c r="E1" s="785"/>
      <c r="F1" s="785"/>
      <c r="G1" s="785"/>
      <c r="H1" s="785"/>
      <c r="I1" s="785"/>
      <c r="J1" s="785"/>
      <c r="K1" s="785"/>
      <c r="L1" s="785"/>
      <c r="M1" s="785"/>
      <c r="N1" s="785"/>
      <c r="O1" s="785"/>
      <c r="P1" s="785"/>
      <c r="Q1" s="785"/>
      <c r="R1" s="785"/>
      <c r="S1" s="785"/>
      <c r="T1" s="785"/>
      <c r="U1" s="785"/>
      <c r="V1" s="785"/>
      <c r="W1" s="785"/>
      <c r="X1" s="785"/>
      <c r="Y1" s="785"/>
      <c r="Z1" s="785"/>
      <c r="AA1" s="786"/>
      <c r="AB1" s="966" t="s">
        <v>1</v>
      </c>
      <c r="AC1" s="967"/>
      <c r="AD1" s="968"/>
    </row>
    <row r="2" spans="1:30" ht="30.75" customHeight="1">
      <c r="A2" s="782"/>
      <c r="B2" s="790" t="s">
        <v>2</v>
      </c>
      <c r="C2" s="791"/>
      <c r="D2" s="791"/>
      <c r="E2" s="791"/>
      <c r="F2" s="791"/>
      <c r="G2" s="791"/>
      <c r="H2" s="791"/>
      <c r="I2" s="791"/>
      <c r="J2" s="791"/>
      <c r="K2" s="791"/>
      <c r="L2" s="791"/>
      <c r="M2" s="791"/>
      <c r="N2" s="791"/>
      <c r="O2" s="791"/>
      <c r="P2" s="791"/>
      <c r="Q2" s="791"/>
      <c r="R2" s="791"/>
      <c r="S2" s="791"/>
      <c r="T2" s="791"/>
      <c r="U2" s="791"/>
      <c r="V2" s="791"/>
      <c r="W2" s="791"/>
      <c r="X2" s="791"/>
      <c r="Y2" s="791"/>
      <c r="Z2" s="791"/>
      <c r="AA2" s="792"/>
      <c r="AB2" s="969" t="s">
        <v>3</v>
      </c>
      <c r="AC2" s="970"/>
      <c r="AD2" s="971"/>
    </row>
    <row r="3" spans="1:30" ht="24" customHeight="1">
      <c r="A3" s="782"/>
      <c r="B3" s="796" t="s">
        <v>4</v>
      </c>
      <c r="C3" s="797"/>
      <c r="D3" s="797"/>
      <c r="E3" s="797"/>
      <c r="F3" s="797"/>
      <c r="G3" s="797"/>
      <c r="H3" s="797"/>
      <c r="I3" s="797"/>
      <c r="J3" s="797"/>
      <c r="K3" s="797"/>
      <c r="L3" s="797"/>
      <c r="M3" s="797"/>
      <c r="N3" s="797"/>
      <c r="O3" s="797"/>
      <c r="P3" s="797"/>
      <c r="Q3" s="797"/>
      <c r="R3" s="797"/>
      <c r="S3" s="797"/>
      <c r="T3" s="797"/>
      <c r="U3" s="797"/>
      <c r="V3" s="797"/>
      <c r="W3" s="797"/>
      <c r="X3" s="797"/>
      <c r="Y3" s="797"/>
      <c r="Z3" s="797"/>
      <c r="AA3" s="798"/>
      <c r="AB3" s="969" t="s">
        <v>5</v>
      </c>
      <c r="AC3" s="970"/>
      <c r="AD3" s="971"/>
    </row>
    <row r="4" spans="1:30" ht="21.95" customHeight="1" thickBot="1">
      <c r="A4" s="783"/>
      <c r="B4" s="799"/>
      <c r="C4" s="800"/>
      <c r="D4" s="800"/>
      <c r="E4" s="800"/>
      <c r="F4" s="800"/>
      <c r="G4" s="800"/>
      <c r="H4" s="800"/>
      <c r="I4" s="800"/>
      <c r="J4" s="800"/>
      <c r="K4" s="800"/>
      <c r="L4" s="800"/>
      <c r="M4" s="800"/>
      <c r="N4" s="800"/>
      <c r="O4" s="800"/>
      <c r="P4" s="800"/>
      <c r="Q4" s="800"/>
      <c r="R4" s="800"/>
      <c r="S4" s="800"/>
      <c r="T4" s="800"/>
      <c r="U4" s="800"/>
      <c r="V4" s="800"/>
      <c r="W4" s="800"/>
      <c r="X4" s="800"/>
      <c r="Y4" s="800"/>
      <c r="Z4" s="800"/>
      <c r="AA4" s="801"/>
      <c r="AB4" s="963" t="s">
        <v>6</v>
      </c>
      <c r="AC4" s="964"/>
      <c r="AD4" s="965"/>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c r="A7" s="805" t="s">
        <v>7</v>
      </c>
      <c r="B7" s="806"/>
      <c r="C7" s="814" t="s">
        <v>8</v>
      </c>
      <c r="D7" s="805" t="s">
        <v>9</v>
      </c>
      <c r="E7" s="817"/>
      <c r="F7" s="817"/>
      <c r="G7" s="817"/>
      <c r="H7" s="806"/>
      <c r="I7" s="820">
        <v>44806</v>
      </c>
      <c r="J7" s="821"/>
      <c r="K7" s="805" t="s">
        <v>10</v>
      </c>
      <c r="L7" s="806"/>
      <c r="M7" s="826" t="s">
        <v>11</v>
      </c>
      <c r="N7" s="827"/>
      <c r="O7" s="831"/>
      <c r="P7" s="832"/>
      <c r="Q7" s="54"/>
      <c r="R7" s="54"/>
      <c r="S7" s="54"/>
      <c r="T7" s="54"/>
      <c r="U7" s="54"/>
      <c r="V7" s="54"/>
      <c r="W7" s="54"/>
      <c r="X7" s="54"/>
      <c r="Y7" s="54"/>
      <c r="Z7" s="55"/>
      <c r="AA7" s="54"/>
      <c r="AB7" s="54"/>
      <c r="AC7" s="60"/>
      <c r="AD7" s="61"/>
    </row>
    <row r="8" spans="1:30" ht="15" customHeight="1">
      <c r="A8" s="807"/>
      <c r="B8" s="808"/>
      <c r="C8" s="815"/>
      <c r="D8" s="807"/>
      <c r="E8" s="818"/>
      <c r="F8" s="818"/>
      <c r="G8" s="818"/>
      <c r="H8" s="808"/>
      <c r="I8" s="822"/>
      <c r="J8" s="823"/>
      <c r="K8" s="807"/>
      <c r="L8" s="808"/>
      <c r="M8" s="833" t="s">
        <v>12</v>
      </c>
      <c r="N8" s="834"/>
      <c r="O8" s="835"/>
      <c r="P8" s="836"/>
      <c r="Q8" s="54"/>
      <c r="R8" s="54"/>
      <c r="S8" s="54"/>
      <c r="T8" s="54"/>
      <c r="U8" s="54"/>
      <c r="V8" s="54"/>
      <c r="W8" s="54"/>
      <c r="X8" s="54"/>
      <c r="Y8" s="54"/>
      <c r="Z8" s="55"/>
      <c r="AA8" s="54"/>
      <c r="AB8" s="54"/>
      <c r="AC8" s="60"/>
      <c r="AD8" s="61"/>
    </row>
    <row r="9" spans="1:30" ht="15.75" customHeight="1" thickBot="1">
      <c r="A9" s="809"/>
      <c r="B9" s="810"/>
      <c r="C9" s="816"/>
      <c r="D9" s="809"/>
      <c r="E9" s="819"/>
      <c r="F9" s="819"/>
      <c r="G9" s="819"/>
      <c r="H9" s="810"/>
      <c r="I9" s="824"/>
      <c r="J9" s="825"/>
      <c r="K9" s="809"/>
      <c r="L9" s="810"/>
      <c r="M9" s="837" t="s">
        <v>13</v>
      </c>
      <c r="N9" s="838"/>
      <c r="O9" s="839" t="s">
        <v>14</v>
      </c>
      <c r="P9" s="840"/>
      <c r="Q9" s="54"/>
      <c r="R9" s="54"/>
      <c r="S9" s="54"/>
      <c r="T9" s="54"/>
      <c r="U9" s="54"/>
      <c r="V9" s="54"/>
      <c r="W9" s="54"/>
      <c r="X9" s="54"/>
      <c r="Y9" s="54"/>
      <c r="Z9" s="55"/>
      <c r="AA9" s="54"/>
      <c r="AB9" s="54"/>
      <c r="AC9" s="60"/>
      <c r="AD9" s="61"/>
    </row>
    <row r="10" spans="1:30" ht="15" customHeight="1" thickBot="1">
      <c r="A10" s="158"/>
      <c r="B10" s="382"/>
      <c r="C10" s="382"/>
      <c r="D10" s="65"/>
      <c r="E10" s="65"/>
      <c r="F10" s="65"/>
      <c r="G10" s="65"/>
      <c r="H10" s="65"/>
      <c r="I10" s="383"/>
      <c r="J10" s="383"/>
      <c r="K10" s="65"/>
      <c r="L10" s="65"/>
      <c r="M10" s="156"/>
      <c r="N10" s="156"/>
      <c r="O10" s="157"/>
      <c r="P10" s="157"/>
      <c r="Q10" s="382"/>
      <c r="R10" s="382"/>
      <c r="S10" s="382"/>
      <c r="T10" s="382"/>
      <c r="U10" s="382"/>
      <c r="V10" s="382"/>
      <c r="W10" s="382"/>
      <c r="X10" s="382"/>
      <c r="Y10" s="382"/>
      <c r="Z10" s="384"/>
      <c r="AA10" s="382"/>
      <c r="AB10" s="382"/>
      <c r="AC10" s="385"/>
      <c r="AD10" s="159"/>
    </row>
    <row r="11" spans="1:30" ht="15" customHeight="1">
      <c r="A11" s="805" t="s">
        <v>15</v>
      </c>
      <c r="B11" s="806"/>
      <c r="C11" s="811" t="s">
        <v>16</v>
      </c>
      <c r="D11" s="812"/>
      <c r="E11" s="812"/>
      <c r="F11" s="812"/>
      <c r="G11" s="812"/>
      <c r="H11" s="812"/>
      <c r="I11" s="812"/>
      <c r="J11" s="812"/>
      <c r="K11" s="812"/>
      <c r="L11" s="812"/>
      <c r="M11" s="812"/>
      <c r="N11" s="812"/>
      <c r="O11" s="812"/>
      <c r="P11" s="812"/>
      <c r="Q11" s="812"/>
      <c r="R11" s="812"/>
      <c r="S11" s="812"/>
      <c r="T11" s="812"/>
      <c r="U11" s="812"/>
      <c r="V11" s="812"/>
      <c r="W11" s="812"/>
      <c r="X11" s="812"/>
      <c r="Y11" s="812"/>
      <c r="Z11" s="812"/>
      <c r="AA11" s="812"/>
      <c r="AB11" s="812"/>
      <c r="AC11" s="812"/>
      <c r="AD11" s="813"/>
    </row>
    <row r="12" spans="1:30" ht="15" customHeight="1">
      <c r="A12" s="807"/>
      <c r="B12" s="808"/>
      <c r="C12" s="796"/>
      <c r="D12" s="797"/>
      <c r="E12" s="797"/>
      <c r="F12" s="797"/>
      <c r="G12" s="797"/>
      <c r="H12" s="797"/>
      <c r="I12" s="797"/>
      <c r="J12" s="797"/>
      <c r="K12" s="797"/>
      <c r="L12" s="797"/>
      <c r="M12" s="797"/>
      <c r="N12" s="797"/>
      <c r="O12" s="797"/>
      <c r="P12" s="797"/>
      <c r="Q12" s="797"/>
      <c r="R12" s="797"/>
      <c r="S12" s="797"/>
      <c r="T12" s="797"/>
      <c r="U12" s="797"/>
      <c r="V12" s="797"/>
      <c r="W12" s="797"/>
      <c r="X12" s="797"/>
      <c r="Y12" s="797"/>
      <c r="Z12" s="797"/>
      <c r="AA12" s="797"/>
      <c r="AB12" s="797"/>
      <c r="AC12" s="797"/>
      <c r="AD12" s="798"/>
    </row>
    <row r="13" spans="1:30" ht="15" customHeight="1" thickBot="1">
      <c r="A13" s="809"/>
      <c r="B13" s="810"/>
      <c r="C13" s="799"/>
      <c r="D13" s="800"/>
      <c r="E13" s="800"/>
      <c r="F13" s="800"/>
      <c r="G13" s="800"/>
      <c r="H13" s="800"/>
      <c r="I13" s="800"/>
      <c r="J13" s="800"/>
      <c r="K13" s="800"/>
      <c r="L13" s="800"/>
      <c r="M13" s="800"/>
      <c r="N13" s="800"/>
      <c r="O13" s="800"/>
      <c r="P13" s="800"/>
      <c r="Q13" s="800"/>
      <c r="R13" s="800"/>
      <c r="S13" s="800"/>
      <c r="T13" s="800"/>
      <c r="U13" s="800"/>
      <c r="V13" s="800"/>
      <c r="W13" s="800"/>
      <c r="X13" s="800"/>
      <c r="Y13" s="800"/>
      <c r="Z13" s="800"/>
      <c r="AA13" s="800"/>
      <c r="AB13" s="800"/>
      <c r="AC13" s="800"/>
      <c r="AD13" s="801"/>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841" t="s">
        <v>17</v>
      </c>
      <c r="B15" s="842"/>
      <c r="C15" s="828" t="s">
        <v>18</v>
      </c>
      <c r="D15" s="829"/>
      <c r="E15" s="829"/>
      <c r="F15" s="829"/>
      <c r="G15" s="829"/>
      <c r="H15" s="829"/>
      <c r="I15" s="829"/>
      <c r="J15" s="829"/>
      <c r="K15" s="830"/>
      <c r="L15" s="843" t="s">
        <v>19</v>
      </c>
      <c r="M15" s="844"/>
      <c r="N15" s="844"/>
      <c r="O15" s="844"/>
      <c r="P15" s="844"/>
      <c r="Q15" s="845"/>
      <c r="R15" s="846" t="s">
        <v>20</v>
      </c>
      <c r="S15" s="847"/>
      <c r="T15" s="847"/>
      <c r="U15" s="847"/>
      <c r="V15" s="847"/>
      <c r="W15" s="847"/>
      <c r="X15" s="848"/>
      <c r="Y15" s="843" t="s">
        <v>21</v>
      </c>
      <c r="Z15" s="845"/>
      <c r="AA15" s="828" t="s">
        <v>22</v>
      </c>
      <c r="AB15" s="829"/>
      <c r="AC15" s="829"/>
      <c r="AD15" s="830"/>
    </row>
    <row r="16" spans="1:30" ht="9" customHeight="1" thickBot="1">
      <c r="A16" s="59"/>
      <c r="B16" s="54"/>
      <c r="C16" s="851"/>
      <c r="D16" s="851"/>
      <c r="E16" s="851"/>
      <c r="F16" s="851"/>
      <c r="G16" s="851"/>
      <c r="H16" s="851"/>
      <c r="I16" s="851"/>
      <c r="J16" s="851"/>
      <c r="K16" s="851"/>
      <c r="L16" s="851"/>
      <c r="M16" s="851"/>
      <c r="N16" s="851"/>
      <c r="O16" s="851"/>
      <c r="P16" s="851"/>
      <c r="Q16" s="851"/>
      <c r="R16" s="851"/>
      <c r="S16" s="851"/>
      <c r="T16" s="851"/>
      <c r="U16" s="851"/>
      <c r="V16" s="851"/>
      <c r="W16" s="851"/>
      <c r="X16" s="851"/>
      <c r="Y16" s="851"/>
      <c r="Z16" s="851"/>
      <c r="AA16" s="851"/>
      <c r="AB16" s="851"/>
      <c r="AC16" s="73"/>
      <c r="AD16" s="74"/>
    </row>
    <row r="17" spans="1:45" s="76" customFormat="1" ht="37.5" customHeight="1" thickBot="1">
      <c r="A17" s="841" t="s">
        <v>23</v>
      </c>
      <c r="B17" s="842"/>
      <c r="C17" s="958" t="s">
        <v>221</v>
      </c>
      <c r="D17" s="959"/>
      <c r="E17" s="959"/>
      <c r="F17" s="959"/>
      <c r="G17" s="959"/>
      <c r="H17" s="959"/>
      <c r="I17" s="959"/>
      <c r="J17" s="959"/>
      <c r="K17" s="959"/>
      <c r="L17" s="959"/>
      <c r="M17" s="959"/>
      <c r="N17" s="959"/>
      <c r="O17" s="959"/>
      <c r="P17" s="959"/>
      <c r="Q17" s="960"/>
      <c r="R17" s="843" t="s">
        <v>25</v>
      </c>
      <c r="S17" s="844"/>
      <c r="T17" s="844"/>
      <c r="U17" s="844"/>
      <c r="V17" s="845"/>
      <c r="W17" s="961">
        <v>1</v>
      </c>
      <c r="X17" s="962"/>
      <c r="Y17" s="844" t="s">
        <v>26</v>
      </c>
      <c r="Z17" s="844"/>
      <c r="AA17" s="844"/>
      <c r="AB17" s="845"/>
      <c r="AC17" s="857">
        <v>0.35</v>
      </c>
      <c r="AD17" s="858"/>
      <c r="AK17" s="532"/>
      <c r="AL17" s="532"/>
      <c r="AM17" s="532"/>
      <c r="AN17" s="532"/>
      <c r="AO17" s="532"/>
      <c r="AP17" s="750"/>
      <c r="AQ17" s="750"/>
      <c r="AR17" s="750"/>
      <c r="AS17" s="750"/>
    </row>
    <row r="18" spans="1:45"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5" ht="32.1" customHeight="1" thickBot="1">
      <c r="A19" s="843" t="s">
        <v>27</v>
      </c>
      <c r="B19" s="844"/>
      <c r="C19" s="844"/>
      <c r="D19" s="844"/>
      <c r="E19" s="844"/>
      <c r="F19" s="844"/>
      <c r="G19" s="844"/>
      <c r="H19" s="844"/>
      <c r="I19" s="844"/>
      <c r="J19" s="844"/>
      <c r="K19" s="844"/>
      <c r="L19" s="844"/>
      <c r="M19" s="844"/>
      <c r="N19" s="844"/>
      <c r="O19" s="844"/>
      <c r="P19" s="844"/>
      <c r="Q19" s="844"/>
      <c r="R19" s="844"/>
      <c r="S19" s="844"/>
      <c r="T19" s="844"/>
      <c r="U19" s="844"/>
      <c r="V19" s="844"/>
      <c r="W19" s="844"/>
      <c r="X19" s="844"/>
      <c r="Y19" s="844"/>
      <c r="Z19" s="844"/>
      <c r="AA19" s="844"/>
      <c r="AB19" s="844"/>
      <c r="AC19" s="844"/>
      <c r="AD19" s="845"/>
      <c r="AE19" s="83"/>
      <c r="AF19" s="83"/>
    </row>
    <row r="20" spans="1:45" ht="32.1" customHeight="1" thickBot="1">
      <c r="A20" s="82"/>
      <c r="B20" s="60"/>
      <c r="C20" s="843" t="s">
        <v>28</v>
      </c>
      <c r="D20" s="844"/>
      <c r="E20" s="844"/>
      <c r="F20" s="844"/>
      <c r="G20" s="844"/>
      <c r="H20" s="844"/>
      <c r="I20" s="844"/>
      <c r="J20" s="844"/>
      <c r="K20" s="844"/>
      <c r="L20" s="844"/>
      <c r="M20" s="844"/>
      <c r="N20" s="844"/>
      <c r="O20" s="844"/>
      <c r="P20" s="845"/>
      <c r="Q20" s="957" t="s">
        <v>29</v>
      </c>
      <c r="R20" s="955"/>
      <c r="S20" s="955"/>
      <c r="T20" s="955"/>
      <c r="U20" s="955"/>
      <c r="V20" s="955"/>
      <c r="W20" s="955"/>
      <c r="X20" s="955"/>
      <c r="Y20" s="955"/>
      <c r="Z20" s="955"/>
      <c r="AA20" s="955"/>
      <c r="AB20" s="955"/>
      <c r="AC20" s="955"/>
      <c r="AD20" s="956"/>
      <c r="AE20" s="83"/>
      <c r="AF20" s="83"/>
    </row>
    <row r="21" spans="1:45" ht="32.1" customHeight="1" thickBot="1">
      <c r="A21" s="59"/>
      <c r="B21" s="54"/>
      <c r="C21" s="378" t="s">
        <v>30</v>
      </c>
      <c r="D21" s="379" t="s">
        <v>31</v>
      </c>
      <c r="E21" s="379" t="s">
        <v>32</v>
      </c>
      <c r="F21" s="379" t="s">
        <v>33</v>
      </c>
      <c r="G21" s="379" t="s">
        <v>34</v>
      </c>
      <c r="H21" s="379" t="s">
        <v>35</v>
      </c>
      <c r="I21" s="379" t="s">
        <v>36</v>
      </c>
      <c r="J21" s="379" t="s">
        <v>8</v>
      </c>
      <c r="K21" s="379" t="s">
        <v>37</v>
      </c>
      <c r="L21" s="379" t="s">
        <v>38</v>
      </c>
      <c r="M21" s="379" t="s">
        <v>39</v>
      </c>
      <c r="N21" s="379" t="s">
        <v>40</v>
      </c>
      <c r="O21" s="379" t="s">
        <v>41</v>
      </c>
      <c r="P21" s="380" t="s">
        <v>42</v>
      </c>
      <c r="Q21" s="378" t="s">
        <v>30</v>
      </c>
      <c r="R21" s="379" t="s">
        <v>31</v>
      </c>
      <c r="S21" s="379" t="s">
        <v>32</v>
      </c>
      <c r="T21" s="379" t="s">
        <v>33</v>
      </c>
      <c r="U21" s="379" t="s">
        <v>34</v>
      </c>
      <c r="V21" s="379" t="s">
        <v>35</v>
      </c>
      <c r="W21" s="379" t="s">
        <v>36</v>
      </c>
      <c r="X21" s="379" t="s">
        <v>8</v>
      </c>
      <c r="Y21" s="379" t="s">
        <v>37</v>
      </c>
      <c r="Z21" s="379" t="s">
        <v>38</v>
      </c>
      <c r="AA21" s="379" t="s">
        <v>39</v>
      </c>
      <c r="AB21" s="379" t="s">
        <v>40</v>
      </c>
      <c r="AC21" s="379" t="s">
        <v>41</v>
      </c>
      <c r="AD21" s="380" t="s">
        <v>42</v>
      </c>
      <c r="AE21" s="3"/>
      <c r="AF21" s="3"/>
    </row>
    <row r="22" spans="1:45" ht="32.1" customHeight="1">
      <c r="A22" s="862" t="s">
        <v>43</v>
      </c>
      <c r="B22" s="930"/>
      <c r="C22" s="641">
        <v>0</v>
      </c>
      <c r="D22" s="642">
        <v>0</v>
      </c>
      <c r="E22" s="642">
        <v>0</v>
      </c>
      <c r="F22" s="642">
        <v>0</v>
      </c>
      <c r="G22" s="642">
        <v>0</v>
      </c>
      <c r="H22" s="642">
        <v>0</v>
      </c>
      <c r="I22" s="642">
        <v>0</v>
      </c>
      <c r="J22" s="642">
        <v>0</v>
      </c>
      <c r="K22" s="642">
        <v>0</v>
      </c>
      <c r="L22" s="642">
        <v>0</v>
      </c>
      <c r="M22" s="642">
        <v>0</v>
      </c>
      <c r="N22" s="642">
        <v>0</v>
      </c>
      <c r="O22" s="642">
        <f>SUM(C22:N22)</f>
        <v>0</v>
      </c>
      <c r="P22" s="643"/>
      <c r="Q22" s="772">
        <v>1230000000</v>
      </c>
      <c r="R22" s="642">
        <v>0</v>
      </c>
      <c r="S22" s="642">
        <v>0</v>
      </c>
      <c r="T22" s="642">
        <v>0</v>
      </c>
      <c r="U22" s="642">
        <v>0</v>
      </c>
      <c r="V22" s="642">
        <v>0</v>
      </c>
      <c r="W22" s="642">
        <v>0</v>
      </c>
      <c r="X22" s="642">
        <v>0</v>
      </c>
      <c r="Y22" s="642">
        <v>0</v>
      </c>
      <c r="Z22" s="642">
        <v>0</v>
      </c>
      <c r="AA22" s="642">
        <v>0</v>
      </c>
      <c r="AB22" s="642">
        <v>0</v>
      </c>
      <c r="AC22" s="701">
        <f>SUM(Q22:AB22)</f>
        <v>1230000000</v>
      </c>
      <c r="AD22" s="655"/>
      <c r="AE22" s="3"/>
      <c r="AF22" s="3"/>
    </row>
    <row r="23" spans="1:45" ht="32.1" customHeight="1">
      <c r="A23" s="849" t="s">
        <v>44</v>
      </c>
      <c r="B23" s="876"/>
      <c r="C23" s="641">
        <v>0</v>
      </c>
      <c r="D23" s="642">
        <v>0</v>
      </c>
      <c r="E23" s="642">
        <v>0</v>
      </c>
      <c r="F23" s="642">
        <v>0</v>
      </c>
      <c r="G23" s="642">
        <v>0</v>
      </c>
      <c r="H23" s="642">
        <v>0</v>
      </c>
      <c r="I23" s="642">
        <v>0</v>
      </c>
      <c r="J23" s="642">
        <v>0</v>
      </c>
      <c r="K23" s="642">
        <v>0</v>
      </c>
      <c r="L23" s="642">
        <v>0</v>
      </c>
      <c r="M23" s="642">
        <v>0</v>
      </c>
      <c r="N23" s="642">
        <v>0</v>
      </c>
      <c r="O23" s="645">
        <f>SUM(C23:N23)</f>
        <v>0</v>
      </c>
      <c r="P23" s="646" t="str">
        <f>IFERROR(O23/(SUMIF(C23:N23,"&gt;0",C22:N22))," ")</f>
        <v xml:space="preserve"> </v>
      </c>
      <c r="Q23" s="772">
        <v>1230000000</v>
      </c>
      <c r="R23" s="642">
        <v>0</v>
      </c>
      <c r="S23" s="642">
        <v>0</v>
      </c>
      <c r="T23" s="642">
        <v>0</v>
      </c>
      <c r="U23" s="642">
        <v>0</v>
      </c>
      <c r="V23" s="642">
        <v>0</v>
      </c>
      <c r="W23" s="642">
        <v>0</v>
      </c>
      <c r="X23" s="642">
        <v>0</v>
      </c>
      <c r="Y23" s="642">
        <v>0</v>
      </c>
      <c r="Z23" s="642">
        <v>0</v>
      </c>
      <c r="AA23" s="642">
        <v>0</v>
      </c>
      <c r="AB23" s="642">
        <v>0</v>
      </c>
      <c r="AC23" s="701">
        <f>SUM(Q23:AB23)</f>
        <v>1230000000</v>
      </c>
      <c r="AD23" s="646">
        <f>AC23/AC22</f>
        <v>1</v>
      </c>
      <c r="AE23" s="3"/>
      <c r="AF23" s="3"/>
    </row>
    <row r="24" spans="1:45" ht="32.1" customHeight="1">
      <c r="A24" s="849" t="s">
        <v>46</v>
      </c>
      <c r="B24" s="876"/>
      <c r="C24" s="641">
        <v>0</v>
      </c>
      <c r="D24" s="642">
        <v>0</v>
      </c>
      <c r="E24" s="642">
        <v>0</v>
      </c>
      <c r="F24" s="642">
        <v>0</v>
      </c>
      <c r="G24" s="642">
        <v>0</v>
      </c>
      <c r="H24" s="642">
        <v>0</v>
      </c>
      <c r="I24" s="642">
        <v>0</v>
      </c>
      <c r="J24" s="642">
        <v>0</v>
      </c>
      <c r="K24" s="642">
        <v>0</v>
      </c>
      <c r="L24" s="642">
        <v>0</v>
      </c>
      <c r="M24" s="642">
        <v>0</v>
      </c>
      <c r="N24" s="642">
        <v>0</v>
      </c>
      <c r="O24" s="645">
        <f>SUM(C24:N24)</f>
        <v>0</v>
      </c>
      <c r="P24" s="650"/>
      <c r="Q24" s="644">
        <v>0</v>
      </c>
      <c r="R24" s="649">
        <v>4666666.666666667</v>
      </c>
      <c r="S24" s="649">
        <v>14000000</v>
      </c>
      <c r="T24" s="649">
        <v>14000000</v>
      </c>
      <c r="U24" s="649">
        <v>14000000</v>
      </c>
      <c r="V24" s="649">
        <v>14000000</v>
      </c>
      <c r="W24" s="649">
        <v>167714285.7142857</v>
      </c>
      <c r="X24" s="649">
        <v>167714285.7142857</v>
      </c>
      <c r="Y24" s="649">
        <v>167714285.7142857</v>
      </c>
      <c r="Z24" s="649">
        <v>167714285.7142857</v>
      </c>
      <c r="AA24" s="649">
        <v>167714285.7142857</v>
      </c>
      <c r="AB24" s="649">
        <f>167714285.714286+163047619.047619</f>
        <v>330761904.76190495</v>
      </c>
      <c r="AC24" s="701">
        <f>SUM(Q24:AB24)</f>
        <v>1230000000.0000002</v>
      </c>
      <c r="AD24" s="646"/>
      <c r="AE24" s="3"/>
      <c r="AF24" s="3"/>
    </row>
    <row r="25" spans="1:45" ht="32.1" customHeight="1" thickBot="1">
      <c r="A25" s="864" t="s">
        <v>47</v>
      </c>
      <c r="B25" s="1036"/>
      <c r="C25" s="773">
        <v>0</v>
      </c>
      <c r="D25" s="658">
        <v>0</v>
      </c>
      <c r="E25" s="658">
        <v>0</v>
      </c>
      <c r="F25" s="658">
        <v>0</v>
      </c>
      <c r="G25" s="658">
        <v>0</v>
      </c>
      <c r="H25" s="658">
        <v>0</v>
      </c>
      <c r="I25" s="658">
        <v>0</v>
      </c>
      <c r="J25" s="658">
        <v>0</v>
      </c>
      <c r="K25" s="658">
        <v>0</v>
      </c>
      <c r="L25" s="658">
        <v>0</v>
      </c>
      <c r="M25" s="658">
        <v>0</v>
      </c>
      <c r="N25" s="658">
        <v>0</v>
      </c>
      <c r="O25" s="653">
        <f>SUM(C25:N25)</f>
        <v>0</v>
      </c>
      <c r="P25" s="470"/>
      <c r="Q25" s="774">
        <v>0</v>
      </c>
      <c r="R25" s="657">
        <v>0</v>
      </c>
      <c r="S25" s="657">
        <v>14000000</v>
      </c>
      <c r="T25" s="657">
        <v>659600000</v>
      </c>
      <c r="U25" s="657">
        <v>7000000</v>
      </c>
      <c r="V25" s="657">
        <v>21000000</v>
      </c>
      <c r="W25" s="657">
        <v>444400000</v>
      </c>
      <c r="X25" s="657">
        <v>14000000</v>
      </c>
      <c r="Y25" s="658"/>
      <c r="Z25" s="658"/>
      <c r="AA25" s="658"/>
      <c r="AB25" s="658"/>
      <c r="AC25" s="701">
        <f>SUM(Q25:AB25)</f>
        <v>1160000000</v>
      </c>
      <c r="AD25" s="470">
        <f>AC25/AC24</f>
        <v>0.94308943089430874</v>
      </c>
      <c r="AE25" s="3"/>
      <c r="AF25" s="3"/>
    </row>
    <row r="26" spans="1:45"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59"/>
      <c r="AF26" s="358"/>
      <c r="AG26" s="358"/>
    </row>
    <row r="27" spans="1:45" ht="33.950000000000003" customHeight="1">
      <c r="A27" s="866" t="s">
        <v>48</v>
      </c>
      <c r="B27" s="867"/>
      <c r="C27" s="868"/>
      <c r="D27" s="868"/>
      <c r="E27" s="868"/>
      <c r="F27" s="868"/>
      <c r="G27" s="868"/>
      <c r="H27" s="868"/>
      <c r="I27" s="868"/>
      <c r="J27" s="868"/>
      <c r="K27" s="868"/>
      <c r="L27" s="868"/>
      <c r="M27" s="868"/>
      <c r="N27" s="868"/>
      <c r="O27" s="868"/>
      <c r="P27" s="868"/>
      <c r="Q27" s="868"/>
      <c r="R27" s="868"/>
      <c r="S27" s="868"/>
      <c r="T27" s="868"/>
      <c r="U27" s="868"/>
      <c r="V27" s="868"/>
      <c r="W27" s="868"/>
      <c r="X27" s="868"/>
      <c r="Y27" s="868"/>
      <c r="Z27" s="868"/>
      <c r="AA27" s="868"/>
      <c r="AB27" s="868"/>
      <c r="AC27" s="868"/>
      <c r="AD27" s="869"/>
    </row>
    <row r="28" spans="1:45" ht="15" customHeight="1">
      <c r="A28" s="870" t="s">
        <v>49</v>
      </c>
      <c r="B28" s="872" t="s">
        <v>50</v>
      </c>
      <c r="C28" s="873"/>
      <c r="D28" s="876" t="s">
        <v>51</v>
      </c>
      <c r="E28" s="877"/>
      <c r="F28" s="877"/>
      <c r="G28" s="877"/>
      <c r="H28" s="877"/>
      <c r="I28" s="877"/>
      <c r="J28" s="877"/>
      <c r="K28" s="877"/>
      <c r="L28" s="877"/>
      <c r="M28" s="877"/>
      <c r="N28" s="877"/>
      <c r="O28" s="878"/>
      <c r="P28" s="879" t="s">
        <v>41</v>
      </c>
      <c r="Q28" s="879" t="s">
        <v>52</v>
      </c>
      <c r="R28" s="879"/>
      <c r="S28" s="879"/>
      <c r="T28" s="879"/>
      <c r="U28" s="879"/>
      <c r="V28" s="879"/>
      <c r="W28" s="879"/>
      <c r="X28" s="879"/>
      <c r="Y28" s="879"/>
      <c r="Z28" s="879"/>
      <c r="AA28" s="879"/>
      <c r="AB28" s="879"/>
      <c r="AC28" s="879"/>
      <c r="AD28" s="850"/>
    </row>
    <row r="29" spans="1:45" ht="27" customHeight="1">
      <c r="A29" s="871"/>
      <c r="B29" s="874"/>
      <c r="C29" s="875"/>
      <c r="D29" s="88" t="s">
        <v>30</v>
      </c>
      <c r="E29" s="88" t="s">
        <v>31</v>
      </c>
      <c r="F29" s="88" t="s">
        <v>32</v>
      </c>
      <c r="G29" s="88" t="s">
        <v>33</v>
      </c>
      <c r="H29" s="88" t="s">
        <v>34</v>
      </c>
      <c r="I29" s="88" t="s">
        <v>35</v>
      </c>
      <c r="J29" s="88" t="s">
        <v>36</v>
      </c>
      <c r="K29" s="88" t="s">
        <v>8</v>
      </c>
      <c r="L29" s="88" t="s">
        <v>37</v>
      </c>
      <c r="M29" s="88" t="s">
        <v>38</v>
      </c>
      <c r="N29" s="88" t="s">
        <v>39</v>
      </c>
      <c r="O29" s="88" t="s">
        <v>40</v>
      </c>
      <c r="P29" s="878"/>
      <c r="Q29" s="879"/>
      <c r="R29" s="879"/>
      <c r="S29" s="879"/>
      <c r="T29" s="879"/>
      <c r="U29" s="879"/>
      <c r="V29" s="879"/>
      <c r="W29" s="879"/>
      <c r="X29" s="879"/>
      <c r="Y29" s="879"/>
      <c r="Z29" s="879"/>
      <c r="AA29" s="879"/>
      <c r="AB29" s="879"/>
      <c r="AC29" s="879"/>
      <c r="AD29" s="850"/>
    </row>
    <row r="30" spans="1:45" ht="96" customHeight="1" thickBot="1">
      <c r="A30" s="377" t="str">
        <f>C17</f>
        <v xml:space="preserve">Diseñar e Implementar 1 programa piloto para promover la autonomía económica de las mujeres cuidadoras en el marco de la estrategia de emprendimiento y empleabilidad de la SDMujer </v>
      </c>
      <c r="B30" s="949"/>
      <c r="C30" s="950"/>
      <c r="D30" s="89"/>
      <c r="E30" s="89"/>
      <c r="F30" s="89"/>
      <c r="G30" s="89"/>
      <c r="H30" s="89"/>
      <c r="I30" s="89"/>
      <c r="J30" s="89"/>
      <c r="K30" s="89"/>
      <c r="L30" s="89"/>
      <c r="M30" s="89"/>
      <c r="N30" s="89"/>
      <c r="O30" s="89"/>
      <c r="P30" s="86">
        <f>SUM(D30:O30)</f>
        <v>0</v>
      </c>
      <c r="Q30" s="951" t="s">
        <v>216</v>
      </c>
      <c r="R30" s="951"/>
      <c r="S30" s="951"/>
      <c r="T30" s="951"/>
      <c r="U30" s="951"/>
      <c r="V30" s="951"/>
      <c r="W30" s="951"/>
      <c r="X30" s="951"/>
      <c r="Y30" s="951"/>
      <c r="Z30" s="951"/>
      <c r="AA30" s="951"/>
      <c r="AB30" s="951"/>
      <c r="AC30" s="951"/>
      <c r="AD30" s="952"/>
    </row>
    <row r="31" spans="1:45" ht="45" customHeight="1">
      <c r="A31" s="885" t="s">
        <v>56</v>
      </c>
      <c r="B31" s="886"/>
      <c r="C31" s="886"/>
      <c r="D31" s="886"/>
      <c r="E31" s="886"/>
      <c r="F31" s="886"/>
      <c r="G31" s="886"/>
      <c r="H31" s="886"/>
      <c r="I31" s="886"/>
      <c r="J31" s="886"/>
      <c r="K31" s="886"/>
      <c r="L31" s="886"/>
      <c r="M31" s="886"/>
      <c r="N31" s="886"/>
      <c r="O31" s="886"/>
      <c r="P31" s="886"/>
      <c r="Q31" s="886"/>
      <c r="R31" s="886"/>
      <c r="S31" s="886"/>
      <c r="T31" s="886"/>
      <c r="U31" s="886"/>
      <c r="V31" s="886"/>
      <c r="W31" s="886"/>
      <c r="X31" s="886"/>
      <c r="Y31" s="886"/>
      <c r="Z31" s="886"/>
      <c r="AA31" s="886"/>
      <c r="AB31" s="886"/>
      <c r="AC31" s="886"/>
      <c r="AD31" s="887"/>
      <c r="AL31" s="531" t="s">
        <v>222</v>
      </c>
    </row>
    <row r="32" spans="1:45" ht="23.1" customHeight="1">
      <c r="A32" s="849" t="s">
        <v>57</v>
      </c>
      <c r="B32" s="879" t="s">
        <v>58</v>
      </c>
      <c r="C32" s="879" t="s">
        <v>50</v>
      </c>
      <c r="D32" s="879" t="s">
        <v>59</v>
      </c>
      <c r="E32" s="879"/>
      <c r="F32" s="879"/>
      <c r="G32" s="879"/>
      <c r="H32" s="879"/>
      <c r="I32" s="879"/>
      <c r="J32" s="879"/>
      <c r="K32" s="879"/>
      <c r="L32" s="879"/>
      <c r="M32" s="879"/>
      <c r="N32" s="879"/>
      <c r="O32" s="879"/>
      <c r="P32" s="879"/>
      <c r="Q32" s="879" t="s">
        <v>60</v>
      </c>
      <c r="R32" s="879"/>
      <c r="S32" s="879"/>
      <c r="T32" s="879"/>
      <c r="U32" s="879"/>
      <c r="V32" s="879"/>
      <c r="W32" s="879"/>
      <c r="X32" s="879"/>
      <c r="Y32" s="879"/>
      <c r="Z32" s="879"/>
      <c r="AA32" s="879"/>
      <c r="AB32" s="879"/>
      <c r="AC32" s="879"/>
      <c r="AD32" s="850"/>
      <c r="AF32" s="512"/>
      <c r="AL32" s="538"/>
      <c r="AM32" s="538"/>
      <c r="AN32" s="538"/>
      <c r="AO32" s="538"/>
      <c r="AP32" s="738"/>
      <c r="AQ32" s="738"/>
      <c r="AR32" s="738"/>
    </row>
    <row r="33" spans="1:44" ht="23.1" customHeight="1">
      <c r="A33" s="849"/>
      <c r="B33" s="879"/>
      <c r="C33" s="888"/>
      <c r="D33" s="88" t="s">
        <v>30</v>
      </c>
      <c r="E33" s="88" t="s">
        <v>31</v>
      </c>
      <c r="F33" s="88" t="s">
        <v>32</v>
      </c>
      <c r="G33" s="88" t="s">
        <v>33</v>
      </c>
      <c r="H33" s="88" t="s">
        <v>34</v>
      </c>
      <c r="I33" s="88" t="s">
        <v>35</v>
      </c>
      <c r="J33" s="88" t="s">
        <v>36</v>
      </c>
      <c r="K33" s="88" t="s">
        <v>8</v>
      </c>
      <c r="L33" s="88" t="s">
        <v>37</v>
      </c>
      <c r="M33" s="88" t="s">
        <v>38</v>
      </c>
      <c r="N33" s="88" t="s">
        <v>39</v>
      </c>
      <c r="O33" s="88" t="s">
        <v>40</v>
      </c>
      <c r="P33" s="88" t="s">
        <v>41</v>
      </c>
      <c r="Q33" s="874" t="s">
        <v>61</v>
      </c>
      <c r="R33" s="889"/>
      <c r="S33" s="889"/>
      <c r="T33" s="889"/>
      <c r="U33" s="889"/>
      <c r="V33" s="875"/>
      <c r="W33" s="874" t="s">
        <v>62</v>
      </c>
      <c r="X33" s="889"/>
      <c r="Y33" s="889"/>
      <c r="Z33" s="875"/>
      <c r="AA33" s="874" t="s">
        <v>63</v>
      </c>
      <c r="AB33" s="889"/>
      <c r="AC33" s="889"/>
      <c r="AD33" s="898"/>
      <c r="AF33" s="98" t="s">
        <v>135</v>
      </c>
      <c r="AG33" s="98" t="s">
        <v>136</v>
      </c>
      <c r="AH33" s="98" t="s">
        <v>137</v>
      </c>
      <c r="AI33" s="98" t="s">
        <v>138</v>
      </c>
      <c r="AJ33" s="98"/>
      <c r="AK33" s="541" t="s">
        <v>64</v>
      </c>
      <c r="AL33" s="541" t="s">
        <v>65</v>
      </c>
      <c r="AM33" s="541" t="s">
        <v>66</v>
      </c>
      <c r="AN33" s="541" t="s">
        <v>67</v>
      </c>
      <c r="AO33" s="541" t="s">
        <v>68</v>
      </c>
      <c r="AP33" s="742" t="s">
        <v>69</v>
      </c>
      <c r="AQ33" s="742" t="s">
        <v>70</v>
      </c>
      <c r="AR33" s="742" t="s">
        <v>223</v>
      </c>
    </row>
    <row r="34" spans="1:44" ht="132" customHeight="1">
      <c r="A34" s="934" t="s">
        <v>224</v>
      </c>
      <c r="B34" s="901">
        <f>B38+B40+B42+B44</f>
        <v>0.35000000000000003</v>
      </c>
      <c r="C34" s="90" t="s">
        <v>72</v>
      </c>
      <c r="D34" s="167">
        <f>D65</f>
        <v>0</v>
      </c>
      <c r="E34" s="167">
        <f t="shared" ref="E34:O34" si="0">E65</f>
        <v>0.20476190476190476</v>
      </c>
      <c r="F34" s="167">
        <f t="shared" si="0"/>
        <v>0.24557823129251702</v>
      </c>
      <c r="G34" s="167">
        <f t="shared" si="0"/>
        <v>0.24557823129251702</v>
      </c>
      <c r="H34" s="167">
        <f t="shared" si="0"/>
        <v>5.5102040816326539E-2</v>
      </c>
      <c r="I34" s="167">
        <f t="shared" si="0"/>
        <v>5.5102040816326539E-2</v>
      </c>
      <c r="J34" s="167">
        <f t="shared" si="0"/>
        <v>5.5102040816326539E-2</v>
      </c>
      <c r="K34" s="167">
        <f t="shared" si="0"/>
        <v>5.5102040816326539E-2</v>
      </c>
      <c r="L34" s="167">
        <f t="shared" si="0"/>
        <v>5.5102040816326539E-2</v>
      </c>
      <c r="M34" s="167">
        <f t="shared" si="0"/>
        <v>1.428571428571429E-2</v>
      </c>
      <c r="N34" s="167">
        <f t="shared" si="0"/>
        <v>1.428571428571429E-2</v>
      </c>
      <c r="O34" s="167">
        <f t="shared" si="0"/>
        <v>0</v>
      </c>
      <c r="P34" s="180">
        <f>SUM(D34:O34)</f>
        <v>1</v>
      </c>
      <c r="Q34" s="983" t="s">
        <v>225</v>
      </c>
      <c r="R34" s="984"/>
      <c r="S34" s="984"/>
      <c r="T34" s="984"/>
      <c r="U34" s="984"/>
      <c r="V34" s="985"/>
      <c r="W34" s="1026" t="s">
        <v>226</v>
      </c>
      <c r="X34" s="1027"/>
      <c r="Y34" s="1027"/>
      <c r="Z34" s="1027"/>
      <c r="AA34" s="1030" t="s">
        <v>227</v>
      </c>
      <c r="AB34" s="1031"/>
      <c r="AC34" s="1031"/>
      <c r="AD34" s="1032"/>
      <c r="AF34" s="1003" t="s">
        <v>228</v>
      </c>
      <c r="AG34" s="1003" t="s">
        <v>229</v>
      </c>
      <c r="AH34" s="1003" t="s">
        <v>230</v>
      </c>
      <c r="AI34" s="1003"/>
      <c r="AK34" s="531" t="s">
        <v>216</v>
      </c>
      <c r="AL34" s="531" t="s">
        <v>146</v>
      </c>
      <c r="AM34" s="531" t="s">
        <v>231</v>
      </c>
      <c r="AN34" s="531" t="s">
        <v>232</v>
      </c>
      <c r="AO34" s="531" t="s">
        <v>233</v>
      </c>
      <c r="AP34" s="751" t="s">
        <v>234</v>
      </c>
      <c r="AQ34" s="751" t="s">
        <v>230</v>
      </c>
      <c r="AR34" s="751" t="s">
        <v>235</v>
      </c>
    </row>
    <row r="35" spans="1:44" ht="132" customHeight="1" thickBot="1">
      <c r="A35" s="935"/>
      <c r="B35" s="936"/>
      <c r="C35" s="409" t="s">
        <v>84</v>
      </c>
      <c r="D35" s="410">
        <f>D62</f>
        <v>0</v>
      </c>
      <c r="E35" s="410">
        <f t="shared" ref="E35:O35" si="1">E62</f>
        <v>0.20285714285714285</v>
      </c>
      <c r="F35" s="410">
        <f t="shared" si="1"/>
        <v>0.20380857142857142</v>
      </c>
      <c r="G35" s="410">
        <f t="shared" si="1"/>
        <v>0.15237142857142857</v>
      </c>
      <c r="H35" s="410">
        <f t="shared" si="1"/>
        <v>6.8571428571428575E-2</v>
      </c>
      <c r="I35" s="410">
        <f t="shared" si="1"/>
        <v>5.4285714285714298E-2</v>
      </c>
      <c r="J35" s="410">
        <f t="shared" si="1"/>
        <v>1.428571428571429E-2</v>
      </c>
      <c r="K35" s="410">
        <f t="shared" si="1"/>
        <v>9.5102040816326561E-2</v>
      </c>
      <c r="L35" s="410">
        <f t="shared" si="1"/>
        <v>0</v>
      </c>
      <c r="M35" s="410">
        <f t="shared" si="1"/>
        <v>0</v>
      </c>
      <c r="N35" s="410">
        <f t="shared" si="1"/>
        <v>0</v>
      </c>
      <c r="O35" s="410">
        <f t="shared" si="1"/>
        <v>0</v>
      </c>
      <c r="P35" s="367">
        <f>SUM(D35:O35)</f>
        <v>0.79128204081632658</v>
      </c>
      <c r="Q35" s="986"/>
      <c r="R35" s="987"/>
      <c r="S35" s="987"/>
      <c r="T35" s="987"/>
      <c r="U35" s="987"/>
      <c r="V35" s="988"/>
      <c r="W35" s="1028"/>
      <c r="X35" s="1029"/>
      <c r="Y35" s="1029"/>
      <c r="Z35" s="1029"/>
      <c r="AA35" s="1033"/>
      <c r="AB35" s="1034"/>
      <c r="AC35" s="1034"/>
      <c r="AD35" s="1035"/>
      <c r="AE35" s="49"/>
      <c r="AF35" s="1003"/>
      <c r="AG35" s="1003"/>
      <c r="AH35" s="1003"/>
      <c r="AI35" s="1003"/>
      <c r="AK35" s="752"/>
      <c r="AL35" s="749">
        <f t="shared" ref="AL35:AQ35" si="2">LEN(AL34)</f>
        <v>288</v>
      </c>
      <c r="AM35" s="749">
        <f t="shared" si="2"/>
        <v>296</v>
      </c>
      <c r="AN35" s="749">
        <f t="shared" si="2"/>
        <v>251</v>
      </c>
      <c r="AO35" s="749">
        <f t="shared" si="2"/>
        <v>299</v>
      </c>
      <c r="AP35" s="749">
        <f t="shared" si="2"/>
        <v>301</v>
      </c>
      <c r="AQ35" s="749">
        <f t="shared" si="2"/>
        <v>223</v>
      </c>
      <c r="AR35" s="749">
        <f t="shared" ref="AR35" si="3">LEN(AR34)</f>
        <v>300</v>
      </c>
    </row>
    <row r="36" spans="1:44" ht="26.1" customHeight="1">
      <c r="A36" s="862" t="s">
        <v>85</v>
      </c>
      <c r="B36" s="927" t="s">
        <v>86</v>
      </c>
      <c r="C36" s="929" t="s">
        <v>87</v>
      </c>
      <c r="D36" s="929"/>
      <c r="E36" s="929"/>
      <c r="F36" s="929"/>
      <c r="G36" s="929"/>
      <c r="H36" s="929"/>
      <c r="I36" s="929"/>
      <c r="J36" s="929"/>
      <c r="K36" s="929"/>
      <c r="L36" s="929"/>
      <c r="M36" s="929"/>
      <c r="N36" s="929"/>
      <c r="O36" s="929"/>
      <c r="P36" s="929"/>
      <c r="Q36" s="930" t="s">
        <v>88</v>
      </c>
      <c r="R36" s="931"/>
      <c r="S36" s="931"/>
      <c r="T36" s="931"/>
      <c r="U36" s="931"/>
      <c r="V36" s="931"/>
      <c r="W36" s="931"/>
      <c r="X36" s="931"/>
      <c r="Y36" s="931"/>
      <c r="Z36" s="931"/>
      <c r="AA36" s="931"/>
      <c r="AB36" s="931"/>
      <c r="AC36" s="931"/>
      <c r="AD36" s="932"/>
      <c r="AF36" s="529"/>
      <c r="AG36" s="87"/>
      <c r="AH36" s="87"/>
      <c r="AI36" s="87"/>
      <c r="AJ36" s="87"/>
      <c r="AK36" s="538"/>
      <c r="AL36" s="538"/>
      <c r="AM36" s="538"/>
      <c r="AN36" s="538"/>
      <c r="AO36" s="538"/>
      <c r="AP36" s="738"/>
      <c r="AQ36" s="738"/>
      <c r="AR36" s="738"/>
    </row>
    <row r="37" spans="1:44" ht="26.1" customHeight="1">
      <c r="A37" s="849"/>
      <c r="B37" s="928"/>
      <c r="C37" s="88" t="s">
        <v>89</v>
      </c>
      <c r="D37" s="88" t="s">
        <v>90</v>
      </c>
      <c r="E37" s="88" t="s">
        <v>91</v>
      </c>
      <c r="F37" s="88" t="s">
        <v>92</v>
      </c>
      <c r="G37" s="88" t="s">
        <v>93</v>
      </c>
      <c r="H37" s="88" t="s">
        <v>94</v>
      </c>
      <c r="I37" s="88" t="s">
        <v>95</v>
      </c>
      <c r="J37" s="88" t="s">
        <v>96</v>
      </c>
      <c r="K37" s="88" t="s">
        <v>97</v>
      </c>
      <c r="L37" s="88" t="s">
        <v>98</v>
      </c>
      <c r="M37" s="88" t="s">
        <v>99</v>
      </c>
      <c r="N37" s="88" t="s">
        <v>100</v>
      </c>
      <c r="O37" s="88" t="s">
        <v>101</v>
      </c>
      <c r="P37" s="88" t="s">
        <v>102</v>
      </c>
      <c r="Q37" s="876" t="s">
        <v>103</v>
      </c>
      <c r="R37" s="877"/>
      <c r="S37" s="877"/>
      <c r="T37" s="877"/>
      <c r="U37" s="877"/>
      <c r="V37" s="877"/>
      <c r="W37" s="877"/>
      <c r="X37" s="877"/>
      <c r="Y37" s="877"/>
      <c r="Z37" s="877"/>
      <c r="AA37" s="877"/>
      <c r="AB37" s="877"/>
      <c r="AC37" s="877"/>
      <c r="AD37" s="933"/>
      <c r="AF37" s="156" t="s">
        <v>153</v>
      </c>
      <c r="AG37" s="94" t="s">
        <v>136</v>
      </c>
      <c r="AH37" s="98" t="s">
        <v>137</v>
      </c>
      <c r="AI37" s="98" t="s">
        <v>138</v>
      </c>
      <c r="AJ37" s="94"/>
      <c r="AK37" s="539"/>
      <c r="AL37" s="539"/>
      <c r="AM37" s="539"/>
      <c r="AN37" s="539"/>
      <c r="AO37" s="539"/>
      <c r="AP37" s="742"/>
      <c r="AQ37" s="742"/>
      <c r="AR37" s="742"/>
    </row>
    <row r="38" spans="1:44" ht="34.5" customHeight="1">
      <c r="A38" s="917" t="s">
        <v>236</v>
      </c>
      <c r="B38" s="919">
        <v>0.1</v>
      </c>
      <c r="C38" s="90" t="s">
        <v>72</v>
      </c>
      <c r="D38" s="95">
        <v>0</v>
      </c>
      <c r="E38" s="95">
        <v>0.33333333333333331</v>
      </c>
      <c r="F38" s="95">
        <f>1/3</f>
        <v>0.33333333333333331</v>
      </c>
      <c r="G38" s="95">
        <f>1/3</f>
        <v>0.33333333333333331</v>
      </c>
      <c r="H38" s="95">
        <v>0</v>
      </c>
      <c r="I38" s="95">
        <v>0</v>
      </c>
      <c r="J38" s="95">
        <v>0</v>
      </c>
      <c r="K38" s="95">
        <v>0</v>
      </c>
      <c r="L38" s="95">
        <v>0</v>
      </c>
      <c r="M38" s="95">
        <v>0</v>
      </c>
      <c r="N38" s="95">
        <v>0</v>
      </c>
      <c r="O38" s="95">
        <v>0</v>
      </c>
      <c r="P38" s="96">
        <f t="shared" ref="P38:P45" si="4">SUM(D38:O38)</f>
        <v>1</v>
      </c>
      <c r="Q38" s="1020" t="s">
        <v>237</v>
      </c>
      <c r="R38" s="1021"/>
      <c r="S38" s="1021"/>
      <c r="T38" s="1021"/>
      <c r="U38" s="1021"/>
      <c r="V38" s="1021"/>
      <c r="W38" s="1021"/>
      <c r="X38" s="1021"/>
      <c r="Y38" s="1021"/>
      <c r="Z38" s="1021"/>
      <c r="AA38" s="1021"/>
      <c r="AB38" s="1021"/>
      <c r="AC38" s="1021"/>
      <c r="AD38" s="1022"/>
      <c r="AE38" s="97"/>
      <c r="AF38" s="1003" t="s">
        <v>238</v>
      </c>
      <c r="AG38" s="620" t="s">
        <v>239</v>
      </c>
      <c r="AH38" s="620"/>
      <c r="AI38" s="620"/>
      <c r="AJ38" s="620"/>
      <c r="AK38" s="753"/>
      <c r="AL38" s="753"/>
      <c r="AM38" s="753"/>
      <c r="AN38" s="753"/>
      <c r="AO38" s="753"/>
      <c r="AP38" s="745"/>
      <c r="AQ38" s="745"/>
      <c r="AR38" s="745"/>
    </row>
    <row r="39" spans="1:44" ht="34.5" customHeight="1">
      <c r="A39" s="975"/>
      <c r="B39" s="1013"/>
      <c r="C39" s="99" t="s">
        <v>84</v>
      </c>
      <c r="D39" s="100">
        <v>0</v>
      </c>
      <c r="E39" s="100">
        <v>0.33</v>
      </c>
      <c r="F39" s="100">
        <v>0.33333000000000002</v>
      </c>
      <c r="G39" s="100">
        <v>0.33329999999999999</v>
      </c>
      <c r="H39" s="100">
        <v>0</v>
      </c>
      <c r="I39" s="100">
        <v>0</v>
      </c>
      <c r="J39" s="100">
        <v>0</v>
      </c>
      <c r="K39" s="100">
        <v>0</v>
      </c>
      <c r="L39" s="100"/>
      <c r="M39" s="100"/>
      <c r="N39" s="100"/>
      <c r="O39" s="100"/>
      <c r="P39" s="101">
        <f t="shared" si="4"/>
        <v>0.9966299999999999</v>
      </c>
      <c r="Q39" s="1037"/>
      <c r="R39" s="1038"/>
      <c r="S39" s="1038"/>
      <c r="T39" s="1038"/>
      <c r="U39" s="1038"/>
      <c r="V39" s="1038"/>
      <c r="W39" s="1038"/>
      <c r="X39" s="1038"/>
      <c r="Y39" s="1038"/>
      <c r="Z39" s="1038"/>
      <c r="AA39" s="1038"/>
      <c r="AB39" s="1038"/>
      <c r="AC39" s="1038"/>
      <c r="AD39" s="1039"/>
      <c r="AE39" s="97"/>
      <c r="AF39" s="1003"/>
      <c r="AK39" s="541"/>
      <c r="AL39" s="541"/>
      <c r="AM39" s="541"/>
      <c r="AN39" s="541"/>
    </row>
    <row r="40" spans="1:44" ht="53.25" customHeight="1">
      <c r="A40" s="917" t="s">
        <v>240</v>
      </c>
      <c r="B40" s="919">
        <v>0.1</v>
      </c>
      <c r="C40" s="90" t="s">
        <v>72</v>
      </c>
      <c r="D40" s="95">
        <v>0</v>
      </c>
      <c r="E40" s="95">
        <v>0.33333333333333331</v>
      </c>
      <c r="F40" s="95">
        <f>1/3</f>
        <v>0.33333333333333331</v>
      </c>
      <c r="G40" s="95">
        <f>1/3</f>
        <v>0.33333333333333331</v>
      </c>
      <c r="H40" s="95">
        <v>0</v>
      </c>
      <c r="I40" s="95">
        <v>0</v>
      </c>
      <c r="J40" s="95">
        <v>0</v>
      </c>
      <c r="K40" s="95">
        <v>0</v>
      </c>
      <c r="L40" s="95">
        <v>0</v>
      </c>
      <c r="M40" s="95">
        <v>0</v>
      </c>
      <c r="N40" s="95">
        <v>0</v>
      </c>
      <c r="O40" s="95">
        <v>0</v>
      </c>
      <c r="P40" s="96">
        <f t="shared" si="4"/>
        <v>1</v>
      </c>
      <c r="Q40" s="1040" t="s">
        <v>241</v>
      </c>
      <c r="R40" s="1007"/>
      <c r="S40" s="1007"/>
      <c r="T40" s="1007"/>
      <c r="U40" s="1007"/>
      <c r="V40" s="1007"/>
      <c r="W40" s="1007"/>
      <c r="X40" s="1007"/>
      <c r="Y40" s="1007"/>
      <c r="Z40" s="1007"/>
      <c r="AA40" s="1007"/>
      <c r="AB40" s="1007"/>
      <c r="AC40" s="1007"/>
      <c r="AD40" s="1008"/>
      <c r="AE40" s="97"/>
      <c r="AF40" s="1003" t="s">
        <v>242</v>
      </c>
      <c r="AG40" s="620" t="s">
        <v>243</v>
      </c>
      <c r="AH40" s="620"/>
      <c r="AI40" s="620"/>
      <c r="AJ40" s="620"/>
      <c r="AK40" s="732" t="s">
        <v>216</v>
      </c>
      <c r="AO40" s="753"/>
      <c r="AP40" s="745"/>
      <c r="AQ40" s="745"/>
      <c r="AR40" s="745"/>
    </row>
    <row r="41" spans="1:44" ht="53.25" customHeight="1">
      <c r="A41" s="975"/>
      <c r="B41" s="1013"/>
      <c r="C41" s="99" t="s">
        <v>84</v>
      </c>
      <c r="D41" s="100">
        <v>0</v>
      </c>
      <c r="E41" s="100">
        <v>0.33</v>
      </c>
      <c r="F41" s="100">
        <v>0.33</v>
      </c>
      <c r="G41" s="100">
        <v>0.15</v>
      </c>
      <c r="H41" s="100">
        <v>0.19</v>
      </c>
      <c r="I41" s="100">
        <v>0</v>
      </c>
      <c r="J41" s="100">
        <v>0</v>
      </c>
      <c r="K41" s="100">
        <v>0</v>
      </c>
      <c r="L41" s="100"/>
      <c r="M41" s="100"/>
      <c r="N41" s="100"/>
      <c r="O41" s="100"/>
      <c r="P41" s="101">
        <f t="shared" si="4"/>
        <v>1</v>
      </c>
      <c r="Q41" s="1041"/>
      <c r="R41" s="1042"/>
      <c r="S41" s="1042"/>
      <c r="T41" s="1042"/>
      <c r="U41" s="1042"/>
      <c r="V41" s="1042"/>
      <c r="W41" s="1042"/>
      <c r="X41" s="1042"/>
      <c r="Y41" s="1042"/>
      <c r="Z41" s="1042"/>
      <c r="AA41" s="1042"/>
      <c r="AB41" s="1042"/>
      <c r="AC41" s="1042"/>
      <c r="AD41" s="1043"/>
      <c r="AE41" s="97"/>
      <c r="AF41" s="1003"/>
      <c r="AK41" s="752"/>
      <c r="AL41" s="749"/>
      <c r="AM41" s="749"/>
      <c r="AN41" s="749"/>
    </row>
    <row r="42" spans="1:44" ht="69" customHeight="1">
      <c r="A42" s="917" t="s">
        <v>244</v>
      </c>
      <c r="B42" s="1012">
        <v>0.1</v>
      </c>
      <c r="C42" s="102" t="s">
        <v>72</v>
      </c>
      <c r="D42" s="103">
        <v>0</v>
      </c>
      <c r="E42" s="103">
        <v>0</v>
      </c>
      <c r="F42" s="103">
        <f t="shared" ref="F42:L42" si="5">1/7</f>
        <v>0.14285714285714285</v>
      </c>
      <c r="G42" s="103">
        <f t="shared" si="5"/>
        <v>0.14285714285714285</v>
      </c>
      <c r="H42" s="103">
        <f t="shared" si="5"/>
        <v>0.14285714285714285</v>
      </c>
      <c r="I42" s="103">
        <f t="shared" si="5"/>
        <v>0.14285714285714285</v>
      </c>
      <c r="J42" s="103">
        <f t="shared" si="5"/>
        <v>0.14285714285714285</v>
      </c>
      <c r="K42" s="103">
        <f t="shared" si="5"/>
        <v>0.14285714285714285</v>
      </c>
      <c r="L42" s="103">
        <f t="shared" si="5"/>
        <v>0.14285714285714285</v>
      </c>
      <c r="M42" s="103">
        <v>0</v>
      </c>
      <c r="N42" s="103">
        <v>0</v>
      </c>
      <c r="O42" s="103">
        <v>0</v>
      </c>
      <c r="P42" s="101">
        <f t="shared" si="4"/>
        <v>0.99999999999999978</v>
      </c>
      <c r="Q42" s="1014" t="s">
        <v>1282</v>
      </c>
      <c r="R42" s="1015"/>
      <c r="S42" s="1015"/>
      <c r="T42" s="1015"/>
      <c r="U42" s="1015"/>
      <c r="V42" s="1015"/>
      <c r="W42" s="1015"/>
      <c r="X42" s="1015"/>
      <c r="Y42" s="1015"/>
      <c r="Z42" s="1015"/>
      <c r="AA42" s="1015"/>
      <c r="AB42" s="1015"/>
      <c r="AC42" s="1015"/>
      <c r="AD42" s="1016"/>
      <c r="AE42" s="97"/>
      <c r="AF42" s="1003" t="s">
        <v>245</v>
      </c>
      <c r="AG42" s="620" t="s">
        <v>246</v>
      </c>
      <c r="AH42" s="620" t="s">
        <v>247</v>
      </c>
      <c r="AI42" s="620"/>
      <c r="AJ42" s="620"/>
    </row>
    <row r="43" spans="1:44" ht="69" customHeight="1">
      <c r="A43" s="975"/>
      <c r="B43" s="1013"/>
      <c r="C43" s="99" t="s">
        <v>84</v>
      </c>
      <c r="D43" s="100">
        <v>0</v>
      </c>
      <c r="E43" s="100">
        <v>0</v>
      </c>
      <c r="F43" s="100">
        <v>0</v>
      </c>
      <c r="G43" s="100">
        <v>0</v>
      </c>
      <c r="H43" s="100">
        <v>0</v>
      </c>
      <c r="I43" s="100">
        <v>0.14000000000000001</v>
      </c>
      <c r="J43" s="100">
        <v>0</v>
      </c>
      <c r="K43" s="100">
        <f>14%+J42</f>
        <v>0.28285714285714286</v>
      </c>
      <c r="L43" s="104"/>
      <c r="M43" s="104"/>
      <c r="N43" s="104"/>
      <c r="O43" s="104"/>
      <c r="P43" s="101">
        <f>SUM(D43:O43)</f>
        <v>0.42285714285714288</v>
      </c>
      <c r="Q43" s="1017"/>
      <c r="R43" s="1018"/>
      <c r="S43" s="1018"/>
      <c r="T43" s="1018"/>
      <c r="U43" s="1018"/>
      <c r="V43" s="1018"/>
      <c r="W43" s="1018"/>
      <c r="X43" s="1018"/>
      <c r="Y43" s="1018"/>
      <c r="Z43" s="1018"/>
      <c r="AA43" s="1018"/>
      <c r="AB43" s="1018"/>
      <c r="AC43" s="1018"/>
      <c r="AD43" s="1019"/>
      <c r="AE43" s="97"/>
      <c r="AF43" s="1003"/>
    </row>
    <row r="44" spans="1:44" ht="51.75" customHeight="1">
      <c r="A44" s="917" t="s">
        <v>248</v>
      </c>
      <c r="B44" s="1012">
        <v>0.05</v>
      </c>
      <c r="C44" s="102" t="s">
        <v>72</v>
      </c>
      <c r="D44" s="103">
        <v>0</v>
      </c>
      <c r="E44" s="103">
        <v>0.1</v>
      </c>
      <c r="F44" s="103">
        <f t="shared" ref="F44:N44" si="6">1/10</f>
        <v>0.1</v>
      </c>
      <c r="G44" s="103">
        <f t="shared" si="6"/>
        <v>0.1</v>
      </c>
      <c r="H44" s="103">
        <f t="shared" si="6"/>
        <v>0.1</v>
      </c>
      <c r="I44" s="103">
        <f t="shared" si="6"/>
        <v>0.1</v>
      </c>
      <c r="J44" s="103">
        <f t="shared" si="6"/>
        <v>0.1</v>
      </c>
      <c r="K44" s="103">
        <f t="shared" si="6"/>
        <v>0.1</v>
      </c>
      <c r="L44" s="103">
        <f t="shared" si="6"/>
        <v>0.1</v>
      </c>
      <c r="M44" s="103">
        <f t="shared" si="6"/>
        <v>0.1</v>
      </c>
      <c r="N44" s="103">
        <f t="shared" si="6"/>
        <v>0.1</v>
      </c>
      <c r="O44" s="103">
        <v>0</v>
      </c>
      <c r="P44" s="101">
        <f t="shared" si="4"/>
        <v>0.99999999999999989</v>
      </c>
      <c r="Q44" s="1020" t="s">
        <v>249</v>
      </c>
      <c r="R44" s="1021"/>
      <c r="S44" s="1021"/>
      <c r="T44" s="1021"/>
      <c r="U44" s="1021"/>
      <c r="V44" s="1021"/>
      <c r="W44" s="1021"/>
      <c r="X44" s="1021"/>
      <c r="Y44" s="1021"/>
      <c r="Z44" s="1021"/>
      <c r="AA44" s="1021"/>
      <c r="AB44" s="1021"/>
      <c r="AC44" s="1021"/>
      <c r="AD44" s="1022"/>
      <c r="AE44" s="97"/>
      <c r="AF44" s="1003" t="s">
        <v>250</v>
      </c>
      <c r="AG44" s="620" t="s">
        <v>251</v>
      </c>
      <c r="AH44" s="620" t="s">
        <v>252</v>
      </c>
      <c r="AI44" s="620"/>
      <c r="AJ44" s="620"/>
    </row>
    <row r="45" spans="1:44" ht="51.75" customHeight="1" thickBot="1">
      <c r="A45" s="918"/>
      <c r="B45" s="920"/>
      <c r="C45" s="91" t="s">
        <v>84</v>
      </c>
      <c r="D45" s="105">
        <v>0</v>
      </c>
      <c r="E45" s="105">
        <v>0.1</v>
      </c>
      <c r="F45" s="105">
        <v>0.1</v>
      </c>
      <c r="G45" s="105">
        <v>0.1</v>
      </c>
      <c r="H45" s="105">
        <v>0.1</v>
      </c>
      <c r="I45" s="105">
        <v>0.1</v>
      </c>
      <c r="J45" s="105">
        <v>0.1</v>
      </c>
      <c r="K45" s="105">
        <v>0.1</v>
      </c>
      <c r="L45" s="106"/>
      <c r="M45" s="106"/>
      <c r="N45" s="106"/>
      <c r="O45" s="106"/>
      <c r="P45" s="107">
        <f t="shared" si="4"/>
        <v>0.7</v>
      </c>
      <c r="Q45" s="1023"/>
      <c r="R45" s="1024"/>
      <c r="S45" s="1024"/>
      <c r="T45" s="1024"/>
      <c r="U45" s="1024"/>
      <c r="V45" s="1024"/>
      <c r="W45" s="1024"/>
      <c r="X45" s="1024"/>
      <c r="Y45" s="1024"/>
      <c r="Z45" s="1024"/>
      <c r="AA45" s="1024"/>
      <c r="AB45" s="1024"/>
      <c r="AC45" s="1024"/>
      <c r="AD45" s="1025"/>
      <c r="AE45" s="97"/>
      <c r="AF45" s="1003"/>
    </row>
    <row r="46" spans="1:44">
      <c r="A46" s="50" t="s">
        <v>116</v>
      </c>
    </row>
    <row r="51" spans="1:54" s="191" customFormat="1" ht="21.75" customHeight="1">
      <c r="A51" s="1004" t="s">
        <v>208</v>
      </c>
      <c r="B51" s="1004" t="s">
        <v>86</v>
      </c>
      <c r="C51" s="980" t="s">
        <v>87</v>
      </c>
      <c r="D51" s="981"/>
      <c r="E51" s="981"/>
      <c r="F51" s="981"/>
      <c r="G51" s="981"/>
      <c r="H51" s="981"/>
      <c r="I51" s="981"/>
      <c r="J51" s="981"/>
      <c r="K51" s="981"/>
      <c r="L51" s="981"/>
      <c r="M51" s="981"/>
      <c r="N51" s="981"/>
      <c r="O51" s="981"/>
      <c r="P51" s="982"/>
      <c r="Q51" s="189"/>
      <c r="R51" s="189"/>
      <c r="S51" s="189"/>
      <c r="T51" s="189"/>
      <c r="U51" s="189"/>
      <c r="V51" s="189"/>
      <c r="W51" s="189"/>
      <c r="X51" s="189"/>
      <c r="Y51" s="189"/>
      <c r="Z51" s="189"/>
      <c r="AA51" s="189"/>
      <c r="AB51" s="189"/>
      <c r="AC51" s="189"/>
      <c r="AD51" s="189"/>
      <c r="AE51" s="189"/>
      <c r="AF51" s="189"/>
      <c r="AG51" s="189"/>
      <c r="AH51" s="189"/>
      <c r="AI51" s="189"/>
      <c r="AJ51" s="189"/>
      <c r="AK51" s="526"/>
      <c r="AL51" s="526"/>
      <c r="AM51" s="526"/>
      <c r="AN51" s="526"/>
      <c r="AO51" s="526"/>
      <c r="AP51" s="189"/>
      <c r="AQ51" s="189"/>
      <c r="AR51" s="189"/>
      <c r="AS51" s="189"/>
      <c r="AT51" s="190"/>
      <c r="AU51" s="190"/>
      <c r="AV51" s="190"/>
      <c r="AW51" s="190"/>
      <c r="AX51" s="190"/>
      <c r="AY51" s="190"/>
      <c r="AZ51" s="190"/>
      <c r="BA51" s="190"/>
      <c r="BB51" s="190"/>
    </row>
    <row r="52" spans="1:54" s="191" customFormat="1" ht="21.75" customHeight="1">
      <c r="A52" s="973"/>
      <c r="B52" s="973"/>
      <c r="C52" s="192" t="s">
        <v>89</v>
      </c>
      <c r="D52" s="192" t="s">
        <v>90</v>
      </c>
      <c r="E52" s="192" t="s">
        <v>91</v>
      </c>
      <c r="F52" s="192" t="s">
        <v>92</v>
      </c>
      <c r="G52" s="192" t="s">
        <v>93</v>
      </c>
      <c r="H52" s="192" t="s">
        <v>94</v>
      </c>
      <c r="I52" s="192" t="s">
        <v>95</v>
      </c>
      <c r="J52" s="192" t="s">
        <v>96</v>
      </c>
      <c r="K52" s="192" t="s">
        <v>97</v>
      </c>
      <c r="L52" s="192" t="s">
        <v>98</v>
      </c>
      <c r="M52" s="192" t="s">
        <v>99</v>
      </c>
      <c r="N52" s="192" t="s">
        <v>100</v>
      </c>
      <c r="O52" s="192" t="s">
        <v>101</v>
      </c>
      <c r="P52" s="192" t="s">
        <v>102</v>
      </c>
      <c r="Q52" s="189"/>
      <c r="R52" s="189"/>
      <c r="S52" s="189"/>
      <c r="T52" s="189"/>
      <c r="U52" s="189"/>
      <c r="V52" s="189"/>
      <c r="W52" s="189"/>
      <c r="X52" s="189"/>
      <c r="Y52" s="189"/>
      <c r="Z52" s="189"/>
      <c r="AA52" s="189"/>
      <c r="AB52" s="189"/>
      <c r="AC52" s="189"/>
      <c r="AD52" s="189"/>
      <c r="AE52" s="189"/>
      <c r="AF52" s="189"/>
      <c r="AG52" s="189"/>
      <c r="AH52" s="189"/>
      <c r="AI52" s="189"/>
      <c r="AJ52" s="189"/>
      <c r="AK52" s="526"/>
      <c r="AL52" s="526"/>
      <c r="AM52" s="526"/>
      <c r="AN52" s="526"/>
      <c r="AO52" s="526"/>
      <c r="AP52" s="189"/>
      <c r="AQ52" s="189"/>
      <c r="AR52" s="189"/>
      <c r="AS52" s="189"/>
      <c r="AT52" s="190"/>
      <c r="AU52" s="190"/>
      <c r="AV52" s="190"/>
      <c r="AW52" s="190"/>
      <c r="AX52" s="190"/>
      <c r="AY52" s="190"/>
      <c r="AZ52" s="190"/>
      <c r="BA52" s="190"/>
      <c r="BB52" s="190"/>
    </row>
    <row r="53" spans="1:54" s="191" customFormat="1" ht="12.75" customHeight="1">
      <c r="A53" s="972" t="str">
        <f>A38</f>
        <v xml:space="preserve">13. Estructurar los insumos técnicos del programa para el componente de seguimiento y monitoreo </v>
      </c>
      <c r="B53" s="972">
        <f>B38</f>
        <v>0.1</v>
      </c>
      <c r="C53" s="193" t="s">
        <v>72</v>
      </c>
      <c r="D53" s="350">
        <f>D38*$B$38/$P$38</f>
        <v>0</v>
      </c>
      <c r="E53" s="350">
        <f t="shared" ref="E53:O54" si="7">E38*$B$38/$P$38</f>
        <v>3.3333333333333333E-2</v>
      </c>
      <c r="F53" s="350">
        <f t="shared" si="7"/>
        <v>3.3333333333333333E-2</v>
      </c>
      <c r="G53" s="350">
        <f t="shared" si="7"/>
        <v>3.3333333333333333E-2</v>
      </c>
      <c r="H53" s="350">
        <f t="shared" si="7"/>
        <v>0</v>
      </c>
      <c r="I53" s="350">
        <f t="shared" si="7"/>
        <v>0</v>
      </c>
      <c r="J53" s="350">
        <f t="shared" si="7"/>
        <v>0</v>
      </c>
      <c r="K53" s="350">
        <f t="shared" si="7"/>
        <v>0</v>
      </c>
      <c r="L53" s="350">
        <f t="shared" si="7"/>
        <v>0</v>
      </c>
      <c r="M53" s="350">
        <f t="shared" si="7"/>
        <v>0</v>
      </c>
      <c r="N53" s="350">
        <f t="shared" si="7"/>
        <v>0</v>
      </c>
      <c r="O53" s="350">
        <f t="shared" si="7"/>
        <v>0</v>
      </c>
      <c r="P53" s="346">
        <f t="shared" ref="P53:P56" si="8">SUM(D53:O53)</f>
        <v>0.1</v>
      </c>
      <c r="Q53" s="194"/>
      <c r="R53" s="194"/>
      <c r="S53" s="194"/>
      <c r="T53" s="194"/>
      <c r="U53" s="194"/>
      <c r="V53" s="194"/>
      <c r="W53" s="194"/>
      <c r="X53" s="194"/>
      <c r="Y53" s="194"/>
      <c r="Z53" s="194"/>
      <c r="AA53" s="194"/>
      <c r="AB53" s="194"/>
      <c r="AC53" s="194"/>
      <c r="AD53" s="194"/>
      <c r="AE53" s="194"/>
      <c r="AF53" s="194"/>
      <c r="AG53" s="194"/>
      <c r="AH53" s="194"/>
      <c r="AI53" s="194"/>
      <c r="AJ53" s="194"/>
      <c r="AK53" s="525"/>
      <c r="AL53" s="525"/>
      <c r="AM53" s="525"/>
      <c r="AN53" s="525"/>
      <c r="AO53" s="525"/>
      <c r="AP53" s="194"/>
      <c r="AQ53" s="194"/>
      <c r="AR53" s="194"/>
      <c r="AS53" s="194"/>
      <c r="AT53" s="190"/>
      <c r="AU53" s="190"/>
      <c r="AV53" s="190"/>
      <c r="AW53" s="190"/>
      <c r="AX53" s="190"/>
      <c r="AY53" s="190"/>
      <c r="AZ53" s="190"/>
      <c r="BA53" s="190"/>
      <c r="BB53" s="190"/>
    </row>
    <row r="54" spans="1:54" s="191" customFormat="1" ht="12.75" customHeight="1">
      <c r="A54" s="973"/>
      <c r="B54" s="973"/>
      <c r="C54" s="195" t="s">
        <v>84</v>
      </c>
      <c r="D54" s="351">
        <f>D39*$B$38/$P$38</f>
        <v>0</v>
      </c>
      <c r="E54" s="351">
        <f t="shared" si="7"/>
        <v>3.3000000000000002E-2</v>
      </c>
      <c r="F54" s="351">
        <f t="shared" si="7"/>
        <v>3.3333000000000002E-2</v>
      </c>
      <c r="G54" s="351">
        <f t="shared" si="7"/>
        <v>3.3329999999999999E-2</v>
      </c>
      <c r="H54" s="351">
        <f t="shared" si="7"/>
        <v>0</v>
      </c>
      <c r="I54" s="351">
        <f t="shared" si="7"/>
        <v>0</v>
      </c>
      <c r="J54" s="351">
        <f t="shared" si="7"/>
        <v>0</v>
      </c>
      <c r="K54" s="351">
        <f t="shared" si="7"/>
        <v>0</v>
      </c>
      <c r="L54" s="351">
        <f t="shared" si="7"/>
        <v>0</v>
      </c>
      <c r="M54" s="351">
        <f t="shared" si="7"/>
        <v>0</v>
      </c>
      <c r="N54" s="351">
        <f t="shared" si="7"/>
        <v>0</v>
      </c>
      <c r="O54" s="351">
        <f t="shared" si="7"/>
        <v>0</v>
      </c>
      <c r="P54" s="197">
        <f t="shared" si="8"/>
        <v>9.9663000000000002E-2</v>
      </c>
      <c r="Q54" s="194"/>
      <c r="R54" s="194"/>
      <c r="S54" s="194"/>
      <c r="T54" s="194"/>
      <c r="U54" s="194"/>
      <c r="V54" s="194"/>
      <c r="W54" s="194"/>
      <c r="X54" s="194"/>
      <c r="Y54" s="194"/>
      <c r="Z54" s="194"/>
      <c r="AA54" s="194"/>
      <c r="AB54" s="194"/>
      <c r="AC54" s="194"/>
      <c r="AD54" s="194"/>
      <c r="AE54" s="194"/>
      <c r="AF54" s="194"/>
      <c r="AG54" s="194"/>
      <c r="AH54" s="194"/>
      <c r="AI54" s="194"/>
      <c r="AJ54" s="194"/>
      <c r="AK54" s="525"/>
      <c r="AL54" s="525"/>
      <c r="AM54" s="525"/>
      <c r="AN54" s="525"/>
      <c r="AO54" s="525"/>
      <c r="AP54" s="194"/>
      <c r="AQ54" s="194"/>
      <c r="AR54" s="194"/>
      <c r="AS54" s="194"/>
      <c r="AT54" s="190"/>
      <c r="AU54" s="190"/>
      <c r="AV54" s="190"/>
      <c r="AW54" s="190"/>
      <c r="AX54" s="190"/>
      <c r="AY54" s="190"/>
      <c r="AZ54" s="190"/>
      <c r="BA54" s="190"/>
      <c r="BB54" s="190"/>
    </row>
    <row r="55" spans="1:54" s="191" customFormat="1" ht="12.75" customHeight="1">
      <c r="A55" s="972" t="str">
        <f>+A40</f>
        <v>14. Diseñar e implementar el proceso de convocatoria con el fin de alcanzar la meta poblacional propuesta en el piloto y levantar una línea base de organizaciones productiva de mujeres cuidadoras asociadas</v>
      </c>
      <c r="B55" s="972">
        <f>B40</f>
        <v>0.1</v>
      </c>
      <c r="C55" s="193" t="s">
        <v>72</v>
      </c>
      <c r="D55" s="350">
        <f>D40*$B$40/$P$40</f>
        <v>0</v>
      </c>
      <c r="E55" s="350">
        <f t="shared" ref="E55:O55" si="9">E40*$B$40/$P$40</f>
        <v>3.3333333333333333E-2</v>
      </c>
      <c r="F55" s="350">
        <f t="shared" si="9"/>
        <v>3.3333333333333333E-2</v>
      </c>
      <c r="G55" s="350">
        <f t="shared" si="9"/>
        <v>3.3333333333333333E-2</v>
      </c>
      <c r="H55" s="350">
        <f t="shared" si="9"/>
        <v>0</v>
      </c>
      <c r="I55" s="350">
        <f t="shared" si="9"/>
        <v>0</v>
      </c>
      <c r="J55" s="350">
        <f t="shared" si="9"/>
        <v>0</v>
      </c>
      <c r="K55" s="350">
        <f t="shared" si="9"/>
        <v>0</v>
      </c>
      <c r="L55" s="350">
        <f t="shared" si="9"/>
        <v>0</v>
      </c>
      <c r="M55" s="350">
        <f t="shared" si="9"/>
        <v>0</v>
      </c>
      <c r="N55" s="350">
        <f t="shared" si="9"/>
        <v>0</v>
      </c>
      <c r="O55" s="350">
        <f t="shared" si="9"/>
        <v>0</v>
      </c>
      <c r="P55" s="346">
        <f t="shared" si="8"/>
        <v>0.1</v>
      </c>
      <c r="Q55" s="194"/>
      <c r="R55" s="194"/>
      <c r="S55" s="194"/>
      <c r="T55" s="194"/>
      <c r="U55" s="194"/>
      <c r="V55" s="194"/>
      <c r="W55" s="194"/>
      <c r="X55" s="194"/>
      <c r="Y55" s="194"/>
      <c r="Z55" s="194"/>
      <c r="AA55" s="194"/>
      <c r="AB55" s="194"/>
      <c r="AC55" s="194"/>
      <c r="AD55" s="194"/>
      <c r="AE55" s="194"/>
      <c r="AF55" s="194"/>
      <c r="AG55" s="194"/>
      <c r="AH55" s="194"/>
      <c r="AI55" s="194"/>
      <c r="AJ55" s="194"/>
      <c r="AK55" s="525"/>
      <c r="AL55" s="525"/>
      <c r="AM55" s="525"/>
      <c r="AN55" s="525"/>
      <c r="AO55" s="525"/>
      <c r="AP55" s="194"/>
      <c r="AQ55" s="194"/>
      <c r="AR55" s="194"/>
      <c r="AS55" s="194"/>
      <c r="AT55" s="190"/>
      <c r="AU55" s="190"/>
      <c r="AV55" s="190"/>
      <c r="AW55" s="190"/>
      <c r="AX55" s="190"/>
      <c r="AY55" s="190"/>
      <c r="AZ55" s="190"/>
      <c r="BA55" s="190"/>
      <c r="BB55" s="190"/>
    </row>
    <row r="56" spans="1:54" s="191" customFormat="1" ht="12.75" customHeight="1">
      <c r="A56" s="973"/>
      <c r="B56" s="973"/>
      <c r="C56" s="195" t="s">
        <v>84</v>
      </c>
      <c r="D56" s="351">
        <f t="shared" ref="D56:O56" si="10">D41*$B$40/$P$40</f>
        <v>0</v>
      </c>
      <c r="E56" s="351">
        <f t="shared" si="10"/>
        <v>3.3000000000000002E-2</v>
      </c>
      <c r="F56" s="351">
        <f t="shared" si="10"/>
        <v>3.3000000000000002E-2</v>
      </c>
      <c r="G56" s="351">
        <f t="shared" si="10"/>
        <v>1.4999999999999999E-2</v>
      </c>
      <c r="H56" s="351">
        <f t="shared" si="10"/>
        <v>1.9000000000000003E-2</v>
      </c>
      <c r="I56" s="351">
        <f t="shared" si="10"/>
        <v>0</v>
      </c>
      <c r="J56" s="351">
        <f t="shared" si="10"/>
        <v>0</v>
      </c>
      <c r="K56" s="351">
        <f t="shared" si="10"/>
        <v>0</v>
      </c>
      <c r="L56" s="351">
        <f t="shared" si="10"/>
        <v>0</v>
      </c>
      <c r="M56" s="351">
        <f t="shared" si="10"/>
        <v>0</v>
      </c>
      <c r="N56" s="351">
        <f t="shared" si="10"/>
        <v>0</v>
      </c>
      <c r="O56" s="351">
        <f t="shared" si="10"/>
        <v>0</v>
      </c>
      <c r="P56" s="197">
        <f t="shared" si="8"/>
        <v>0.1</v>
      </c>
      <c r="Q56" s="194"/>
      <c r="R56" s="194"/>
      <c r="S56" s="194"/>
      <c r="T56" s="194"/>
      <c r="U56" s="194"/>
      <c r="V56" s="194"/>
      <c r="W56" s="194"/>
      <c r="X56" s="194"/>
      <c r="Y56" s="194"/>
      <c r="Z56" s="194"/>
      <c r="AA56" s="194"/>
      <c r="AB56" s="194"/>
      <c r="AC56" s="194"/>
      <c r="AD56" s="194"/>
      <c r="AE56" s="194"/>
      <c r="AF56" s="194"/>
      <c r="AG56" s="194"/>
      <c r="AH56" s="194"/>
      <c r="AI56" s="194"/>
      <c r="AJ56" s="194"/>
      <c r="AK56" s="525"/>
      <c r="AL56" s="525"/>
      <c r="AM56" s="525"/>
      <c r="AN56" s="525"/>
      <c r="AO56" s="525"/>
      <c r="AP56" s="194"/>
      <c r="AQ56" s="194"/>
      <c r="AR56" s="194"/>
      <c r="AS56" s="194"/>
      <c r="AT56" s="190"/>
      <c r="AU56" s="190"/>
      <c r="AV56" s="190"/>
      <c r="AW56" s="190"/>
      <c r="AX56" s="190"/>
      <c r="AY56" s="190"/>
      <c r="AZ56" s="190"/>
      <c r="BA56" s="190"/>
      <c r="BB56" s="190"/>
    </row>
    <row r="57" spans="1:54" s="191" customFormat="1" ht="12.75" customHeight="1">
      <c r="A57" s="972" t="str">
        <f>A42</f>
        <v>15. Realizar seguimiento al cumplimiento de las horas de formación y mentoría personalizada y las acciones definidas en los planes de fortalecimiento organizativo de las organizaciones productivas de mujeres cuidadoras asociadas beneficiarias del piloto.</v>
      </c>
      <c r="B57" s="972">
        <f>B42</f>
        <v>0.1</v>
      </c>
      <c r="C57" s="193" t="s">
        <v>72</v>
      </c>
      <c r="D57" s="350">
        <f>D42*$B$42/$P$42</f>
        <v>0</v>
      </c>
      <c r="E57" s="350">
        <f t="shared" ref="E57:O58" si="11">E42*$B$42/$P$42</f>
        <v>0</v>
      </c>
      <c r="F57" s="350">
        <f t="shared" si="11"/>
        <v>1.4285714285714289E-2</v>
      </c>
      <c r="G57" s="350">
        <f t="shared" si="11"/>
        <v>1.4285714285714289E-2</v>
      </c>
      <c r="H57" s="350">
        <f t="shared" si="11"/>
        <v>1.4285714285714289E-2</v>
      </c>
      <c r="I57" s="350">
        <f t="shared" si="11"/>
        <v>1.4285714285714289E-2</v>
      </c>
      <c r="J57" s="350">
        <f t="shared" si="11"/>
        <v>1.4285714285714289E-2</v>
      </c>
      <c r="K57" s="350">
        <f t="shared" si="11"/>
        <v>1.4285714285714289E-2</v>
      </c>
      <c r="L57" s="350">
        <f t="shared" si="11"/>
        <v>1.4285714285714289E-2</v>
      </c>
      <c r="M57" s="350">
        <f t="shared" si="11"/>
        <v>0</v>
      </c>
      <c r="N57" s="350">
        <f t="shared" si="11"/>
        <v>0</v>
      </c>
      <c r="O57" s="350">
        <f t="shared" si="11"/>
        <v>0</v>
      </c>
      <c r="P57" s="346">
        <f t="shared" ref="P57:P60" si="12">SUM(D57:O57)</f>
        <v>0.10000000000000002</v>
      </c>
      <c r="Q57" s="194"/>
      <c r="R57" s="194"/>
      <c r="S57" s="194"/>
      <c r="T57" s="194"/>
      <c r="U57" s="194"/>
      <c r="V57" s="194"/>
      <c r="W57" s="194"/>
      <c r="X57" s="194"/>
      <c r="Y57" s="194"/>
      <c r="Z57" s="194"/>
      <c r="AA57" s="194"/>
      <c r="AB57" s="194"/>
      <c r="AC57" s="194"/>
      <c r="AD57" s="194"/>
      <c r="AE57" s="194"/>
      <c r="AF57" s="194"/>
      <c r="AG57" s="194"/>
      <c r="AH57" s="194"/>
      <c r="AI57" s="194"/>
      <c r="AJ57" s="194"/>
      <c r="AK57" s="525"/>
      <c r="AL57" s="525"/>
      <c r="AM57" s="525"/>
      <c r="AN57" s="525"/>
      <c r="AO57" s="525"/>
      <c r="AP57" s="194"/>
      <c r="AQ57" s="194"/>
      <c r="AR57" s="194"/>
      <c r="AS57" s="194"/>
      <c r="AT57" s="190"/>
      <c r="AU57" s="190"/>
      <c r="AV57" s="190"/>
      <c r="AW57" s="190"/>
      <c r="AX57" s="190"/>
      <c r="AY57" s="190"/>
      <c r="AZ57" s="190"/>
      <c r="BA57" s="190"/>
      <c r="BB57" s="190"/>
    </row>
    <row r="58" spans="1:54" s="191" customFormat="1" ht="12.75" customHeight="1">
      <c r="A58" s="973"/>
      <c r="B58" s="973"/>
      <c r="C58" s="195" t="s">
        <v>84</v>
      </c>
      <c r="D58" s="351">
        <f>D43*$B$42/$P$42</f>
        <v>0</v>
      </c>
      <c r="E58" s="351">
        <f t="shared" si="11"/>
        <v>0</v>
      </c>
      <c r="F58" s="351">
        <f t="shared" si="11"/>
        <v>0</v>
      </c>
      <c r="G58" s="351">
        <f t="shared" si="11"/>
        <v>0</v>
      </c>
      <c r="H58" s="351">
        <f t="shared" si="11"/>
        <v>0</v>
      </c>
      <c r="I58" s="351">
        <f t="shared" si="11"/>
        <v>1.4000000000000005E-2</v>
      </c>
      <c r="J58" s="351">
        <f t="shared" si="11"/>
        <v>0</v>
      </c>
      <c r="K58" s="351">
        <f t="shared" si="11"/>
        <v>2.8285714285714296E-2</v>
      </c>
      <c r="L58" s="351">
        <f t="shared" si="11"/>
        <v>0</v>
      </c>
      <c r="M58" s="351">
        <f t="shared" si="11"/>
        <v>0</v>
      </c>
      <c r="N58" s="351">
        <f t="shared" si="11"/>
        <v>0</v>
      </c>
      <c r="O58" s="351">
        <f t="shared" si="11"/>
        <v>0</v>
      </c>
      <c r="P58" s="197">
        <f t="shared" si="12"/>
        <v>4.2285714285714301E-2</v>
      </c>
      <c r="Q58" s="194"/>
      <c r="R58" s="194"/>
      <c r="S58" s="194"/>
      <c r="T58" s="194"/>
      <c r="U58" s="194"/>
      <c r="V58" s="194"/>
      <c r="W58" s="194"/>
      <c r="X58" s="194"/>
      <c r="Y58" s="194"/>
      <c r="Z58" s="194"/>
      <c r="AA58" s="194"/>
      <c r="AB58" s="194"/>
      <c r="AC58" s="194"/>
      <c r="AD58" s="194"/>
      <c r="AE58" s="194"/>
      <c r="AF58" s="194"/>
      <c r="AG58" s="194"/>
      <c r="AH58" s="194"/>
      <c r="AI58" s="194"/>
      <c r="AJ58" s="194"/>
      <c r="AK58" s="525"/>
      <c r="AL58" s="525"/>
      <c r="AM58" s="525"/>
      <c r="AN58" s="525"/>
      <c r="AO58" s="525"/>
      <c r="AP58" s="194"/>
      <c r="AQ58" s="194"/>
      <c r="AR58" s="194"/>
      <c r="AS58" s="194"/>
      <c r="AT58" s="190"/>
      <c r="AU58" s="190"/>
      <c r="AV58" s="190"/>
      <c r="AW58" s="190"/>
      <c r="AX58" s="190"/>
      <c r="AY58" s="190"/>
      <c r="AZ58" s="190"/>
      <c r="BA58" s="190"/>
      <c r="BB58" s="190"/>
    </row>
    <row r="59" spans="1:54" s="191" customFormat="1" ht="12.75" customHeight="1">
      <c r="A59" s="972" t="str">
        <f>A44</f>
        <v>16. Supervisar el cumplimiento de los objetivos propuestos en el piloto.</v>
      </c>
      <c r="B59" s="972">
        <f>B44</f>
        <v>0.05</v>
      </c>
      <c r="C59" s="193" t="s">
        <v>72</v>
      </c>
      <c r="D59" s="350">
        <f>D44*$B$44/$P$44</f>
        <v>0</v>
      </c>
      <c r="E59" s="350">
        <f t="shared" ref="E59:O60" si="13">E44*$B$44/$P$44</f>
        <v>5.0000000000000018E-3</v>
      </c>
      <c r="F59" s="350">
        <f t="shared" si="13"/>
        <v>5.0000000000000018E-3</v>
      </c>
      <c r="G59" s="350">
        <f t="shared" si="13"/>
        <v>5.0000000000000018E-3</v>
      </c>
      <c r="H59" s="350">
        <f t="shared" si="13"/>
        <v>5.0000000000000018E-3</v>
      </c>
      <c r="I59" s="350">
        <f t="shared" si="13"/>
        <v>5.0000000000000018E-3</v>
      </c>
      <c r="J59" s="350">
        <f t="shared" si="13"/>
        <v>5.0000000000000018E-3</v>
      </c>
      <c r="K59" s="350">
        <f t="shared" si="13"/>
        <v>5.0000000000000018E-3</v>
      </c>
      <c r="L59" s="350">
        <f t="shared" si="13"/>
        <v>5.0000000000000018E-3</v>
      </c>
      <c r="M59" s="350">
        <f t="shared" si="13"/>
        <v>5.0000000000000018E-3</v>
      </c>
      <c r="N59" s="350">
        <f t="shared" si="13"/>
        <v>5.0000000000000018E-3</v>
      </c>
      <c r="O59" s="350">
        <f t="shared" si="13"/>
        <v>0</v>
      </c>
      <c r="P59" s="346">
        <f t="shared" si="12"/>
        <v>5.0000000000000024E-2</v>
      </c>
      <c r="Q59" s="194"/>
      <c r="R59" s="194"/>
      <c r="S59" s="194"/>
      <c r="T59" s="194"/>
      <c r="U59" s="194"/>
      <c r="V59" s="194"/>
      <c r="W59" s="194"/>
      <c r="X59" s="194"/>
      <c r="Y59" s="194"/>
      <c r="Z59" s="194"/>
      <c r="AA59" s="194"/>
      <c r="AB59" s="194"/>
      <c r="AC59" s="194"/>
      <c r="AD59" s="194"/>
      <c r="AE59" s="194"/>
      <c r="AF59" s="194"/>
      <c r="AG59" s="194"/>
      <c r="AH59" s="194"/>
      <c r="AI59" s="194"/>
      <c r="AJ59" s="194"/>
      <c r="AK59" s="525"/>
      <c r="AL59" s="525"/>
      <c r="AM59" s="525"/>
      <c r="AN59" s="525"/>
      <c r="AO59" s="525"/>
      <c r="AP59" s="194"/>
      <c r="AQ59" s="194"/>
      <c r="AR59" s="194"/>
      <c r="AS59" s="194"/>
      <c r="AT59" s="190"/>
      <c r="AU59" s="190"/>
      <c r="AV59" s="190"/>
      <c r="AW59" s="190"/>
      <c r="AX59" s="190"/>
      <c r="AY59" s="190"/>
      <c r="AZ59" s="190"/>
      <c r="BA59" s="190"/>
      <c r="BB59" s="190"/>
    </row>
    <row r="60" spans="1:54" s="191" customFormat="1" ht="12.75" customHeight="1">
      <c r="A60" s="973"/>
      <c r="B60" s="973"/>
      <c r="C60" s="195" t="s">
        <v>84</v>
      </c>
      <c r="D60" s="351">
        <f>D45*$B$44/$P$44</f>
        <v>0</v>
      </c>
      <c r="E60" s="351">
        <f t="shared" si="13"/>
        <v>5.0000000000000018E-3</v>
      </c>
      <c r="F60" s="351">
        <f t="shared" si="13"/>
        <v>5.0000000000000018E-3</v>
      </c>
      <c r="G60" s="351">
        <f t="shared" si="13"/>
        <v>5.0000000000000018E-3</v>
      </c>
      <c r="H60" s="351">
        <f t="shared" si="13"/>
        <v>5.0000000000000018E-3</v>
      </c>
      <c r="I60" s="351">
        <f t="shared" si="13"/>
        <v>5.0000000000000018E-3</v>
      </c>
      <c r="J60" s="351">
        <f t="shared" si="13"/>
        <v>5.0000000000000018E-3</v>
      </c>
      <c r="K60" s="351">
        <f t="shared" si="13"/>
        <v>5.0000000000000018E-3</v>
      </c>
      <c r="L60" s="351">
        <f t="shared" si="13"/>
        <v>0</v>
      </c>
      <c r="M60" s="351">
        <f t="shared" si="13"/>
        <v>0</v>
      </c>
      <c r="N60" s="351">
        <f t="shared" si="13"/>
        <v>0</v>
      </c>
      <c r="O60" s="351">
        <f t="shared" si="13"/>
        <v>0</v>
      </c>
      <c r="P60" s="197">
        <f t="shared" si="12"/>
        <v>3.500000000000001E-2</v>
      </c>
      <c r="Q60" s="194"/>
      <c r="R60" s="194"/>
      <c r="S60" s="194"/>
      <c r="T60" s="194"/>
      <c r="U60" s="194"/>
      <c r="V60" s="194"/>
      <c r="W60" s="194"/>
      <c r="X60" s="194"/>
      <c r="Y60" s="194"/>
      <c r="Z60" s="194"/>
      <c r="AA60" s="194"/>
      <c r="AB60" s="194"/>
      <c r="AC60" s="194"/>
      <c r="AD60" s="194"/>
      <c r="AE60" s="194"/>
      <c r="AF60" s="194"/>
      <c r="AG60" s="194"/>
      <c r="AH60" s="194"/>
      <c r="AI60" s="194"/>
      <c r="AJ60" s="194"/>
      <c r="AK60" s="525"/>
      <c r="AL60" s="525"/>
      <c r="AM60" s="525"/>
      <c r="AN60" s="525"/>
      <c r="AO60" s="525"/>
      <c r="AP60" s="194"/>
      <c r="AQ60" s="194"/>
      <c r="AR60" s="194"/>
      <c r="AS60" s="194"/>
      <c r="AT60" s="190"/>
      <c r="AU60" s="190"/>
      <c r="AV60" s="190"/>
      <c r="AW60" s="190"/>
      <c r="AX60" s="190"/>
      <c r="AY60" s="190"/>
      <c r="AZ60" s="190"/>
      <c r="BA60" s="190"/>
      <c r="BB60" s="190"/>
    </row>
    <row r="61" spans="1:54" s="191" customFormat="1" ht="15.75" customHeight="1">
      <c r="A61" s="194"/>
      <c r="B61" s="194"/>
      <c r="C61" s="198"/>
      <c r="D61" s="199">
        <f>D54+D56+D58+D60</f>
        <v>0</v>
      </c>
      <c r="E61" s="199">
        <f t="shared" ref="E61:O61" si="14">E54+E56+E58+E60</f>
        <v>7.1000000000000008E-2</v>
      </c>
      <c r="F61" s="199">
        <f t="shared" si="14"/>
        <v>7.1333000000000008E-2</v>
      </c>
      <c r="G61" s="199">
        <f t="shared" si="14"/>
        <v>5.3330000000000002E-2</v>
      </c>
      <c r="H61" s="199">
        <f t="shared" si="14"/>
        <v>2.4000000000000004E-2</v>
      </c>
      <c r="I61" s="199">
        <f t="shared" si="14"/>
        <v>1.9000000000000006E-2</v>
      </c>
      <c r="J61" s="199">
        <f t="shared" si="14"/>
        <v>5.0000000000000018E-3</v>
      </c>
      <c r="K61" s="199">
        <f t="shared" si="14"/>
        <v>3.32857142857143E-2</v>
      </c>
      <c r="L61" s="199">
        <f t="shared" si="14"/>
        <v>0</v>
      </c>
      <c r="M61" s="199">
        <f t="shared" si="14"/>
        <v>0</v>
      </c>
      <c r="N61" s="199">
        <f t="shared" si="14"/>
        <v>0</v>
      </c>
      <c r="O61" s="199">
        <f t="shared" si="14"/>
        <v>0</v>
      </c>
      <c r="P61" s="199">
        <f t="shared" ref="P61" si="15">P53+P55+P57+P59</f>
        <v>0.35000000000000009</v>
      </c>
      <c r="Q61" s="194"/>
      <c r="R61" s="194"/>
      <c r="S61" s="194"/>
      <c r="T61" s="194"/>
      <c r="U61" s="194"/>
      <c r="V61" s="194"/>
      <c r="W61" s="194"/>
      <c r="X61" s="194"/>
      <c r="Y61" s="194"/>
      <c r="Z61" s="194"/>
      <c r="AA61" s="194"/>
      <c r="AB61" s="194"/>
      <c r="AC61" s="194"/>
      <c r="AD61" s="194"/>
      <c r="AE61" s="194"/>
      <c r="AF61" s="194"/>
      <c r="AG61" s="194"/>
      <c r="AH61" s="194"/>
      <c r="AI61" s="194"/>
      <c r="AJ61" s="194"/>
      <c r="AK61" s="525"/>
      <c r="AL61" s="525"/>
      <c r="AM61" s="525"/>
      <c r="AN61" s="525"/>
      <c r="AO61" s="525"/>
      <c r="AP61" s="194"/>
      <c r="AQ61" s="194"/>
      <c r="AR61" s="194"/>
      <c r="AS61" s="194"/>
      <c r="AT61" s="190"/>
      <c r="AU61" s="190"/>
      <c r="AV61" s="190"/>
      <c r="AW61" s="190"/>
      <c r="AX61" s="190"/>
      <c r="AY61" s="190"/>
      <c r="AZ61" s="190"/>
      <c r="BA61" s="190"/>
      <c r="BB61" s="190"/>
    </row>
    <row r="62" spans="1:54" s="375" customFormat="1" ht="15.75" customHeight="1">
      <c r="A62" s="201"/>
      <c r="B62" s="201"/>
      <c r="C62" s="372" t="s">
        <v>84</v>
      </c>
      <c r="D62" s="373">
        <f>D61*$W$17/$B$34</f>
        <v>0</v>
      </c>
      <c r="E62" s="373">
        <f t="shared" ref="E62:O62" si="16">E61*$W$17/$B$34</f>
        <v>0.20285714285714285</v>
      </c>
      <c r="F62" s="373">
        <f t="shared" si="16"/>
        <v>0.20380857142857142</v>
      </c>
      <c r="G62" s="373">
        <f t="shared" si="16"/>
        <v>0.15237142857142857</v>
      </c>
      <c r="H62" s="373">
        <f t="shared" si="16"/>
        <v>6.8571428571428575E-2</v>
      </c>
      <c r="I62" s="373">
        <f t="shared" si="16"/>
        <v>5.4285714285714298E-2</v>
      </c>
      <c r="J62" s="373">
        <f t="shared" si="16"/>
        <v>1.428571428571429E-2</v>
      </c>
      <c r="K62" s="373">
        <f t="shared" si="16"/>
        <v>9.5102040816326561E-2</v>
      </c>
      <c r="L62" s="373">
        <f t="shared" si="16"/>
        <v>0</v>
      </c>
      <c r="M62" s="373">
        <f t="shared" si="16"/>
        <v>0</v>
      </c>
      <c r="N62" s="373">
        <f t="shared" si="16"/>
        <v>0</v>
      </c>
      <c r="O62" s="373">
        <f t="shared" si="16"/>
        <v>0</v>
      </c>
      <c r="P62" s="374">
        <f>SUM(D62:O62)</f>
        <v>0.79128204081632658</v>
      </c>
      <c r="Q62" s="200"/>
      <c r="R62" s="201"/>
      <c r="S62" s="201"/>
      <c r="T62" s="201"/>
      <c r="U62" s="201"/>
      <c r="V62" s="201"/>
      <c r="W62" s="201"/>
      <c r="X62" s="201"/>
      <c r="Y62" s="201"/>
      <c r="Z62" s="201"/>
      <c r="AA62" s="201"/>
      <c r="AB62" s="201"/>
      <c r="AC62" s="201"/>
      <c r="AD62" s="201"/>
      <c r="AE62" s="201"/>
      <c r="AF62" s="201"/>
      <c r="AG62" s="201"/>
      <c r="AH62" s="201"/>
      <c r="AI62" s="201"/>
      <c r="AJ62" s="201"/>
      <c r="AK62" s="526"/>
      <c r="AL62" s="526"/>
      <c r="AM62" s="526"/>
      <c r="AN62" s="526"/>
      <c r="AO62" s="526"/>
      <c r="AP62" s="201"/>
      <c r="AQ62" s="201"/>
      <c r="AR62" s="201"/>
      <c r="AS62" s="201"/>
      <c r="AT62" s="201"/>
      <c r="AU62" s="201"/>
      <c r="AV62" s="201"/>
      <c r="AW62" s="201"/>
      <c r="AX62" s="201"/>
      <c r="AY62" s="201"/>
      <c r="AZ62" s="201"/>
      <c r="BA62" s="201"/>
      <c r="BB62" s="201"/>
    </row>
    <row r="63" spans="1:54" s="375" customFormat="1" ht="13.5" customHeight="1">
      <c r="A63" s="200"/>
      <c r="B63" s="200"/>
      <c r="C63" s="200"/>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200"/>
      <c r="AB63" s="200"/>
      <c r="AC63" s="200"/>
      <c r="AD63" s="201"/>
      <c r="AE63" s="201"/>
      <c r="AF63" s="201"/>
      <c r="AG63" s="201"/>
      <c r="AH63" s="201"/>
      <c r="AI63" s="201"/>
      <c r="AJ63" s="201"/>
      <c r="AK63" s="526"/>
      <c r="AL63" s="526"/>
      <c r="AM63" s="526"/>
      <c r="AN63" s="526"/>
      <c r="AO63" s="526"/>
      <c r="AP63" s="201"/>
      <c r="AQ63" s="201"/>
      <c r="AR63" s="201"/>
      <c r="AS63" s="201"/>
      <c r="AT63" s="201"/>
      <c r="AU63" s="201"/>
      <c r="AV63" s="201"/>
      <c r="AW63" s="201"/>
      <c r="AX63" s="201"/>
      <c r="AY63" s="201"/>
      <c r="AZ63" s="201"/>
      <c r="BA63" s="201"/>
      <c r="BB63" s="201"/>
    </row>
    <row r="64" spans="1:54" s="108" customFormat="1">
      <c r="D64" s="376">
        <f>+D53+D55+D57+D59</f>
        <v>0</v>
      </c>
      <c r="E64" s="376">
        <f t="shared" ref="E64:O64" si="17">+E53+E55+E57+E59</f>
        <v>7.166666666666667E-2</v>
      </c>
      <c r="F64" s="376">
        <f t="shared" si="17"/>
        <v>8.5952380952380961E-2</v>
      </c>
      <c r="G64" s="376">
        <f t="shared" si="17"/>
        <v>8.5952380952380961E-2</v>
      </c>
      <c r="H64" s="376">
        <f t="shared" si="17"/>
        <v>1.9285714285714291E-2</v>
      </c>
      <c r="I64" s="376">
        <f t="shared" si="17"/>
        <v>1.9285714285714291E-2</v>
      </c>
      <c r="J64" s="376">
        <f t="shared" si="17"/>
        <v>1.9285714285714291E-2</v>
      </c>
      <c r="K64" s="376">
        <f t="shared" si="17"/>
        <v>1.9285714285714291E-2</v>
      </c>
      <c r="L64" s="376">
        <f t="shared" si="17"/>
        <v>1.9285714285714291E-2</v>
      </c>
      <c r="M64" s="376">
        <f t="shared" si="17"/>
        <v>5.0000000000000018E-3</v>
      </c>
      <c r="N64" s="376">
        <f t="shared" si="17"/>
        <v>5.0000000000000018E-3</v>
      </c>
      <c r="O64" s="376">
        <f t="shared" si="17"/>
        <v>0</v>
      </c>
      <c r="P64" s="376">
        <f>SUM(D64:O64)</f>
        <v>0.35000000000000009</v>
      </c>
      <c r="AK64" s="754"/>
      <c r="AL64" s="754"/>
      <c r="AM64" s="754"/>
      <c r="AN64" s="754"/>
      <c r="AO64" s="754"/>
      <c r="AP64" s="755"/>
      <c r="AQ64" s="755"/>
      <c r="AR64" s="755"/>
      <c r="AS64" s="755"/>
    </row>
    <row r="65" spans="1:54" s="375" customFormat="1" ht="15.75" customHeight="1">
      <c r="A65" s="201"/>
      <c r="B65" s="201"/>
      <c r="C65" s="372" t="s">
        <v>72</v>
      </c>
      <c r="D65" s="373">
        <f>D64*$W$17/$B$34</f>
        <v>0</v>
      </c>
      <c r="E65" s="373">
        <f t="shared" ref="E65:O65" si="18">E64*$W$17/$B$34</f>
        <v>0.20476190476190476</v>
      </c>
      <c r="F65" s="373">
        <f t="shared" si="18"/>
        <v>0.24557823129251702</v>
      </c>
      <c r="G65" s="373">
        <f t="shared" si="18"/>
        <v>0.24557823129251702</v>
      </c>
      <c r="H65" s="373">
        <f t="shared" si="18"/>
        <v>5.5102040816326539E-2</v>
      </c>
      <c r="I65" s="373">
        <f t="shared" si="18"/>
        <v>5.5102040816326539E-2</v>
      </c>
      <c r="J65" s="373">
        <f t="shared" si="18"/>
        <v>5.5102040816326539E-2</v>
      </c>
      <c r="K65" s="373">
        <f t="shared" si="18"/>
        <v>5.5102040816326539E-2</v>
      </c>
      <c r="L65" s="373">
        <f t="shared" si="18"/>
        <v>5.5102040816326539E-2</v>
      </c>
      <c r="M65" s="373">
        <f t="shared" si="18"/>
        <v>1.428571428571429E-2</v>
      </c>
      <c r="N65" s="373">
        <f t="shared" si="18"/>
        <v>1.428571428571429E-2</v>
      </c>
      <c r="O65" s="373">
        <f t="shared" si="18"/>
        <v>0</v>
      </c>
      <c r="P65" s="374">
        <f>SUM(D65:O65)</f>
        <v>1</v>
      </c>
      <c r="Q65" s="200"/>
      <c r="R65" s="201"/>
      <c r="S65" s="201"/>
      <c r="T65" s="201"/>
      <c r="U65" s="201"/>
      <c r="V65" s="201"/>
      <c r="W65" s="201"/>
      <c r="X65" s="201"/>
      <c r="Y65" s="201"/>
      <c r="Z65" s="201"/>
      <c r="AA65" s="201"/>
      <c r="AB65" s="201"/>
      <c r="AC65" s="201"/>
      <c r="AD65" s="201"/>
      <c r="AE65" s="201"/>
      <c r="AF65" s="201"/>
      <c r="AG65" s="201"/>
      <c r="AH65" s="201"/>
      <c r="AI65" s="201"/>
      <c r="AJ65" s="201"/>
      <c r="AK65" s="526"/>
      <c r="AL65" s="526"/>
      <c r="AM65" s="526"/>
      <c r="AN65" s="526"/>
      <c r="AO65" s="526"/>
      <c r="AP65" s="201"/>
      <c r="AQ65" s="201"/>
      <c r="AR65" s="201"/>
      <c r="AS65" s="201"/>
      <c r="AT65" s="201"/>
      <c r="AU65" s="201"/>
      <c r="AV65" s="201"/>
      <c r="AW65" s="201"/>
      <c r="AX65" s="201"/>
      <c r="AY65" s="201"/>
      <c r="AZ65" s="201"/>
      <c r="BA65" s="201"/>
      <c r="BB65" s="201"/>
    </row>
  </sheetData>
  <mergeCells count="99">
    <mergeCell ref="AG34:AG35"/>
    <mergeCell ref="AH34:AH35"/>
    <mergeCell ref="AI34:AI35"/>
    <mergeCell ref="AF44:AF45"/>
    <mergeCell ref="AF34:AF35"/>
    <mergeCell ref="AF38:AF39"/>
    <mergeCell ref="AF40:AF41"/>
    <mergeCell ref="AF42:AF43"/>
    <mergeCell ref="A38:A39"/>
    <mergeCell ref="B38:B39"/>
    <mergeCell ref="Q38:AD39"/>
    <mergeCell ref="A40:A41"/>
    <mergeCell ref="B40:B41"/>
    <mergeCell ref="Q40:AD41"/>
    <mergeCell ref="A22:B22"/>
    <mergeCell ref="AC17:AD17"/>
    <mergeCell ref="A7:B9"/>
    <mergeCell ref="C7:C9"/>
    <mergeCell ref="R17:V17"/>
    <mergeCell ref="C11:AD13"/>
    <mergeCell ref="L15:Q15"/>
    <mergeCell ref="A11:B13"/>
    <mergeCell ref="D7:H9"/>
    <mergeCell ref="I7:J9"/>
    <mergeCell ref="K7:L9"/>
    <mergeCell ref="O7:P7"/>
    <mergeCell ref="M8:N8"/>
    <mergeCell ref="O8:P8"/>
    <mergeCell ref="M9:N9"/>
    <mergeCell ref="O9:P9"/>
    <mergeCell ref="M7:N7"/>
    <mergeCell ref="C15:K15"/>
    <mergeCell ref="A1:A4"/>
    <mergeCell ref="B1:AA1"/>
    <mergeCell ref="AB1:AD1"/>
    <mergeCell ref="B2:AA2"/>
    <mergeCell ref="AB2:AD2"/>
    <mergeCell ref="B3:AA4"/>
    <mergeCell ref="AB3:AD3"/>
    <mergeCell ref="AB4:AD4"/>
    <mergeCell ref="A27:AD27"/>
    <mergeCell ref="A23:B23"/>
    <mergeCell ref="A25:B25"/>
    <mergeCell ref="AA15:AD15"/>
    <mergeCell ref="C16:AB16"/>
    <mergeCell ref="A17:B17"/>
    <mergeCell ref="C17:Q17"/>
    <mergeCell ref="R15:X15"/>
    <mergeCell ref="Y15:Z15"/>
    <mergeCell ref="W17:X17"/>
    <mergeCell ref="Y17:AB17"/>
    <mergeCell ref="A15:B15"/>
    <mergeCell ref="A24:B24"/>
    <mergeCell ref="A19:AD19"/>
    <mergeCell ref="Q20:AD20"/>
    <mergeCell ref="C20:P20"/>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Q34:V35"/>
    <mergeCell ref="W34:Z35"/>
    <mergeCell ref="AA34:AD35"/>
    <mergeCell ref="A36:A37"/>
    <mergeCell ref="B36:B37"/>
    <mergeCell ref="C36:P36"/>
    <mergeCell ref="Q36:AD36"/>
    <mergeCell ref="Q37:AD37"/>
    <mergeCell ref="A42:A43"/>
    <mergeCell ref="B42:B43"/>
    <mergeCell ref="Q42:AD43"/>
    <mergeCell ref="A44:A45"/>
    <mergeCell ref="B44:B45"/>
    <mergeCell ref="Q44:AD45"/>
    <mergeCell ref="C51:P51"/>
    <mergeCell ref="A53:A54"/>
    <mergeCell ref="B53:B54"/>
    <mergeCell ref="A59:A60"/>
    <mergeCell ref="B59:B60"/>
    <mergeCell ref="A55:A56"/>
    <mergeCell ref="B55:B56"/>
    <mergeCell ref="A57:A58"/>
    <mergeCell ref="B57:B58"/>
    <mergeCell ref="A51:A52"/>
    <mergeCell ref="B51:B52"/>
  </mergeCells>
  <dataValidations count="3">
    <dataValidation type="textLength" operator="lessThanOrEqual" allowBlank="1" showInputMessage="1" showErrorMessage="1" errorTitle="Máximo 2.000 caracteres" error="Máximo 2.000 caracteres" sqref="Q38:AD45 AA34 Q34 W34" xr:uid="{F3A7CF25-473F-4BE5-93BF-D44119DDC182}">
      <formula1>2000</formula1>
    </dataValidation>
    <dataValidation type="textLength" operator="lessThanOrEqual" allowBlank="1" showInputMessage="1" showErrorMessage="1" errorTitle="Máximo 2.000 caracteres" error="Máximo 2.000 caracteres" promptTitle="2.000 caracteres" sqref="Q30:AD30" xr:uid="{E68A7476-3AA3-4A4C-8D29-49A4B5416C3E}">
      <formula1>2000</formula1>
    </dataValidation>
    <dataValidation type="list" allowBlank="1" showInputMessage="1" showErrorMessage="1" sqref="WVN7:WVN9 JB7:JB9 SX7:SX9 ACT7:ACT9 AMP7:AMP9 AWL7:AWL9 BGH7:BGH9 BQD7:BQD9 BZZ7:BZZ9 CJV7:CJV9 CTR7:CTR9 DDN7:DDN9 DNJ7:DNJ9 DXF7:DXF9 EHB7:EHB9 EQX7:EQX9 FAT7:FAT9 FKP7:FKP9 FUL7:FUL9 GEH7:GEH9 GOD7:GOD9 GXZ7:GXZ9 HHV7:HHV9 HRR7:HRR9 IBN7:IBN9 ILJ7:ILJ9 IVF7:IVF9 JFB7:JFB9 JOX7:JOX9 JYT7:JYT9 KIP7:KIP9 KSL7:KSL9 LCH7:LCH9 LMD7:LMD9 LVZ7:LVZ9 MFV7:MFV9 MPR7:MPR9 MZN7:MZN9 NJJ7:NJJ9 NTF7:NTF9 ODB7:ODB9 OMX7:OMX9 OWT7:OWT9 PGP7:PGP9 PQL7:PQL9 QAH7:QAH9 QKD7:QKD9 QTZ7:QTZ9 RDV7:RDV9 RNR7:RNR9 RXN7:RXN9 SHJ7:SHJ9 SRF7:SRF9 TBB7:TBB9 TKX7:TKX9 TUT7:TUT9 UEP7:UEP9 UOL7:UOL9 UYH7:UYH9 VID7:VID9 VRZ7:VRZ9 WBV7:WBV9 WLR7:WLR9 C7:C9" xr:uid="{4D47CF0E-ECE8-4752-9AB0-5054A64F7332}">
      <formula1>$C$21:$N$21</formula1>
    </dataValidation>
  </dataValidations>
  <printOptions horizontalCentered="1"/>
  <pageMargins left="0.19685039370078741" right="0.19685039370078741" top="0.19685039370078741" bottom="0.19685039370078741" header="0" footer="0"/>
  <pageSetup scale="22"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c r="A1" s="781"/>
      <c r="B1" s="784" t="s">
        <v>0</v>
      </c>
      <c r="C1" s="785"/>
      <c r="D1" s="785"/>
      <c r="E1" s="785"/>
      <c r="F1" s="785"/>
      <c r="G1" s="785"/>
      <c r="H1" s="785"/>
      <c r="I1" s="785"/>
      <c r="J1" s="785"/>
      <c r="K1" s="785"/>
      <c r="L1" s="785"/>
      <c r="M1" s="785"/>
      <c r="N1" s="785"/>
      <c r="O1" s="785"/>
      <c r="P1" s="785"/>
      <c r="Q1" s="785"/>
      <c r="R1" s="785"/>
      <c r="S1" s="785"/>
      <c r="T1" s="785"/>
      <c r="U1" s="785"/>
      <c r="V1" s="785"/>
      <c r="W1" s="785"/>
      <c r="X1" s="785"/>
      <c r="Y1" s="786"/>
      <c r="Z1" s="787" t="s">
        <v>1</v>
      </c>
      <c r="AA1" s="788"/>
      <c r="AB1" s="789"/>
    </row>
    <row r="2" spans="1:28" ht="30.75" customHeight="1">
      <c r="A2" s="782"/>
      <c r="B2" s="790" t="s">
        <v>2</v>
      </c>
      <c r="C2" s="791"/>
      <c r="D2" s="791"/>
      <c r="E2" s="791"/>
      <c r="F2" s="791"/>
      <c r="G2" s="791"/>
      <c r="H2" s="791"/>
      <c r="I2" s="791"/>
      <c r="J2" s="791"/>
      <c r="K2" s="791"/>
      <c r="L2" s="791"/>
      <c r="M2" s="791"/>
      <c r="N2" s="791"/>
      <c r="O2" s="791"/>
      <c r="P2" s="791"/>
      <c r="Q2" s="791"/>
      <c r="R2" s="791"/>
      <c r="S2" s="791"/>
      <c r="T2" s="791"/>
      <c r="U2" s="791"/>
      <c r="V2" s="791"/>
      <c r="W2" s="791"/>
      <c r="X2" s="791"/>
      <c r="Y2" s="792"/>
      <c r="Z2" s="1098" t="s">
        <v>253</v>
      </c>
      <c r="AA2" s="1099"/>
      <c r="AB2" s="1100"/>
    </row>
    <row r="3" spans="1:28" ht="24" customHeight="1">
      <c r="A3" s="782"/>
      <c r="B3" s="796" t="s">
        <v>4</v>
      </c>
      <c r="C3" s="797"/>
      <c r="D3" s="797"/>
      <c r="E3" s="797"/>
      <c r="F3" s="797"/>
      <c r="G3" s="797"/>
      <c r="H3" s="797"/>
      <c r="I3" s="797"/>
      <c r="J3" s="797"/>
      <c r="K3" s="797"/>
      <c r="L3" s="797"/>
      <c r="M3" s="797"/>
      <c r="N3" s="797"/>
      <c r="O3" s="797"/>
      <c r="P3" s="797"/>
      <c r="Q3" s="797"/>
      <c r="R3" s="797"/>
      <c r="S3" s="797"/>
      <c r="T3" s="797"/>
      <c r="U3" s="797"/>
      <c r="V3" s="797"/>
      <c r="W3" s="797"/>
      <c r="X3" s="797"/>
      <c r="Y3" s="798"/>
      <c r="Z3" s="1098" t="s">
        <v>254</v>
      </c>
      <c r="AA3" s="1099"/>
      <c r="AB3" s="1100"/>
    </row>
    <row r="4" spans="1:28" ht="15.75" customHeight="1" thickBot="1">
      <c r="A4" s="783"/>
      <c r="B4" s="799"/>
      <c r="C4" s="800"/>
      <c r="D4" s="800"/>
      <c r="E4" s="800"/>
      <c r="F4" s="800"/>
      <c r="G4" s="800"/>
      <c r="H4" s="800"/>
      <c r="I4" s="800"/>
      <c r="J4" s="800"/>
      <c r="K4" s="800"/>
      <c r="L4" s="800"/>
      <c r="M4" s="800"/>
      <c r="N4" s="800"/>
      <c r="O4" s="800"/>
      <c r="P4" s="800"/>
      <c r="Q4" s="800"/>
      <c r="R4" s="800"/>
      <c r="S4" s="800"/>
      <c r="T4" s="800"/>
      <c r="U4" s="800"/>
      <c r="V4" s="800"/>
      <c r="W4" s="800"/>
      <c r="X4" s="800"/>
      <c r="Y4" s="801"/>
      <c r="Z4" s="802" t="s">
        <v>6</v>
      </c>
      <c r="AA4" s="803"/>
      <c r="AB4" s="804"/>
    </row>
    <row r="5" spans="1:28" ht="9" customHeight="1" thickBot="1">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c r="A7" s="805" t="s">
        <v>15</v>
      </c>
      <c r="B7" s="806"/>
      <c r="C7" s="811"/>
      <c r="D7" s="812"/>
      <c r="E7" s="812"/>
      <c r="F7" s="812"/>
      <c r="G7" s="812"/>
      <c r="H7" s="812"/>
      <c r="I7" s="812"/>
      <c r="J7" s="812"/>
      <c r="K7" s="813"/>
      <c r="L7" s="62"/>
      <c r="M7" s="63"/>
      <c r="N7" s="63"/>
      <c r="O7" s="63"/>
      <c r="P7" s="63"/>
      <c r="Q7" s="64"/>
      <c r="R7" s="957" t="s">
        <v>9</v>
      </c>
      <c r="S7" s="955"/>
      <c r="T7" s="956"/>
      <c r="U7" s="1048" t="s">
        <v>255</v>
      </c>
      <c r="V7" s="821"/>
      <c r="W7" s="957" t="s">
        <v>10</v>
      </c>
      <c r="X7" s="956"/>
      <c r="Y7" s="826" t="s">
        <v>11</v>
      </c>
      <c r="Z7" s="827"/>
      <c r="AA7" s="831"/>
      <c r="AB7" s="832"/>
    </row>
    <row r="8" spans="1:28" ht="15" customHeight="1">
      <c r="A8" s="807"/>
      <c r="B8" s="808"/>
      <c r="C8" s="796"/>
      <c r="D8" s="797"/>
      <c r="E8" s="797"/>
      <c r="F8" s="797"/>
      <c r="G8" s="797"/>
      <c r="H8" s="797"/>
      <c r="I8" s="797"/>
      <c r="J8" s="797"/>
      <c r="K8" s="798"/>
      <c r="L8" s="62"/>
      <c r="M8" s="63"/>
      <c r="N8" s="63"/>
      <c r="O8" s="63"/>
      <c r="P8" s="63"/>
      <c r="Q8" s="64"/>
      <c r="R8" s="859"/>
      <c r="S8" s="860"/>
      <c r="T8" s="861"/>
      <c r="U8" s="822"/>
      <c r="V8" s="823"/>
      <c r="W8" s="859"/>
      <c r="X8" s="861"/>
      <c r="Y8" s="833" t="s">
        <v>12</v>
      </c>
      <c r="Z8" s="834"/>
      <c r="AA8" s="835"/>
      <c r="AB8" s="836"/>
    </row>
    <row r="9" spans="1:28" ht="15" customHeight="1" thickBot="1">
      <c r="A9" s="809"/>
      <c r="B9" s="810"/>
      <c r="C9" s="799"/>
      <c r="D9" s="800"/>
      <c r="E9" s="800"/>
      <c r="F9" s="800"/>
      <c r="G9" s="800"/>
      <c r="H9" s="800"/>
      <c r="I9" s="800"/>
      <c r="J9" s="800"/>
      <c r="K9" s="801"/>
      <c r="L9" s="62"/>
      <c r="M9" s="63"/>
      <c r="N9" s="63"/>
      <c r="O9" s="63"/>
      <c r="P9" s="63"/>
      <c r="Q9" s="64"/>
      <c r="R9" s="1049"/>
      <c r="S9" s="1101"/>
      <c r="T9" s="1050"/>
      <c r="U9" s="824"/>
      <c r="V9" s="825"/>
      <c r="W9" s="1049"/>
      <c r="X9" s="1050"/>
      <c r="Y9" s="837" t="s">
        <v>13</v>
      </c>
      <c r="Z9" s="838"/>
      <c r="AA9" s="839"/>
      <c r="AB9" s="840"/>
    </row>
    <row r="10" spans="1:28" ht="9" customHeight="1" thickBot="1">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c r="A11" s="841" t="s">
        <v>17</v>
      </c>
      <c r="B11" s="842"/>
      <c r="C11" s="1051"/>
      <c r="D11" s="1052"/>
      <c r="E11" s="1052"/>
      <c r="F11" s="1052"/>
      <c r="G11" s="1052"/>
      <c r="H11" s="1052"/>
      <c r="I11" s="1052"/>
      <c r="J11" s="1052"/>
      <c r="K11" s="1053"/>
      <c r="L11" s="72"/>
      <c r="M11" s="843" t="s">
        <v>19</v>
      </c>
      <c r="N11" s="844"/>
      <c r="O11" s="844"/>
      <c r="P11" s="844"/>
      <c r="Q11" s="845"/>
      <c r="R11" s="846"/>
      <c r="S11" s="847"/>
      <c r="T11" s="847"/>
      <c r="U11" s="847"/>
      <c r="V11" s="848"/>
      <c r="W11" s="843" t="s">
        <v>21</v>
      </c>
      <c r="X11" s="845"/>
      <c r="Y11" s="828"/>
      <c r="Z11" s="829"/>
      <c r="AA11" s="829"/>
      <c r="AB11" s="830"/>
    </row>
    <row r="12" spans="1:28" ht="9" customHeight="1" thickBot="1">
      <c r="A12" s="59"/>
      <c r="B12" s="54"/>
      <c r="C12" s="851"/>
      <c r="D12" s="851"/>
      <c r="E12" s="851"/>
      <c r="F12" s="851"/>
      <c r="G12" s="851"/>
      <c r="H12" s="851"/>
      <c r="I12" s="851"/>
      <c r="J12" s="851"/>
      <c r="K12" s="851"/>
      <c r="L12" s="851"/>
      <c r="M12" s="851"/>
      <c r="N12" s="851"/>
      <c r="O12" s="851"/>
      <c r="P12" s="851"/>
      <c r="Q12" s="851"/>
      <c r="R12" s="851"/>
      <c r="S12" s="851"/>
      <c r="T12" s="851"/>
      <c r="U12" s="851"/>
      <c r="V12" s="851"/>
      <c r="W12" s="851"/>
      <c r="X12" s="851"/>
      <c r="Y12" s="851"/>
      <c r="Z12" s="851"/>
      <c r="AA12" s="73"/>
      <c r="AB12" s="74"/>
    </row>
    <row r="13" spans="1:28" s="76" customFormat="1" ht="37.5" customHeight="1" thickBot="1">
      <c r="A13" s="841" t="s">
        <v>23</v>
      </c>
      <c r="B13" s="842"/>
      <c r="C13" s="958"/>
      <c r="D13" s="959"/>
      <c r="E13" s="959"/>
      <c r="F13" s="959"/>
      <c r="G13" s="959"/>
      <c r="H13" s="959"/>
      <c r="I13" s="959"/>
      <c r="J13" s="959"/>
      <c r="K13" s="959"/>
      <c r="L13" s="959"/>
      <c r="M13" s="959"/>
      <c r="N13" s="959"/>
      <c r="O13" s="959"/>
      <c r="P13" s="959"/>
      <c r="Q13" s="960"/>
      <c r="R13" s="54"/>
      <c r="S13" s="1072" t="s">
        <v>256</v>
      </c>
      <c r="T13" s="1072"/>
      <c r="U13" s="75"/>
      <c r="V13" s="1079" t="s">
        <v>26</v>
      </c>
      <c r="W13" s="1072"/>
      <c r="X13" s="1072"/>
      <c r="Y13" s="1072"/>
      <c r="Z13" s="54"/>
      <c r="AA13" s="857"/>
      <c r="AB13" s="858"/>
    </row>
    <row r="14" spans="1:28" ht="16.5" customHeight="1" thickBot="1">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c r="A15" s="805" t="s">
        <v>7</v>
      </c>
      <c r="B15" s="806"/>
      <c r="C15" s="1091" t="s">
        <v>257</v>
      </c>
      <c r="D15" s="80"/>
      <c r="E15" s="80"/>
      <c r="F15" s="80"/>
      <c r="G15" s="80"/>
      <c r="H15" s="80"/>
      <c r="I15" s="80"/>
      <c r="J15" s="70"/>
      <c r="K15" s="81"/>
      <c r="L15" s="70"/>
      <c r="M15" s="60"/>
      <c r="N15" s="60"/>
      <c r="O15" s="60"/>
      <c r="P15" s="60"/>
      <c r="Q15" s="1080" t="s">
        <v>27</v>
      </c>
      <c r="R15" s="1081"/>
      <c r="S15" s="1081"/>
      <c r="T15" s="1081"/>
      <c r="U15" s="1081"/>
      <c r="V15" s="1081"/>
      <c r="W15" s="1081"/>
      <c r="X15" s="1081"/>
      <c r="Y15" s="1081"/>
      <c r="Z15" s="1081"/>
      <c r="AA15" s="1081"/>
      <c r="AB15" s="1082"/>
    </row>
    <row r="16" spans="1:28" ht="35.25" customHeight="1" thickBot="1">
      <c r="A16" s="809"/>
      <c r="B16" s="810"/>
      <c r="C16" s="1092"/>
      <c r="D16" s="80"/>
      <c r="E16" s="80"/>
      <c r="F16" s="80"/>
      <c r="G16" s="80"/>
      <c r="H16" s="80"/>
      <c r="I16" s="80"/>
      <c r="J16" s="70"/>
      <c r="K16" s="70"/>
      <c r="L16" s="70"/>
      <c r="M16" s="60"/>
      <c r="N16" s="60"/>
      <c r="O16" s="60"/>
      <c r="P16" s="60"/>
      <c r="Q16" s="1075" t="s">
        <v>258</v>
      </c>
      <c r="R16" s="1046"/>
      <c r="S16" s="1046"/>
      <c r="T16" s="1046"/>
      <c r="U16" s="1046"/>
      <c r="V16" s="1076"/>
      <c r="W16" s="1045" t="s">
        <v>259</v>
      </c>
      <c r="X16" s="1046"/>
      <c r="Y16" s="1046"/>
      <c r="Z16" s="1046"/>
      <c r="AA16" s="1046"/>
      <c r="AB16" s="1047"/>
    </row>
    <row r="17" spans="1:39" ht="27" customHeight="1">
      <c r="A17" s="82"/>
      <c r="B17" s="60"/>
      <c r="C17" s="60"/>
      <c r="D17" s="80"/>
      <c r="E17" s="80"/>
      <c r="F17" s="80"/>
      <c r="G17" s="80"/>
      <c r="H17" s="80"/>
      <c r="I17" s="80"/>
      <c r="J17" s="80"/>
      <c r="K17" s="80"/>
      <c r="L17" s="80"/>
      <c r="M17" s="60"/>
      <c r="N17" s="60"/>
      <c r="O17" s="60"/>
      <c r="P17" s="60"/>
      <c r="Q17" s="1057" t="s">
        <v>260</v>
      </c>
      <c r="R17" s="1058"/>
      <c r="S17" s="1059"/>
      <c r="T17" s="1063" t="s">
        <v>261</v>
      </c>
      <c r="U17" s="1064"/>
      <c r="V17" s="1065"/>
      <c r="W17" s="1102" t="s">
        <v>260</v>
      </c>
      <c r="X17" s="1059"/>
      <c r="Y17" s="1102" t="s">
        <v>262</v>
      </c>
      <c r="Z17" s="1059"/>
      <c r="AA17" s="1063" t="s">
        <v>263</v>
      </c>
      <c r="AB17" s="1103"/>
      <c r="AC17" s="83"/>
      <c r="AD17" s="83"/>
    </row>
    <row r="18" spans="1:39" ht="27" customHeight="1">
      <c r="A18" s="82"/>
      <c r="B18" s="60"/>
      <c r="C18" s="60"/>
      <c r="D18" s="80"/>
      <c r="E18" s="80"/>
      <c r="F18" s="80"/>
      <c r="G18" s="80"/>
      <c r="H18" s="80"/>
      <c r="I18" s="80"/>
      <c r="J18" s="80"/>
      <c r="K18" s="80"/>
      <c r="L18" s="80"/>
      <c r="M18" s="60"/>
      <c r="N18" s="60"/>
      <c r="O18" s="60"/>
      <c r="P18" s="60"/>
      <c r="Q18" s="153"/>
      <c r="R18" s="154"/>
      <c r="S18" s="155"/>
      <c r="T18" s="1063"/>
      <c r="U18" s="1064"/>
      <c r="V18" s="1065"/>
      <c r="W18" s="137"/>
      <c r="X18" s="138"/>
      <c r="Y18" s="137"/>
      <c r="Z18" s="138"/>
      <c r="AA18" s="139"/>
      <c r="AB18" s="140"/>
      <c r="AC18" s="83"/>
      <c r="AD18" s="83"/>
    </row>
    <row r="19" spans="1:39" ht="18" customHeight="1" thickBot="1">
      <c r="A19" s="59"/>
      <c r="B19" s="54"/>
      <c r="C19" s="80"/>
      <c r="D19" s="80"/>
      <c r="E19" s="80"/>
      <c r="F19" s="80"/>
      <c r="G19" s="84"/>
      <c r="H19" s="84"/>
      <c r="I19" s="84"/>
      <c r="J19" s="84"/>
      <c r="K19" s="84"/>
      <c r="L19" s="84"/>
      <c r="M19" s="80"/>
      <c r="N19" s="80"/>
      <c r="O19" s="80"/>
      <c r="P19" s="80"/>
      <c r="Q19" s="1054"/>
      <c r="R19" s="1055"/>
      <c r="S19" s="1056"/>
      <c r="T19" s="1062"/>
      <c r="U19" s="1055"/>
      <c r="V19" s="1056"/>
      <c r="W19" s="1083"/>
      <c r="X19" s="1084"/>
      <c r="Y19" s="1104"/>
      <c r="Z19" s="1105"/>
      <c r="AA19" s="1060"/>
      <c r="AB19" s="1061"/>
      <c r="AC19" s="3"/>
      <c r="AD19" s="3"/>
    </row>
    <row r="20" spans="1:39" ht="7.5" customHeight="1" thickBot="1">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c r="A21" s="866" t="s">
        <v>48</v>
      </c>
      <c r="B21" s="867"/>
      <c r="C21" s="868"/>
      <c r="D21" s="868"/>
      <c r="E21" s="868"/>
      <c r="F21" s="868"/>
      <c r="G21" s="868"/>
      <c r="H21" s="868"/>
      <c r="I21" s="868"/>
      <c r="J21" s="868"/>
      <c r="K21" s="868"/>
      <c r="L21" s="868"/>
      <c r="M21" s="868"/>
      <c r="N21" s="868"/>
      <c r="O21" s="868"/>
      <c r="P21" s="868"/>
      <c r="Q21" s="868"/>
      <c r="R21" s="868"/>
      <c r="S21" s="868"/>
      <c r="T21" s="868"/>
      <c r="U21" s="868"/>
      <c r="V21" s="868"/>
      <c r="W21" s="868"/>
      <c r="X21" s="868"/>
      <c r="Y21" s="868"/>
      <c r="Z21" s="868"/>
      <c r="AA21" s="868"/>
      <c r="AB21" s="869"/>
    </row>
    <row r="22" spans="1:39" ht="15" customHeight="1">
      <c r="A22" s="870" t="s">
        <v>49</v>
      </c>
      <c r="B22" s="872" t="s">
        <v>50</v>
      </c>
      <c r="C22" s="873"/>
      <c r="D22" s="876" t="s">
        <v>264</v>
      </c>
      <c r="E22" s="877"/>
      <c r="F22" s="877"/>
      <c r="G22" s="877"/>
      <c r="H22" s="877"/>
      <c r="I22" s="877"/>
      <c r="J22" s="877"/>
      <c r="K22" s="877"/>
      <c r="L22" s="877"/>
      <c r="M22" s="877"/>
      <c r="N22" s="877"/>
      <c r="O22" s="878"/>
      <c r="P22" s="879" t="s">
        <v>41</v>
      </c>
      <c r="Q22" s="879" t="s">
        <v>52</v>
      </c>
      <c r="R22" s="879"/>
      <c r="S22" s="879"/>
      <c r="T22" s="879"/>
      <c r="U22" s="879"/>
      <c r="V22" s="879"/>
      <c r="W22" s="879"/>
      <c r="X22" s="879"/>
      <c r="Y22" s="879"/>
      <c r="Z22" s="879"/>
      <c r="AA22" s="879"/>
      <c r="AB22" s="850"/>
    </row>
    <row r="23" spans="1:39" ht="27" customHeight="1">
      <c r="A23" s="871"/>
      <c r="B23" s="874"/>
      <c r="C23" s="875"/>
      <c r="D23" s="88" t="s">
        <v>30</v>
      </c>
      <c r="E23" s="88" t="s">
        <v>31</v>
      </c>
      <c r="F23" s="88" t="s">
        <v>32</v>
      </c>
      <c r="G23" s="88" t="s">
        <v>33</v>
      </c>
      <c r="H23" s="88" t="s">
        <v>34</v>
      </c>
      <c r="I23" s="88" t="s">
        <v>35</v>
      </c>
      <c r="J23" s="88" t="s">
        <v>36</v>
      </c>
      <c r="K23" s="88" t="s">
        <v>8</v>
      </c>
      <c r="L23" s="88" t="s">
        <v>37</v>
      </c>
      <c r="M23" s="88" t="s">
        <v>38</v>
      </c>
      <c r="N23" s="88" t="s">
        <v>39</v>
      </c>
      <c r="O23" s="88" t="s">
        <v>40</v>
      </c>
      <c r="P23" s="878"/>
      <c r="Q23" s="879"/>
      <c r="R23" s="879"/>
      <c r="S23" s="879"/>
      <c r="T23" s="879"/>
      <c r="U23" s="879"/>
      <c r="V23" s="879"/>
      <c r="W23" s="879"/>
      <c r="X23" s="879"/>
      <c r="Y23" s="879"/>
      <c r="Z23" s="879"/>
      <c r="AA23" s="879"/>
      <c r="AB23" s="850"/>
    </row>
    <row r="24" spans="1:39" ht="42" customHeight="1" thickBot="1">
      <c r="A24" s="85"/>
      <c r="B24" s="949"/>
      <c r="C24" s="950"/>
      <c r="D24" s="89"/>
      <c r="E24" s="89"/>
      <c r="F24" s="89"/>
      <c r="G24" s="89"/>
      <c r="H24" s="89"/>
      <c r="I24" s="89"/>
      <c r="J24" s="89"/>
      <c r="K24" s="89"/>
      <c r="L24" s="89"/>
      <c r="M24" s="89"/>
      <c r="N24" s="89"/>
      <c r="O24" s="89"/>
      <c r="P24" s="86">
        <f>SUM(D24:O24)</f>
        <v>0</v>
      </c>
      <c r="Q24" s="1108" t="s">
        <v>265</v>
      </c>
      <c r="R24" s="1108"/>
      <c r="S24" s="1108"/>
      <c r="T24" s="1108"/>
      <c r="U24" s="1108"/>
      <c r="V24" s="1108"/>
      <c r="W24" s="1108"/>
      <c r="X24" s="1108"/>
      <c r="Y24" s="1108"/>
      <c r="Z24" s="1108"/>
      <c r="AA24" s="1108"/>
      <c r="AB24" s="1109"/>
    </row>
    <row r="25" spans="1:39" ht="21.95" customHeight="1">
      <c r="A25" s="885" t="s">
        <v>56</v>
      </c>
      <c r="B25" s="886"/>
      <c r="C25" s="886"/>
      <c r="D25" s="886"/>
      <c r="E25" s="886"/>
      <c r="F25" s="886"/>
      <c r="G25" s="886"/>
      <c r="H25" s="886"/>
      <c r="I25" s="886"/>
      <c r="J25" s="886"/>
      <c r="K25" s="886"/>
      <c r="L25" s="886"/>
      <c r="M25" s="886"/>
      <c r="N25" s="886"/>
      <c r="O25" s="886"/>
      <c r="P25" s="886"/>
      <c r="Q25" s="886"/>
      <c r="R25" s="886"/>
      <c r="S25" s="886"/>
      <c r="T25" s="886"/>
      <c r="U25" s="886"/>
      <c r="V25" s="886"/>
      <c r="W25" s="886"/>
      <c r="X25" s="886"/>
      <c r="Y25" s="886"/>
      <c r="Z25" s="886"/>
      <c r="AA25" s="886"/>
      <c r="AB25" s="887"/>
    </row>
    <row r="26" spans="1:39" ht="23.1" customHeight="1">
      <c r="A26" s="849" t="s">
        <v>57</v>
      </c>
      <c r="B26" s="879" t="s">
        <v>58</v>
      </c>
      <c r="C26" s="879" t="s">
        <v>50</v>
      </c>
      <c r="D26" s="879" t="s">
        <v>59</v>
      </c>
      <c r="E26" s="879"/>
      <c r="F26" s="879"/>
      <c r="G26" s="879"/>
      <c r="H26" s="879"/>
      <c r="I26" s="879"/>
      <c r="J26" s="879"/>
      <c r="K26" s="879"/>
      <c r="L26" s="879"/>
      <c r="M26" s="879"/>
      <c r="N26" s="879"/>
      <c r="O26" s="879"/>
      <c r="P26" s="879"/>
      <c r="Q26" s="879" t="s">
        <v>60</v>
      </c>
      <c r="R26" s="879"/>
      <c r="S26" s="879"/>
      <c r="T26" s="879"/>
      <c r="U26" s="879"/>
      <c r="V26" s="879"/>
      <c r="W26" s="879"/>
      <c r="X26" s="879"/>
      <c r="Y26" s="879"/>
      <c r="Z26" s="879"/>
      <c r="AA26" s="879"/>
      <c r="AB26" s="850"/>
      <c r="AE26" s="87"/>
      <c r="AF26" s="87"/>
      <c r="AG26" s="87"/>
      <c r="AH26" s="87"/>
      <c r="AI26" s="87"/>
      <c r="AJ26" s="87"/>
      <c r="AK26" s="87"/>
      <c r="AL26" s="87"/>
      <c r="AM26" s="87"/>
    </row>
    <row r="27" spans="1:39" ht="23.1" customHeight="1">
      <c r="A27" s="849"/>
      <c r="B27" s="879"/>
      <c r="C27" s="888"/>
      <c r="D27" s="88" t="s">
        <v>30</v>
      </c>
      <c r="E27" s="88" t="s">
        <v>31</v>
      </c>
      <c r="F27" s="88" t="s">
        <v>32</v>
      </c>
      <c r="G27" s="88" t="s">
        <v>33</v>
      </c>
      <c r="H27" s="88" t="s">
        <v>34</v>
      </c>
      <c r="I27" s="88" t="s">
        <v>35</v>
      </c>
      <c r="J27" s="88" t="s">
        <v>36</v>
      </c>
      <c r="K27" s="88" t="s">
        <v>8</v>
      </c>
      <c r="L27" s="88" t="s">
        <v>37</v>
      </c>
      <c r="M27" s="88" t="s">
        <v>38</v>
      </c>
      <c r="N27" s="88" t="s">
        <v>39</v>
      </c>
      <c r="O27" s="88" t="s">
        <v>40</v>
      </c>
      <c r="P27" s="88" t="s">
        <v>41</v>
      </c>
      <c r="Q27" s="874" t="s">
        <v>61</v>
      </c>
      <c r="R27" s="889"/>
      <c r="S27" s="889"/>
      <c r="T27" s="875"/>
      <c r="U27" s="874" t="s">
        <v>62</v>
      </c>
      <c r="V27" s="889"/>
      <c r="W27" s="889"/>
      <c r="X27" s="875"/>
      <c r="Y27" s="874" t="s">
        <v>63</v>
      </c>
      <c r="Z27" s="889"/>
      <c r="AA27" s="889"/>
      <c r="AB27" s="898"/>
      <c r="AE27" s="87"/>
      <c r="AF27" s="87"/>
      <c r="AG27" s="87"/>
      <c r="AH27" s="87"/>
      <c r="AI27" s="87"/>
      <c r="AJ27" s="87"/>
      <c r="AK27" s="87"/>
      <c r="AL27" s="87"/>
      <c r="AM27" s="87"/>
    </row>
    <row r="28" spans="1:39" ht="33" customHeight="1">
      <c r="A28" s="1106"/>
      <c r="B28" s="1044"/>
      <c r="C28" s="90" t="s">
        <v>72</v>
      </c>
      <c r="D28" s="89"/>
      <c r="E28" s="89"/>
      <c r="F28" s="89"/>
      <c r="G28" s="89"/>
      <c r="H28" s="89"/>
      <c r="I28" s="89"/>
      <c r="J28" s="89"/>
      <c r="K28" s="89"/>
      <c r="L28" s="89"/>
      <c r="M28" s="89"/>
      <c r="N28" s="89"/>
      <c r="O28" s="89"/>
      <c r="P28" s="151">
        <f>SUM(D28:O28)</f>
        <v>0</v>
      </c>
      <c r="Q28" s="943" t="s">
        <v>266</v>
      </c>
      <c r="R28" s="944"/>
      <c r="S28" s="944"/>
      <c r="T28" s="1073"/>
      <c r="U28" s="943" t="s">
        <v>267</v>
      </c>
      <c r="V28" s="944"/>
      <c r="W28" s="944"/>
      <c r="X28" s="1073"/>
      <c r="Y28" s="943" t="s">
        <v>268</v>
      </c>
      <c r="Z28" s="944"/>
      <c r="AA28" s="944"/>
      <c r="AB28" s="945"/>
      <c r="AE28" s="87"/>
      <c r="AF28" s="87"/>
      <c r="AG28" s="87"/>
      <c r="AH28" s="87"/>
      <c r="AI28" s="87"/>
      <c r="AJ28" s="87"/>
      <c r="AK28" s="87"/>
      <c r="AL28" s="87"/>
      <c r="AM28" s="87"/>
    </row>
    <row r="29" spans="1:39" ht="33.950000000000003" customHeight="1" thickBot="1">
      <c r="A29" s="1107"/>
      <c r="B29" s="936"/>
      <c r="C29" s="91" t="s">
        <v>84</v>
      </c>
      <c r="D29" s="92"/>
      <c r="E29" s="92"/>
      <c r="F29" s="92"/>
      <c r="G29" s="93"/>
      <c r="H29" s="93"/>
      <c r="I29" s="93"/>
      <c r="J29" s="93"/>
      <c r="K29" s="93"/>
      <c r="L29" s="93"/>
      <c r="M29" s="93"/>
      <c r="N29" s="93"/>
      <c r="O29" s="93"/>
      <c r="P29" s="152">
        <f>SUM(D29:O29)</f>
        <v>0</v>
      </c>
      <c r="Q29" s="946"/>
      <c r="R29" s="947"/>
      <c r="S29" s="947"/>
      <c r="T29" s="1074"/>
      <c r="U29" s="946"/>
      <c r="V29" s="947"/>
      <c r="W29" s="947"/>
      <c r="X29" s="1074"/>
      <c r="Y29" s="946"/>
      <c r="Z29" s="947"/>
      <c r="AA29" s="947"/>
      <c r="AB29" s="948"/>
      <c r="AC29" s="49"/>
      <c r="AE29" s="87"/>
      <c r="AF29" s="87"/>
      <c r="AG29" s="87"/>
      <c r="AH29" s="87"/>
      <c r="AI29" s="87"/>
      <c r="AJ29" s="87"/>
      <c r="AK29" s="87"/>
      <c r="AL29" s="87"/>
      <c r="AM29" s="87"/>
    </row>
    <row r="30" spans="1:39" ht="26.1" customHeight="1">
      <c r="A30" s="862" t="s">
        <v>85</v>
      </c>
      <c r="B30" s="927" t="s">
        <v>86</v>
      </c>
      <c r="C30" s="929" t="s">
        <v>87</v>
      </c>
      <c r="D30" s="929"/>
      <c r="E30" s="929"/>
      <c r="F30" s="929"/>
      <c r="G30" s="929"/>
      <c r="H30" s="929"/>
      <c r="I30" s="929"/>
      <c r="J30" s="929"/>
      <c r="K30" s="929"/>
      <c r="L30" s="929"/>
      <c r="M30" s="929"/>
      <c r="N30" s="929"/>
      <c r="O30" s="929"/>
      <c r="P30" s="929"/>
      <c r="Q30" s="930" t="s">
        <v>88</v>
      </c>
      <c r="R30" s="931"/>
      <c r="S30" s="931"/>
      <c r="T30" s="931"/>
      <c r="U30" s="931"/>
      <c r="V30" s="931"/>
      <c r="W30" s="931"/>
      <c r="X30" s="931"/>
      <c r="Y30" s="931"/>
      <c r="Z30" s="931"/>
      <c r="AA30" s="931"/>
      <c r="AB30" s="932"/>
      <c r="AE30" s="87"/>
      <c r="AF30" s="87"/>
      <c r="AG30" s="87"/>
      <c r="AH30" s="87"/>
      <c r="AI30" s="87"/>
      <c r="AJ30" s="87"/>
      <c r="AK30" s="87"/>
      <c r="AL30" s="87"/>
      <c r="AM30" s="87"/>
    </row>
    <row r="31" spans="1:39" ht="26.1" customHeight="1">
      <c r="A31" s="849"/>
      <c r="B31" s="928"/>
      <c r="C31" s="88" t="s">
        <v>89</v>
      </c>
      <c r="D31" s="88" t="s">
        <v>90</v>
      </c>
      <c r="E31" s="88" t="s">
        <v>91</v>
      </c>
      <c r="F31" s="88" t="s">
        <v>92</v>
      </c>
      <c r="G31" s="88" t="s">
        <v>93</v>
      </c>
      <c r="H31" s="88" t="s">
        <v>94</v>
      </c>
      <c r="I31" s="88" t="s">
        <v>95</v>
      </c>
      <c r="J31" s="88" t="s">
        <v>96</v>
      </c>
      <c r="K31" s="88" t="s">
        <v>97</v>
      </c>
      <c r="L31" s="88" t="s">
        <v>98</v>
      </c>
      <c r="M31" s="88" t="s">
        <v>99</v>
      </c>
      <c r="N31" s="88" t="s">
        <v>100</v>
      </c>
      <c r="O31" s="88" t="s">
        <v>101</v>
      </c>
      <c r="P31" s="88" t="s">
        <v>102</v>
      </c>
      <c r="Q31" s="876" t="s">
        <v>103</v>
      </c>
      <c r="R31" s="877"/>
      <c r="S31" s="877"/>
      <c r="T31" s="877"/>
      <c r="U31" s="877"/>
      <c r="V31" s="877"/>
      <c r="W31" s="877"/>
      <c r="X31" s="877"/>
      <c r="Y31" s="877"/>
      <c r="Z31" s="877"/>
      <c r="AA31" s="877"/>
      <c r="AB31" s="933"/>
      <c r="AE31" s="94"/>
      <c r="AF31" s="94"/>
      <c r="AG31" s="94"/>
      <c r="AH31" s="94"/>
      <c r="AI31" s="94"/>
      <c r="AJ31" s="94"/>
      <c r="AK31" s="94"/>
      <c r="AL31" s="94"/>
      <c r="AM31" s="94"/>
    </row>
    <row r="32" spans="1:39" ht="28.5" customHeight="1">
      <c r="A32" s="1114"/>
      <c r="B32" s="1112"/>
      <c r="C32" s="90" t="s">
        <v>72</v>
      </c>
      <c r="D32" s="95"/>
      <c r="E32" s="95"/>
      <c r="F32" s="95"/>
      <c r="G32" s="95"/>
      <c r="H32" s="95"/>
      <c r="I32" s="95"/>
      <c r="J32" s="95"/>
      <c r="K32" s="95"/>
      <c r="L32" s="95"/>
      <c r="M32" s="95"/>
      <c r="N32" s="95"/>
      <c r="O32" s="95"/>
      <c r="P32" s="96">
        <f t="shared" ref="P32:P39" si="0">SUM(D32:O32)</f>
        <v>0</v>
      </c>
      <c r="Q32" s="1085" t="s">
        <v>269</v>
      </c>
      <c r="R32" s="1086"/>
      <c r="S32" s="1086"/>
      <c r="T32" s="1086"/>
      <c r="U32" s="1086"/>
      <c r="V32" s="1086"/>
      <c r="W32" s="1086"/>
      <c r="X32" s="1086"/>
      <c r="Y32" s="1086"/>
      <c r="Z32" s="1086"/>
      <c r="AA32" s="1086"/>
      <c r="AB32" s="1087"/>
      <c r="AC32" s="97"/>
      <c r="AE32" s="98"/>
      <c r="AF32" s="98"/>
      <c r="AG32" s="98"/>
      <c r="AH32" s="98"/>
      <c r="AI32" s="98"/>
      <c r="AJ32" s="98"/>
      <c r="AK32" s="98"/>
      <c r="AL32" s="98"/>
      <c r="AM32" s="98"/>
    </row>
    <row r="33" spans="1:29" ht="28.5" customHeight="1">
      <c r="A33" s="1115"/>
      <c r="B33" s="1113"/>
      <c r="C33" s="99" t="s">
        <v>84</v>
      </c>
      <c r="D33" s="100"/>
      <c r="E33" s="100"/>
      <c r="F33" s="100"/>
      <c r="G33" s="100"/>
      <c r="H33" s="100"/>
      <c r="I33" s="100"/>
      <c r="J33" s="100"/>
      <c r="K33" s="100"/>
      <c r="L33" s="100"/>
      <c r="M33" s="100"/>
      <c r="N33" s="100"/>
      <c r="O33" s="100"/>
      <c r="P33" s="101">
        <f t="shared" si="0"/>
        <v>0</v>
      </c>
      <c r="Q33" s="1088"/>
      <c r="R33" s="1089"/>
      <c r="S33" s="1089"/>
      <c r="T33" s="1089"/>
      <c r="U33" s="1089"/>
      <c r="V33" s="1089"/>
      <c r="W33" s="1089"/>
      <c r="X33" s="1089"/>
      <c r="Y33" s="1089"/>
      <c r="Z33" s="1089"/>
      <c r="AA33" s="1089"/>
      <c r="AB33" s="1090"/>
      <c r="AC33" s="97"/>
    </row>
    <row r="34" spans="1:29" ht="28.5" customHeight="1">
      <c r="A34" s="1115"/>
      <c r="B34" s="1093"/>
      <c r="C34" s="102" t="s">
        <v>72</v>
      </c>
      <c r="D34" s="103"/>
      <c r="E34" s="103"/>
      <c r="F34" s="103"/>
      <c r="G34" s="103"/>
      <c r="H34" s="103"/>
      <c r="I34" s="103"/>
      <c r="J34" s="103"/>
      <c r="K34" s="103"/>
      <c r="L34" s="103"/>
      <c r="M34" s="103"/>
      <c r="N34" s="103"/>
      <c r="O34" s="103"/>
      <c r="P34" s="101">
        <f t="shared" si="0"/>
        <v>0</v>
      </c>
      <c r="Q34" s="1066"/>
      <c r="R34" s="1067"/>
      <c r="S34" s="1067"/>
      <c r="T34" s="1067"/>
      <c r="U34" s="1067"/>
      <c r="V34" s="1067"/>
      <c r="W34" s="1067"/>
      <c r="X34" s="1067"/>
      <c r="Y34" s="1067"/>
      <c r="Z34" s="1067"/>
      <c r="AA34" s="1067"/>
      <c r="AB34" s="1068"/>
      <c r="AC34" s="97"/>
    </row>
    <row r="35" spans="1:29" ht="28.5" customHeight="1">
      <c r="A35" s="1115"/>
      <c r="B35" s="1113"/>
      <c r="C35" s="99" t="s">
        <v>84</v>
      </c>
      <c r="D35" s="100"/>
      <c r="E35" s="100"/>
      <c r="F35" s="100"/>
      <c r="G35" s="100"/>
      <c r="H35" s="100"/>
      <c r="I35" s="100"/>
      <c r="J35" s="100"/>
      <c r="K35" s="100"/>
      <c r="L35" s="104"/>
      <c r="M35" s="104"/>
      <c r="N35" s="104"/>
      <c r="O35" s="104"/>
      <c r="P35" s="101">
        <f t="shared" si="0"/>
        <v>0</v>
      </c>
      <c r="Q35" s="1069"/>
      <c r="R35" s="1070"/>
      <c r="S35" s="1070"/>
      <c r="T35" s="1070"/>
      <c r="U35" s="1070"/>
      <c r="V35" s="1070"/>
      <c r="W35" s="1070"/>
      <c r="X35" s="1070"/>
      <c r="Y35" s="1070"/>
      <c r="Z35" s="1070"/>
      <c r="AA35" s="1070"/>
      <c r="AB35" s="1071"/>
      <c r="AC35" s="97"/>
    </row>
    <row r="36" spans="1:29" ht="28.5" customHeight="1">
      <c r="A36" s="1110"/>
      <c r="B36" s="1093"/>
      <c r="C36" s="102" t="s">
        <v>72</v>
      </c>
      <c r="D36" s="103"/>
      <c r="E36" s="103"/>
      <c r="F36" s="103"/>
      <c r="G36" s="103"/>
      <c r="H36" s="103"/>
      <c r="I36" s="103"/>
      <c r="J36" s="103"/>
      <c r="K36" s="103"/>
      <c r="L36" s="103"/>
      <c r="M36" s="103"/>
      <c r="N36" s="103"/>
      <c r="O36" s="103"/>
      <c r="P36" s="101">
        <f t="shared" si="0"/>
        <v>0</v>
      </c>
      <c r="Q36" s="1066"/>
      <c r="R36" s="1067"/>
      <c r="S36" s="1067"/>
      <c r="T36" s="1067"/>
      <c r="U36" s="1067"/>
      <c r="V36" s="1067"/>
      <c r="W36" s="1067"/>
      <c r="X36" s="1067"/>
      <c r="Y36" s="1067"/>
      <c r="Z36" s="1067"/>
      <c r="AA36" s="1067"/>
      <c r="AB36" s="1068"/>
      <c r="AC36" s="97"/>
    </row>
    <row r="37" spans="1:29" ht="28.5" customHeight="1">
      <c r="A37" s="1111"/>
      <c r="B37" s="1113"/>
      <c r="C37" s="99" t="s">
        <v>84</v>
      </c>
      <c r="D37" s="100"/>
      <c r="E37" s="100"/>
      <c r="F37" s="100"/>
      <c r="G37" s="100"/>
      <c r="H37" s="100"/>
      <c r="I37" s="100"/>
      <c r="J37" s="100"/>
      <c r="K37" s="100"/>
      <c r="L37" s="104"/>
      <c r="M37" s="104"/>
      <c r="N37" s="104"/>
      <c r="O37" s="104"/>
      <c r="P37" s="101">
        <f t="shared" si="0"/>
        <v>0</v>
      </c>
      <c r="Q37" s="1069"/>
      <c r="R37" s="1070"/>
      <c r="S37" s="1070"/>
      <c r="T37" s="1070"/>
      <c r="U37" s="1070"/>
      <c r="V37" s="1070"/>
      <c r="W37" s="1070"/>
      <c r="X37" s="1070"/>
      <c r="Y37" s="1070"/>
      <c r="Z37" s="1070"/>
      <c r="AA37" s="1070"/>
      <c r="AB37" s="1071"/>
      <c r="AC37" s="97"/>
    </row>
    <row r="38" spans="1:29" ht="28.5" customHeight="1">
      <c r="A38" s="1077"/>
      <c r="B38" s="1093"/>
      <c r="C38" s="102" t="s">
        <v>72</v>
      </c>
      <c r="D38" s="103"/>
      <c r="E38" s="103"/>
      <c r="F38" s="103"/>
      <c r="G38" s="103"/>
      <c r="H38" s="103"/>
      <c r="I38" s="103"/>
      <c r="J38" s="103"/>
      <c r="K38" s="103"/>
      <c r="L38" s="103"/>
      <c r="M38" s="103"/>
      <c r="N38" s="103"/>
      <c r="O38" s="103"/>
      <c r="P38" s="101">
        <f t="shared" si="0"/>
        <v>0</v>
      </c>
      <c r="Q38" s="1066"/>
      <c r="R38" s="1067"/>
      <c r="S38" s="1067"/>
      <c r="T38" s="1067"/>
      <c r="U38" s="1067"/>
      <c r="V38" s="1067"/>
      <c r="W38" s="1067"/>
      <c r="X38" s="1067"/>
      <c r="Y38" s="1067"/>
      <c r="Z38" s="1067"/>
      <c r="AA38" s="1067"/>
      <c r="AB38" s="1068"/>
      <c r="AC38" s="97"/>
    </row>
    <row r="39" spans="1:29" ht="28.5" customHeight="1" thickBot="1">
      <c r="A39" s="1078"/>
      <c r="B39" s="1094"/>
      <c r="C39" s="91" t="s">
        <v>84</v>
      </c>
      <c r="D39" s="105"/>
      <c r="E39" s="105"/>
      <c r="F39" s="105"/>
      <c r="G39" s="105"/>
      <c r="H39" s="105"/>
      <c r="I39" s="105"/>
      <c r="J39" s="105"/>
      <c r="K39" s="105"/>
      <c r="L39" s="106"/>
      <c r="M39" s="106"/>
      <c r="N39" s="106"/>
      <c r="O39" s="106"/>
      <c r="P39" s="107">
        <f t="shared" si="0"/>
        <v>0</v>
      </c>
      <c r="Q39" s="1095"/>
      <c r="R39" s="1096"/>
      <c r="S39" s="1096"/>
      <c r="T39" s="1096"/>
      <c r="U39" s="1096"/>
      <c r="V39" s="1096"/>
      <c r="W39" s="1096"/>
      <c r="X39" s="1096"/>
      <c r="Y39" s="1096"/>
      <c r="Z39" s="1096"/>
      <c r="AA39" s="1096"/>
      <c r="AB39" s="1097"/>
      <c r="AC39" s="97"/>
    </row>
    <row r="40" spans="1:29">
      <c r="A40" s="50" t="s">
        <v>116</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Y19:Z19"/>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s>
  <dataValidations count="2">
    <dataValidation type="textLength" operator="lessThanOrEqual" allowBlank="1" showInputMessage="1" showErrorMessage="1" errorTitle="Máximo 2.000 caracteres" error="Máximo 2.000 caracteres" promptTitle="2.000 caracteres" sqref="Q24:AB24" xr:uid="{00000000-0002-0000-0300-000000000000}">
      <formula1>2000</formula1>
    </dataValidation>
    <dataValidation type="textLength" operator="lessThanOrEqual" allowBlank="1" showInputMessage="1" showErrorMessage="1" errorTitle="Máximo 2.000 caracteres" error="Máximo 2.000 caracteres" sqref="Q32:AB39 Q28 U28 Y28" xr:uid="{00000000-0002-0000-0300-000001000000}">
      <formula1>2000</formula1>
    </dataValidation>
  </dataValidations>
  <pageMargins left="0" right="0" top="0" bottom="0" header="0" footer="0"/>
  <pageSetup paperSize="41" scale="48"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D8E9E-1CFF-4525-ACA3-73D126EA464E}">
  <sheetPr>
    <pageSetUpPr fitToPage="1"/>
  </sheetPr>
  <dimension ref="A1:CG132"/>
  <sheetViews>
    <sheetView zoomScale="75" zoomScaleNormal="75" zoomScaleSheetLayoutView="40" workbookViewId="0">
      <selection activeCell="K12" sqref="K12"/>
    </sheetView>
  </sheetViews>
  <sheetFormatPr baseColWidth="10" defaultColWidth="19.42578125" defaultRowHeight="15"/>
  <cols>
    <col min="1" max="1" width="23.140625" style="108" bestFit="1" customWidth="1"/>
    <col min="2" max="2" width="14.42578125" style="108" bestFit="1" customWidth="1"/>
    <col min="3" max="3" width="18" style="108" bestFit="1" customWidth="1"/>
    <col min="4" max="4" width="10.85546875" style="108" bestFit="1" customWidth="1"/>
    <col min="5" max="5" width="13.42578125" style="108" bestFit="1" customWidth="1"/>
    <col min="6" max="6" width="10.85546875" style="108" customWidth="1"/>
    <col min="7" max="7" width="9.28515625" style="108" bestFit="1" customWidth="1"/>
    <col min="8" max="8" width="16.140625" style="108" bestFit="1" customWidth="1"/>
    <col min="9" max="9" width="10.85546875" style="108" customWidth="1"/>
    <col min="10" max="10" width="13.42578125" style="108" bestFit="1" customWidth="1"/>
    <col min="11" max="11" width="10.85546875" style="108" bestFit="1" customWidth="1"/>
    <col min="12" max="12" width="13.42578125" style="108" bestFit="1" customWidth="1"/>
    <col min="13" max="13" width="10.85546875" style="108" customWidth="1"/>
    <col min="14" max="14" width="10.140625" style="108" bestFit="1" customWidth="1"/>
    <col min="15" max="15" width="16.140625" style="108" bestFit="1" customWidth="1"/>
    <col min="16" max="16" width="10.85546875" style="108" customWidth="1"/>
    <col min="17" max="17" width="13.42578125" style="108" bestFit="1" customWidth="1"/>
    <col min="18" max="18" width="10.85546875" style="108" customWidth="1"/>
    <col min="19" max="19" width="13.42578125" style="108" customWidth="1"/>
    <col min="20" max="20" width="10.85546875" style="108" customWidth="1"/>
    <col min="21" max="21" width="11" style="108" customWidth="1"/>
    <col min="22" max="22" width="16.140625" style="108" customWidth="1"/>
    <col min="23" max="23" width="10.85546875" style="108" customWidth="1"/>
    <col min="24" max="24" width="13.42578125" style="108" customWidth="1"/>
    <col min="25" max="25" width="10.85546875" style="108" customWidth="1"/>
    <col min="26" max="26" width="13.42578125" style="108" customWidth="1"/>
    <col min="27" max="27" width="10.85546875" style="108" customWidth="1"/>
    <col min="28" max="28" width="10.140625" style="108" customWidth="1"/>
    <col min="29" max="29" width="16.140625" style="108" customWidth="1"/>
    <col min="30" max="30" width="7.7109375" style="108" bestFit="1" customWidth="1"/>
    <col min="31" max="31" width="19" style="108" bestFit="1" customWidth="1"/>
    <col min="32" max="32" width="9.42578125" style="108" customWidth="1"/>
    <col min="33" max="33" width="12.140625" style="108" customWidth="1"/>
    <col min="34" max="34" width="7.7109375" style="108" customWidth="1"/>
    <col min="35" max="35" width="7" style="108" customWidth="1"/>
    <col min="36" max="36" width="8.85546875" style="108" customWidth="1"/>
    <col min="37" max="37" width="7.5703125" style="108" customWidth="1"/>
    <col min="38" max="38" width="7.7109375" style="108" customWidth="1"/>
    <col min="39" max="39" width="11.140625" style="108" customWidth="1"/>
    <col min="40" max="40" width="8.140625" style="108" customWidth="1"/>
    <col min="41" max="41" width="14" style="108" customWidth="1"/>
    <col min="42" max="42" width="11.140625" style="108" customWidth="1"/>
    <col min="43" max="43" width="13.42578125" style="108" customWidth="1"/>
    <col min="44" max="44" width="3.140625" style="108" customWidth="1"/>
    <col min="45" max="45" width="22.5703125" style="108" bestFit="1" customWidth="1"/>
    <col min="46" max="46" width="10.85546875" style="108" bestFit="1" customWidth="1"/>
    <col min="47" max="47" width="13.42578125" style="108" bestFit="1" customWidth="1"/>
    <col min="48" max="48" width="10.85546875" style="108" bestFit="1" customWidth="1"/>
    <col min="49" max="49" width="25.7109375" style="108" bestFit="1" customWidth="1"/>
    <col min="50" max="50" width="10.85546875" style="108" bestFit="1" customWidth="1"/>
    <col min="51" max="51" width="9.28515625" style="108" bestFit="1" customWidth="1"/>
    <col min="52" max="52" width="16.140625" style="108" bestFit="1" customWidth="1"/>
    <col min="53" max="53" width="10.85546875" style="108" bestFit="1" customWidth="1"/>
    <col min="54" max="54" width="20.85546875" style="108" bestFit="1" customWidth="1"/>
    <col min="55" max="55" width="10.85546875" style="108" bestFit="1" customWidth="1"/>
    <col min="56" max="56" width="13.28515625" style="108" bestFit="1" customWidth="1"/>
    <col min="57" max="57" width="10.85546875" style="108" bestFit="1" customWidth="1"/>
    <col min="58" max="58" width="10.140625" style="108" bestFit="1" customWidth="1"/>
    <col min="59" max="59" width="19" style="108" bestFit="1" customWidth="1"/>
    <col min="60" max="60" width="10.85546875" style="108" bestFit="1" customWidth="1"/>
    <col min="61" max="61" width="13.42578125" style="108" bestFit="1" customWidth="1"/>
    <col min="62" max="68" width="10.85546875" style="108" customWidth="1"/>
    <col min="69" max="69" width="8.7109375" style="108" customWidth="1"/>
    <col min="70" max="70" width="8.85546875" style="108" customWidth="1"/>
    <col min="71" max="71" width="8.7109375" style="108" customWidth="1"/>
    <col min="72" max="72" width="10.85546875" style="108" bestFit="1" customWidth="1"/>
    <col min="73" max="73" width="21.28515625" style="108" bestFit="1" customWidth="1"/>
    <col min="74" max="74" width="8.5703125" style="108" customWidth="1"/>
    <col min="75" max="75" width="12.140625" style="108" customWidth="1"/>
    <col min="76" max="76" width="8.140625" style="108" customWidth="1"/>
    <col min="77" max="77" width="7" style="108" customWidth="1"/>
    <col min="78" max="78" width="8.85546875" style="108" customWidth="1"/>
    <col min="79" max="79" width="8.140625" style="108" customWidth="1"/>
    <col min="80" max="80" width="8.28515625" style="108" customWidth="1"/>
    <col min="81" max="81" width="14.5703125" style="108" customWidth="1"/>
    <col min="82" max="82" width="15" style="108" customWidth="1"/>
    <col min="83" max="83" width="15.42578125" style="108" customWidth="1"/>
    <col min="84" max="84" width="18.85546875" style="108" customWidth="1"/>
    <col min="85" max="85" width="15" style="108" customWidth="1"/>
    <col min="86" max="258" width="19.42578125" style="108"/>
    <col min="259" max="261" width="11" style="108" customWidth="1"/>
    <col min="262" max="262" width="16.140625" style="108" customWidth="1"/>
    <col min="263" max="263" width="12.42578125" style="108" customWidth="1"/>
    <col min="264" max="264" width="14.28515625" style="108" customWidth="1"/>
    <col min="265" max="265" width="12" style="108" customWidth="1"/>
    <col min="266" max="266" width="16.7109375" style="108" customWidth="1"/>
    <col min="267" max="267" width="12" style="108" customWidth="1"/>
    <col min="268" max="268" width="16.28515625" style="108" customWidth="1"/>
    <col min="269" max="269" width="12.28515625" style="108" customWidth="1"/>
    <col min="270" max="270" width="17.42578125" style="108" customWidth="1"/>
    <col min="271" max="271" width="12" style="108" customWidth="1"/>
    <col min="272" max="272" width="16.5703125" style="108" customWidth="1"/>
    <col min="273" max="273" width="13.28515625" style="108" customWidth="1"/>
    <col min="274" max="274" width="16.5703125" style="108" customWidth="1"/>
    <col min="275" max="275" width="13.7109375" style="108" customWidth="1"/>
    <col min="276" max="276" width="15.7109375" style="108" customWidth="1"/>
    <col min="277" max="277" width="12.5703125" style="108" customWidth="1"/>
    <col min="278" max="278" width="19.140625" style="108" customWidth="1"/>
    <col min="279" max="279" width="12.28515625" style="108" customWidth="1"/>
    <col min="280" max="280" width="17.140625" style="108" customWidth="1"/>
    <col min="281" max="281" width="12.5703125" style="108" customWidth="1"/>
    <col min="282" max="282" width="17.7109375" style="108" customWidth="1"/>
    <col min="283" max="283" width="12.140625" style="108" customWidth="1"/>
    <col min="284" max="284" width="30.5703125" style="108" customWidth="1"/>
    <col min="285" max="288" width="8.140625" style="108" customWidth="1"/>
    <col min="289" max="289" width="9.42578125" style="108" customWidth="1"/>
    <col min="290" max="290" width="8.140625" style="108" customWidth="1"/>
    <col min="291" max="295" width="7.85546875" style="108" customWidth="1"/>
    <col min="296" max="296" width="11.28515625" style="108" customWidth="1"/>
    <col min="297" max="297" width="2.28515625" style="108" customWidth="1"/>
    <col min="298" max="298" width="19.42578125" style="108"/>
    <col min="299" max="324" width="11.28515625" style="108" customWidth="1"/>
    <col min="325" max="336" width="8.85546875" style="108" customWidth="1"/>
    <col min="337" max="514" width="19.42578125" style="108"/>
    <col min="515" max="517" width="11" style="108" customWidth="1"/>
    <col min="518" max="518" width="16.140625" style="108" customWidth="1"/>
    <col min="519" max="519" width="12.42578125" style="108" customWidth="1"/>
    <col min="520" max="520" width="14.28515625" style="108" customWidth="1"/>
    <col min="521" max="521" width="12" style="108" customWidth="1"/>
    <col min="522" max="522" width="16.7109375" style="108" customWidth="1"/>
    <col min="523" max="523" width="12" style="108" customWidth="1"/>
    <col min="524" max="524" width="16.28515625" style="108" customWidth="1"/>
    <col min="525" max="525" width="12.28515625" style="108" customWidth="1"/>
    <col min="526" max="526" width="17.42578125" style="108" customWidth="1"/>
    <col min="527" max="527" width="12" style="108" customWidth="1"/>
    <col min="528" max="528" width="16.5703125" style="108" customWidth="1"/>
    <col min="529" max="529" width="13.28515625" style="108" customWidth="1"/>
    <col min="530" max="530" width="16.5703125" style="108" customWidth="1"/>
    <col min="531" max="531" width="13.7109375" style="108" customWidth="1"/>
    <col min="532" max="532" width="15.7109375" style="108" customWidth="1"/>
    <col min="533" max="533" width="12.5703125" style="108" customWidth="1"/>
    <col min="534" max="534" width="19.140625" style="108" customWidth="1"/>
    <col min="535" max="535" width="12.28515625" style="108" customWidth="1"/>
    <col min="536" max="536" width="17.140625" style="108" customWidth="1"/>
    <col min="537" max="537" width="12.5703125" style="108" customWidth="1"/>
    <col min="538" max="538" width="17.7109375" style="108" customWidth="1"/>
    <col min="539" max="539" width="12.140625" style="108" customWidth="1"/>
    <col min="540" max="540" width="30.5703125" style="108" customWidth="1"/>
    <col min="541" max="544" width="8.140625" style="108" customWidth="1"/>
    <col min="545" max="545" width="9.42578125" style="108" customWidth="1"/>
    <col min="546" max="546" width="8.140625" style="108" customWidth="1"/>
    <col min="547" max="551" width="7.85546875" style="108" customWidth="1"/>
    <col min="552" max="552" width="11.28515625" style="108" customWidth="1"/>
    <col min="553" max="553" width="2.28515625" style="108" customWidth="1"/>
    <col min="554" max="554" width="19.42578125" style="108"/>
    <col min="555" max="580" width="11.28515625" style="108" customWidth="1"/>
    <col min="581" max="592" width="8.85546875" style="108" customWidth="1"/>
    <col min="593" max="770" width="19.42578125" style="108"/>
    <col min="771" max="773" width="11" style="108" customWidth="1"/>
    <col min="774" max="774" width="16.140625" style="108" customWidth="1"/>
    <col min="775" max="775" width="12.42578125" style="108" customWidth="1"/>
    <col min="776" max="776" width="14.28515625" style="108" customWidth="1"/>
    <col min="777" max="777" width="12" style="108" customWidth="1"/>
    <col min="778" max="778" width="16.7109375" style="108" customWidth="1"/>
    <col min="779" max="779" width="12" style="108" customWidth="1"/>
    <col min="780" max="780" width="16.28515625" style="108" customWidth="1"/>
    <col min="781" max="781" width="12.28515625" style="108" customWidth="1"/>
    <col min="782" max="782" width="17.42578125" style="108" customWidth="1"/>
    <col min="783" max="783" width="12" style="108" customWidth="1"/>
    <col min="784" max="784" width="16.5703125" style="108" customWidth="1"/>
    <col min="785" max="785" width="13.28515625" style="108" customWidth="1"/>
    <col min="786" max="786" width="16.5703125" style="108" customWidth="1"/>
    <col min="787" max="787" width="13.7109375" style="108" customWidth="1"/>
    <col min="788" max="788" width="15.7109375" style="108" customWidth="1"/>
    <col min="789" max="789" width="12.5703125" style="108" customWidth="1"/>
    <col min="790" max="790" width="19.140625" style="108" customWidth="1"/>
    <col min="791" max="791" width="12.28515625" style="108" customWidth="1"/>
    <col min="792" max="792" width="17.140625" style="108" customWidth="1"/>
    <col min="793" max="793" width="12.5703125" style="108" customWidth="1"/>
    <col min="794" max="794" width="17.7109375" style="108" customWidth="1"/>
    <col min="795" max="795" width="12.140625" style="108" customWidth="1"/>
    <col min="796" max="796" width="30.5703125" style="108" customWidth="1"/>
    <col min="797" max="800" width="8.140625" style="108" customWidth="1"/>
    <col min="801" max="801" width="9.42578125" style="108" customWidth="1"/>
    <col min="802" max="802" width="8.140625" style="108" customWidth="1"/>
    <col min="803" max="807" width="7.85546875" style="108" customWidth="1"/>
    <col min="808" max="808" width="11.28515625" style="108" customWidth="1"/>
    <col min="809" max="809" width="2.28515625" style="108" customWidth="1"/>
    <col min="810" max="810" width="19.42578125" style="108"/>
    <col min="811" max="836" width="11.28515625" style="108" customWidth="1"/>
    <col min="837" max="848" width="8.85546875" style="108" customWidth="1"/>
    <col min="849" max="1026" width="19.42578125" style="108"/>
    <col min="1027" max="1029" width="11" style="108" customWidth="1"/>
    <col min="1030" max="1030" width="16.140625" style="108" customWidth="1"/>
    <col min="1031" max="1031" width="12.42578125" style="108" customWidth="1"/>
    <col min="1032" max="1032" width="14.28515625" style="108" customWidth="1"/>
    <col min="1033" max="1033" width="12" style="108" customWidth="1"/>
    <col min="1034" max="1034" width="16.7109375" style="108" customWidth="1"/>
    <col min="1035" max="1035" width="12" style="108" customWidth="1"/>
    <col min="1036" max="1036" width="16.28515625" style="108" customWidth="1"/>
    <col min="1037" max="1037" width="12.28515625" style="108" customWidth="1"/>
    <col min="1038" max="1038" width="17.42578125" style="108" customWidth="1"/>
    <col min="1039" max="1039" width="12" style="108" customWidth="1"/>
    <col min="1040" max="1040" width="16.5703125" style="108" customWidth="1"/>
    <col min="1041" max="1041" width="13.28515625" style="108" customWidth="1"/>
    <col min="1042" max="1042" width="16.5703125" style="108" customWidth="1"/>
    <col min="1043" max="1043" width="13.7109375" style="108" customWidth="1"/>
    <col min="1044" max="1044" width="15.7109375" style="108" customWidth="1"/>
    <col min="1045" max="1045" width="12.5703125" style="108" customWidth="1"/>
    <col min="1046" max="1046" width="19.140625" style="108" customWidth="1"/>
    <col min="1047" max="1047" width="12.28515625" style="108" customWidth="1"/>
    <col min="1048" max="1048" width="17.140625" style="108" customWidth="1"/>
    <col min="1049" max="1049" width="12.5703125" style="108" customWidth="1"/>
    <col min="1050" max="1050" width="17.7109375" style="108" customWidth="1"/>
    <col min="1051" max="1051" width="12.140625" style="108" customWidth="1"/>
    <col min="1052" max="1052" width="30.5703125" style="108" customWidth="1"/>
    <col min="1053" max="1056" width="8.140625" style="108" customWidth="1"/>
    <col min="1057" max="1057" width="9.42578125" style="108" customWidth="1"/>
    <col min="1058" max="1058" width="8.140625" style="108" customWidth="1"/>
    <col min="1059" max="1063" width="7.85546875" style="108" customWidth="1"/>
    <col min="1064" max="1064" width="11.28515625" style="108" customWidth="1"/>
    <col min="1065" max="1065" width="2.28515625" style="108" customWidth="1"/>
    <col min="1066" max="1066" width="19.42578125" style="108"/>
    <col min="1067" max="1092" width="11.28515625" style="108" customWidth="1"/>
    <col min="1093" max="1104" width="8.85546875" style="108" customWidth="1"/>
    <col min="1105" max="1282" width="19.42578125" style="108"/>
    <col min="1283" max="1285" width="11" style="108" customWidth="1"/>
    <col min="1286" max="1286" width="16.140625" style="108" customWidth="1"/>
    <col min="1287" max="1287" width="12.42578125" style="108" customWidth="1"/>
    <col min="1288" max="1288" width="14.28515625" style="108" customWidth="1"/>
    <col min="1289" max="1289" width="12" style="108" customWidth="1"/>
    <col min="1290" max="1290" width="16.7109375" style="108" customWidth="1"/>
    <col min="1291" max="1291" width="12" style="108" customWidth="1"/>
    <col min="1292" max="1292" width="16.28515625" style="108" customWidth="1"/>
    <col min="1293" max="1293" width="12.28515625" style="108" customWidth="1"/>
    <col min="1294" max="1294" width="17.42578125" style="108" customWidth="1"/>
    <col min="1295" max="1295" width="12" style="108" customWidth="1"/>
    <col min="1296" max="1296" width="16.5703125" style="108" customWidth="1"/>
    <col min="1297" max="1297" width="13.28515625" style="108" customWidth="1"/>
    <col min="1298" max="1298" width="16.5703125" style="108" customWidth="1"/>
    <col min="1299" max="1299" width="13.7109375" style="108" customWidth="1"/>
    <col min="1300" max="1300" width="15.7109375" style="108" customWidth="1"/>
    <col min="1301" max="1301" width="12.5703125" style="108" customWidth="1"/>
    <col min="1302" max="1302" width="19.140625" style="108" customWidth="1"/>
    <col min="1303" max="1303" width="12.28515625" style="108" customWidth="1"/>
    <col min="1304" max="1304" width="17.140625" style="108" customWidth="1"/>
    <col min="1305" max="1305" width="12.5703125" style="108" customWidth="1"/>
    <col min="1306" max="1306" width="17.7109375" style="108" customWidth="1"/>
    <col min="1307" max="1307" width="12.140625" style="108" customWidth="1"/>
    <col min="1308" max="1308" width="30.5703125" style="108" customWidth="1"/>
    <col min="1309" max="1312" width="8.140625" style="108" customWidth="1"/>
    <col min="1313" max="1313" width="9.42578125" style="108" customWidth="1"/>
    <col min="1314" max="1314" width="8.140625" style="108" customWidth="1"/>
    <col min="1315" max="1319" width="7.85546875" style="108" customWidth="1"/>
    <col min="1320" max="1320" width="11.28515625" style="108" customWidth="1"/>
    <col min="1321" max="1321" width="2.28515625" style="108" customWidth="1"/>
    <col min="1322" max="1322" width="19.42578125" style="108"/>
    <col min="1323" max="1348" width="11.28515625" style="108" customWidth="1"/>
    <col min="1349" max="1360" width="8.85546875" style="108" customWidth="1"/>
    <col min="1361" max="1538" width="19.42578125" style="108"/>
    <col min="1539" max="1541" width="11" style="108" customWidth="1"/>
    <col min="1542" max="1542" width="16.140625" style="108" customWidth="1"/>
    <col min="1543" max="1543" width="12.42578125" style="108" customWidth="1"/>
    <col min="1544" max="1544" width="14.28515625" style="108" customWidth="1"/>
    <col min="1545" max="1545" width="12" style="108" customWidth="1"/>
    <col min="1546" max="1546" width="16.7109375" style="108" customWidth="1"/>
    <col min="1547" max="1547" width="12" style="108" customWidth="1"/>
    <col min="1548" max="1548" width="16.28515625" style="108" customWidth="1"/>
    <col min="1549" max="1549" width="12.28515625" style="108" customWidth="1"/>
    <col min="1550" max="1550" width="17.42578125" style="108" customWidth="1"/>
    <col min="1551" max="1551" width="12" style="108" customWidth="1"/>
    <col min="1552" max="1552" width="16.5703125" style="108" customWidth="1"/>
    <col min="1553" max="1553" width="13.28515625" style="108" customWidth="1"/>
    <col min="1554" max="1554" width="16.5703125" style="108" customWidth="1"/>
    <col min="1555" max="1555" width="13.7109375" style="108" customWidth="1"/>
    <col min="1556" max="1556" width="15.7109375" style="108" customWidth="1"/>
    <col min="1557" max="1557" width="12.5703125" style="108" customWidth="1"/>
    <col min="1558" max="1558" width="19.140625" style="108" customWidth="1"/>
    <col min="1559" max="1559" width="12.28515625" style="108" customWidth="1"/>
    <col min="1560" max="1560" width="17.140625" style="108" customWidth="1"/>
    <col min="1561" max="1561" width="12.5703125" style="108" customWidth="1"/>
    <col min="1562" max="1562" width="17.7109375" style="108" customWidth="1"/>
    <col min="1563" max="1563" width="12.140625" style="108" customWidth="1"/>
    <col min="1564" max="1564" width="30.5703125" style="108" customWidth="1"/>
    <col min="1565" max="1568" width="8.140625" style="108" customWidth="1"/>
    <col min="1569" max="1569" width="9.42578125" style="108" customWidth="1"/>
    <col min="1570" max="1570" width="8.140625" style="108" customWidth="1"/>
    <col min="1571" max="1575" width="7.85546875" style="108" customWidth="1"/>
    <col min="1576" max="1576" width="11.28515625" style="108" customWidth="1"/>
    <col min="1577" max="1577" width="2.28515625" style="108" customWidth="1"/>
    <col min="1578" max="1578" width="19.42578125" style="108"/>
    <col min="1579" max="1604" width="11.28515625" style="108" customWidth="1"/>
    <col min="1605" max="1616" width="8.85546875" style="108" customWidth="1"/>
    <col min="1617" max="1794" width="19.42578125" style="108"/>
    <col min="1795" max="1797" width="11" style="108" customWidth="1"/>
    <col min="1798" max="1798" width="16.140625" style="108" customWidth="1"/>
    <col min="1799" max="1799" width="12.42578125" style="108" customWidth="1"/>
    <col min="1800" max="1800" width="14.28515625" style="108" customWidth="1"/>
    <col min="1801" max="1801" width="12" style="108" customWidth="1"/>
    <col min="1802" max="1802" width="16.7109375" style="108" customWidth="1"/>
    <col min="1803" max="1803" width="12" style="108" customWidth="1"/>
    <col min="1804" max="1804" width="16.28515625" style="108" customWidth="1"/>
    <col min="1805" max="1805" width="12.28515625" style="108" customWidth="1"/>
    <col min="1806" max="1806" width="17.42578125" style="108" customWidth="1"/>
    <col min="1807" max="1807" width="12" style="108" customWidth="1"/>
    <col min="1808" max="1808" width="16.5703125" style="108" customWidth="1"/>
    <col min="1809" max="1809" width="13.28515625" style="108" customWidth="1"/>
    <col min="1810" max="1810" width="16.5703125" style="108" customWidth="1"/>
    <col min="1811" max="1811" width="13.7109375" style="108" customWidth="1"/>
    <col min="1812" max="1812" width="15.7109375" style="108" customWidth="1"/>
    <col min="1813" max="1813" width="12.5703125" style="108" customWidth="1"/>
    <col min="1814" max="1814" width="19.140625" style="108" customWidth="1"/>
    <col min="1815" max="1815" width="12.28515625" style="108" customWidth="1"/>
    <col min="1816" max="1816" width="17.140625" style="108" customWidth="1"/>
    <col min="1817" max="1817" width="12.5703125" style="108" customWidth="1"/>
    <col min="1818" max="1818" width="17.7109375" style="108" customWidth="1"/>
    <col min="1819" max="1819" width="12.140625" style="108" customWidth="1"/>
    <col min="1820" max="1820" width="30.5703125" style="108" customWidth="1"/>
    <col min="1821" max="1824" width="8.140625" style="108" customWidth="1"/>
    <col min="1825" max="1825" width="9.42578125" style="108" customWidth="1"/>
    <col min="1826" max="1826" width="8.140625" style="108" customWidth="1"/>
    <col min="1827" max="1831" width="7.85546875" style="108" customWidth="1"/>
    <col min="1832" max="1832" width="11.28515625" style="108" customWidth="1"/>
    <col min="1833" max="1833" width="2.28515625" style="108" customWidth="1"/>
    <col min="1834" max="1834" width="19.42578125" style="108"/>
    <col min="1835" max="1860" width="11.28515625" style="108" customWidth="1"/>
    <col min="1861" max="1872" width="8.85546875" style="108" customWidth="1"/>
    <col min="1873" max="2050" width="19.42578125" style="108"/>
    <col min="2051" max="2053" width="11" style="108" customWidth="1"/>
    <col min="2054" max="2054" width="16.140625" style="108" customWidth="1"/>
    <col min="2055" max="2055" width="12.42578125" style="108" customWidth="1"/>
    <col min="2056" max="2056" width="14.28515625" style="108" customWidth="1"/>
    <col min="2057" max="2057" width="12" style="108" customWidth="1"/>
    <col min="2058" max="2058" width="16.7109375" style="108" customWidth="1"/>
    <col min="2059" max="2059" width="12" style="108" customWidth="1"/>
    <col min="2060" max="2060" width="16.28515625" style="108" customWidth="1"/>
    <col min="2061" max="2061" width="12.28515625" style="108" customWidth="1"/>
    <col min="2062" max="2062" width="17.42578125" style="108" customWidth="1"/>
    <col min="2063" max="2063" width="12" style="108" customWidth="1"/>
    <col min="2064" max="2064" width="16.5703125" style="108" customWidth="1"/>
    <col min="2065" max="2065" width="13.28515625" style="108" customWidth="1"/>
    <col min="2066" max="2066" width="16.5703125" style="108" customWidth="1"/>
    <col min="2067" max="2067" width="13.7109375" style="108" customWidth="1"/>
    <col min="2068" max="2068" width="15.7109375" style="108" customWidth="1"/>
    <col min="2069" max="2069" width="12.5703125" style="108" customWidth="1"/>
    <col min="2070" max="2070" width="19.140625" style="108" customWidth="1"/>
    <col min="2071" max="2071" width="12.28515625" style="108" customWidth="1"/>
    <col min="2072" max="2072" width="17.140625" style="108" customWidth="1"/>
    <col min="2073" max="2073" width="12.5703125" style="108" customWidth="1"/>
    <col min="2074" max="2074" width="17.7109375" style="108" customWidth="1"/>
    <col min="2075" max="2075" width="12.140625" style="108" customWidth="1"/>
    <col min="2076" max="2076" width="30.5703125" style="108" customWidth="1"/>
    <col min="2077" max="2080" width="8.140625" style="108" customWidth="1"/>
    <col min="2081" max="2081" width="9.42578125" style="108" customWidth="1"/>
    <col min="2082" max="2082" width="8.140625" style="108" customWidth="1"/>
    <col min="2083" max="2087" width="7.85546875" style="108" customWidth="1"/>
    <col min="2088" max="2088" width="11.28515625" style="108" customWidth="1"/>
    <col min="2089" max="2089" width="2.28515625" style="108" customWidth="1"/>
    <col min="2090" max="2090" width="19.42578125" style="108"/>
    <col min="2091" max="2116" width="11.28515625" style="108" customWidth="1"/>
    <col min="2117" max="2128" width="8.85546875" style="108" customWidth="1"/>
    <col min="2129" max="2306" width="19.42578125" style="108"/>
    <col min="2307" max="2309" width="11" style="108" customWidth="1"/>
    <col min="2310" max="2310" width="16.140625" style="108" customWidth="1"/>
    <col min="2311" max="2311" width="12.42578125" style="108" customWidth="1"/>
    <col min="2312" max="2312" width="14.28515625" style="108" customWidth="1"/>
    <col min="2313" max="2313" width="12" style="108" customWidth="1"/>
    <col min="2314" max="2314" width="16.7109375" style="108" customWidth="1"/>
    <col min="2315" max="2315" width="12" style="108" customWidth="1"/>
    <col min="2316" max="2316" width="16.28515625" style="108" customWidth="1"/>
    <col min="2317" max="2317" width="12.28515625" style="108" customWidth="1"/>
    <col min="2318" max="2318" width="17.42578125" style="108" customWidth="1"/>
    <col min="2319" max="2319" width="12" style="108" customWidth="1"/>
    <col min="2320" max="2320" width="16.5703125" style="108" customWidth="1"/>
    <col min="2321" max="2321" width="13.28515625" style="108" customWidth="1"/>
    <col min="2322" max="2322" width="16.5703125" style="108" customWidth="1"/>
    <col min="2323" max="2323" width="13.7109375" style="108" customWidth="1"/>
    <col min="2324" max="2324" width="15.7109375" style="108" customWidth="1"/>
    <col min="2325" max="2325" width="12.5703125" style="108" customWidth="1"/>
    <col min="2326" max="2326" width="19.140625" style="108" customWidth="1"/>
    <col min="2327" max="2327" width="12.28515625" style="108" customWidth="1"/>
    <col min="2328" max="2328" width="17.140625" style="108" customWidth="1"/>
    <col min="2329" max="2329" width="12.5703125" style="108" customWidth="1"/>
    <col min="2330" max="2330" width="17.7109375" style="108" customWidth="1"/>
    <col min="2331" max="2331" width="12.140625" style="108" customWidth="1"/>
    <col min="2332" max="2332" width="30.5703125" style="108" customWidth="1"/>
    <col min="2333" max="2336" width="8.140625" style="108" customWidth="1"/>
    <col min="2337" max="2337" width="9.42578125" style="108" customWidth="1"/>
    <col min="2338" max="2338" width="8.140625" style="108" customWidth="1"/>
    <col min="2339" max="2343" width="7.85546875" style="108" customWidth="1"/>
    <col min="2344" max="2344" width="11.28515625" style="108" customWidth="1"/>
    <col min="2345" max="2345" width="2.28515625" style="108" customWidth="1"/>
    <col min="2346" max="2346" width="19.42578125" style="108"/>
    <col min="2347" max="2372" width="11.28515625" style="108" customWidth="1"/>
    <col min="2373" max="2384" width="8.85546875" style="108" customWidth="1"/>
    <col min="2385" max="2562" width="19.42578125" style="108"/>
    <col min="2563" max="2565" width="11" style="108" customWidth="1"/>
    <col min="2566" max="2566" width="16.140625" style="108" customWidth="1"/>
    <col min="2567" max="2567" width="12.42578125" style="108" customWidth="1"/>
    <col min="2568" max="2568" width="14.28515625" style="108" customWidth="1"/>
    <col min="2569" max="2569" width="12" style="108" customWidth="1"/>
    <col min="2570" max="2570" width="16.7109375" style="108" customWidth="1"/>
    <col min="2571" max="2571" width="12" style="108" customWidth="1"/>
    <col min="2572" max="2572" width="16.28515625" style="108" customWidth="1"/>
    <col min="2573" max="2573" width="12.28515625" style="108" customWidth="1"/>
    <col min="2574" max="2574" width="17.42578125" style="108" customWidth="1"/>
    <col min="2575" max="2575" width="12" style="108" customWidth="1"/>
    <col min="2576" max="2576" width="16.5703125" style="108" customWidth="1"/>
    <col min="2577" max="2577" width="13.28515625" style="108" customWidth="1"/>
    <col min="2578" max="2578" width="16.5703125" style="108" customWidth="1"/>
    <col min="2579" max="2579" width="13.7109375" style="108" customWidth="1"/>
    <col min="2580" max="2580" width="15.7109375" style="108" customWidth="1"/>
    <col min="2581" max="2581" width="12.5703125" style="108" customWidth="1"/>
    <col min="2582" max="2582" width="19.140625" style="108" customWidth="1"/>
    <col min="2583" max="2583" width="12.28515625" style="108" customWidth="1"/>
    <col min="2584" max="2584" width="17.140625" style="108" customWidth="1"/>
    <col min="2585" max="2585" width="12.5703125" style="108" customWidth="1"/>
    <col min="2586" max="2586" width="17.7109375" style="108" customWidth="1"/>
    <col min="2587" max="2587" width="12.140625" style="108" customWidth="1"/>
    <col min="2588" max="2588" width="30.5703125" style="108" customWidth="1"/>
    <col min="2589" max="2592" width="8.140625" style="108" customWidth="1"/>
    <col min="2593" max="2593" width="9.42578125" style="108" customWidth="1"/>
    <col min="2594" max="2594" width="8.140625" style="108" customWidth="1"/>
    <col min="2595" max="2599" width="7.85546875" style="108" customWidth="1"/>
    <col min="2600" max="2600" width="11.28515625" style="108" customWidth="1"/>
    <col min="2601" max="2601" width="2.28515625" style="108" customWidth="1"/>
    <col min="2602" max="2602" width="19.42578125" style="108"/>
    <col min="2603" max="2628" width="11.28515625" style="108" customWidth="1"/>
    <col min="2629" max="2640" width="8.85546875" style="108" customWidth="1"/>
    <col min="2641" max="2818" width="19.42578125" style="108"/>
    <col min="2819" max="2821" width="11" style="108" customWidth="1"/>
    <col min="2822" max="2822" width="16.140625" style="108" customWidth="1"/>
    <col min="2823" max="2823" width="12.42578125" style="108" customWidth="1"/>
    <col min="2824" max="2824" width="14.28515625" style="108" customWidth="1"/>
    <col min="2825" max="2825" width="12" style="108" customWidth="1"/>
    <col min="2826" max="2826" width="16.7109375" style="108" customWidth="1"/>
    <col min="2827" max="2827" width="12" style="108" customWidth="1"/>
    <col min="2828" max="2828" width="16.28515625" style="108" customWidth="1"/>
    <col min="2829" max="2829" width="12.28515625" style="108" customWidth="1"/>
    <col min="2830" max="2830" width="17.42578125" style="108" customWidth="1"/>
    <col min="2831" max="2831" width="12" style="108" customWidth="1"/>
    <col min="2832" max="2832" width="16.5703125" style="108" customWidth="1"/>
    <col min="2833" max="2833" width="13.28515625" style="108" customWidth="1"/>
    <col min="2834" max="2834" width="16.5703125" style="108" customWidth="1"/>
    <col min="2835" max="2835" width="13.7109375" style="108" customWidth="1"/>
    <col min="2836" max="2836" width="15.7109375" style="108" customWidth="1"/>
    <col min="2837" max="2837" width="12.5703125" style="108" customWidth="1"/>
    <col min="2838" max="2838" width="19.140625" style="108" customWidth="1"/>
    <col min="2839" max="2839" width="12.28515625" style="108" customWidth="1"/>
    <col min="2840" max="2840" width="17.140625" style="108" customWidth="1"/>
    <col min="2841" max="2841" width="12.5703125" style="108" customWidth="1"/>
    <col min="2842" max="2842" width="17.7109375" style="108" customWidth="1"/>
    <col min="2843" max="2843" width="12.140625" style="108" customWidth="1"/>
    <col min="2844" max="2844" width="30.5703125" style="108" customWidth="1"/>
    <col min="2845" max="2848" width="8.140625" style="108" customWidth="1"/>
    <col min="2849" max="2849" width="9.42578125" style="108" customWidth="1"/>
    <col min="2850" max="2850" width="8.140625" style="108" customWidth="1"/>
    <col min="2851" max="2855" width="7.85546875" style="108" customWidth="1"/>
    <col min="2856" max="2856" width="11.28515625" style="108" customWidth="1"/>
    <col min="2857" max="2857" width="2.28515625" style="108" customWidth="1"/>
    <col min="2858" max="2858" width="19.42578125" style="108"/>
    <col min="2859" max="2884" width="11.28515625" style="108" customWidth="1"/>
    <col min="2885" max="2896" width="8.85546875" style="108" customWidth="1"/>
    <col min="2897" max="3074" width="19.42578125" style="108"/>
    <col min="3075" max="3077" width="11" style="108" customWidth="1"/>
    <col min="3078" max="3078" width="16.140625" style="108" customWidth="1"/>
    <col min="3079" max="3079" width="12.42578125" style="108" customWidth="1"/>
    <col min="3080" max="3080" width="14.28515625" style="108" customWidth="1"/>
    <col min="3081" max="3081" width="12" style="108" customWidth="1"/>
    <col min="3082" max="3082" width="16.7109375" style="108" customWidth="1"/>
    <col min="3083" max="3083" width="12" style="108" customWidth="1"/>
    <col min="3084" max="3084" width="16.28515625" style="108" customWidth="1"/>
    <col min="3085" max="3085" width="12.28515625" style="108" customWidth="1"/>
    <col min="3086" max="3086" width="17.42578125" style="108" customWidth="1"/>
    <col min="3087" max="3087" width="12" style="108" customWidth="1"/>
    <col min="3088" max="3088" width="16.5703125" style="108" customWidth="1"/>
    <col min="3089" max="3089" width="13.28515625" style="108" customWidth="1"/>
    <col min="3090" max="3090" width="16.5703125" style="108" customWidth="1"/>
    <col min="3091" max="3091" width="13.7109375" style="108" customWidth="1"/>
    <col min="3092" max="3092" width="15.7109375" style="108" customWidth="1"/>
    <col min="3093" max="3093" width="12.5703125" style="108" customWidth="1"/>
    <col min="3094" max="3094" width="19.140625" style="108" customWidth="1"/>
    <col min="3095" max="3095" width="12.28515625" style="108" customWidth="1"/>
    <col min="3096" max="3096" width="17.140625" style="108" customWidth="1"/>
    <col min="3097" max="3097" width="12.5703125" style="108" customWidth="1"/>
    <col min="3098" max="3098" width="17.7109375" style="108" customWidth="1"/>
    <col min="3099" max="3099" width="12.140625" style="108" customWidth="1"/>
    <col min="3100" max="3100" width="30.5703125" style="108" customWidth="1"/>
    <col min="3101" max="3104" width="8.140625" style="108" customWidth="1"/>
    <col min="3105" max="3105" width="9.42578125" style="108" customWidth="1"/>
    <col min="3106" max="3106" width="8.140625" style="108" customWidth="1"/>
    <col min="3107" max="3111" width="7.85546875" style="108" customWidth="1"/>
    <col min="3112" max="3112" width="11.28515625" style="108" customWidth="1"/>
    <col min="3113" max="3113" width="2.28515625" style="108" customWidth="1"/>
    <col min="3114" max="3114" width="19.42578125" style="108"/>
    <col min="3115" max="3140" width="11.28515625" style="108" customWidth="1"/>
    <col min="3141" max="3152" width="8.85546875" style="108" customWidth="1"/>
    <col min="3153" max="3330" width="19.42578125" style="108"/>
    <col min="3331" max="3333" width="11" style="108" customWidth="1"/>
    <col min="3334" max="3334" width="16.140625" style="108" customWidth="1"/>
    <col min="3335" max="3335" width="12.42578125" style="108" customWidth="1"/>
    <col min="3336" max="3336" width="14.28515625" style="108" customWidth="1"/>
    <col min="3337" max="3337" width="12" style="108" customWidth="1"/>
    <col min="3338" max="3338" width="16.7109375" style="108" customWidth="1"/>
    <col min="3339" max="3339" width="12" style="108" customWidth="1"/>
    <col min="3340" max="3340" width="16.28515625" style="108" customWidth="1"/>
    <col min="3341" max="3341" width="12.28515625" style="108" customWidth="1"/>
    <col min="3342" max="3342" width="17.42578125" style="108" customWidth="1"/>
    <col min="3343" max="3343" width="12" style="108" customWidth="1"/>
    <col min="3344" max="3344" width="16.5703125" style="108" customWidth="1"/>
    <col min="3345" max="3345" width="13.28515625" style="108" customWidth="1"/>
    <col min="3346" max="3346" width="16.5703125" style="108" customWidth="1"/>
    <col min="3347" max="3347" width="13.7109375" style="108" customWidth="1"/>
    <col min="3348" max="3348" width="15.7109375" style="108" customWidth="1"/>
    <col min="3349" max="3349" width="12.5703125" style="108" customWidth="1"/>
    <col min="3350" max="3350" width="19.140625" style="108" customWidth="1"/>
    <col min="3351" max="3351" width="12.28515625" style="108" customWidth="1"/>
    <col min="3352" max="3352" width="17.140625" style="108" customWidth="1"/>
    <col min="3353" max="3353" width="12.5703125" style="108" customWidth="1"/>
    <col min="3354" max="3354" width="17.7109375" style="108" customWidth="1"/>
    <col min="3355" max="3355" width="12.140625" style="108" customWidth="1"/>
    <col min="3356" max="3356" width="30.5703125" style="108" customWidth="1"/>
    <col min="3357" max="3360" width="8.140625" style="108" customWidth="1"/>
    <col min="3361" max="3361" width="9.42578125" style="108" customWidth="1"/>
    <col min="3362" max="3362" width="8.140625" style="108" customWidth="1"/>
    <col min="3363" max="3367" width="7.85546875" style="108" customWidth="1"/>
    <col min="3368" max="3368" width="11.28515625" style="108" customWidth="1"/>
    <col min="3369" max="3369" width="2.28515625" style="108" customWidth="1"/>
    <col min="3370" max="3370" width="19.42578125" style="108"/>
    <col min="3371" max="3396" width="11.28515625" style="108" customWidth="1"/>
    <col min="3397" max="3408" width="8.85546875" style="108" customWidth="1"/>
    <col min="3409" max="3586" width="19.42578125" style="108"/>
    <col min="3587" max="3589" width="11" style="108" customWidth="1"/>
    <col min="3590" max="3590" width="16.140625" style="108" customWidth="1"/>
    <col min="3591" max="3591" width="12.42578125" style="108" customWidth="1"/>
    <col min="3592" max="3592" width="14.28515625" style="108" customWidth="1"/>
    <col min="3593" max="3593" width="12" style="108" customWidth="1"/>
    <col min="3594" max="3594" width="16.7109375" style="108" customWidth="1"/>
    <col min="3595" max="3595" width="12" style="108" customWidth="1"/>
    <col min="3596" max="3596" width="16.28515625" style="108" customWidth="1"/>
    <col min="3597" max="3597" width="12.28515625" style="108" customWidth="1"/>
    <col min="3598" max="3598" width="17.42578125" style="108" customWidth="1"/>
    <col min="3599" max="3599" width="12" style="108" customWidth="1"/>
    <col min="3600" max="3600" width="16.5703125" style="108" customWidth="1"/>
    <col min="3601" max="3601" width="13.28515625" style="108" customWidth="1"/>
    <col min="3602" max="3602" width="16.5703125" style="108" customWidth="1"/>
    <col min="3603" max="3603" width="13.7109375" style="108" customWidth="1"/>
    <col min="3604" max="3604" width="15.7109375" style="108" customWidth="1"/>
    <col min="3605" max="3605" width="12.5703125" style="108" customWidth="1"/>
    <col min="3606" max="3606" width="19.140625" style="108" customWidth="1"/>
    <col min="3607" max="3607" width="12.28515625" style="108" customWidth="1"/>
    <col min="3608" max="3608" width="17.140625" style="108" customWidth="1"/>
    <col min="3609" max="3609" width="12.5703125" style="108" customWidth="1"/>
    <col min="3610" max="3610" width="17.7109375" style="108" customWidth="1"/>
    <col min="3611" max="3611" width="12.140625" style="108" customWidth="1"/>
    <col min="3612" max="3612" width="30.5703125" style="108" customWidth="1"/>
    <col min="3613" max="3616" width="8.140625" style="108" customWidth="1"/>
    <col min="3617" max="3617" width="9.42578125" style="108" customWidth="1"/>
    <col min="3618" max="3618" width="8.140625" style="108" customWidth="1"/>
    <col min="3619" max="3623" width="7.85546875" style="108" customWidth="1"/>
    <col min="3624" max="3624" width="11.28515625" style="108" customWidth="1"/>
    <col min="3625" max="3625" width="2.28515625" style="108" customWidth="1"/>
    <col min="3626" max="3626" width="19.42578125" style="108"/>
    <col min="3627" max="3652" width="11.28515625" style="108" customWidth="1"/>
    <col min="3653" max="3664" width="8.85546875" style="108" customWidth="1"/>
    <col min="3665" max="3842" width="19.42578125" style="108"/>
    <col min="3843" max="3845" width="11" style="108" customWidth="1"/>
    <col min="3846" max="3846" width="16.140625" style="108" customWidth="1"/>
    <col min="3847" max="3847" width="12.42578125" style="108" customWidth="1"/>
    <col min="3848" max="3848" width="14.28515625" style="108" customWidth="1"/>
    <col min="3849" max="3849" width="12" style="108" customWidth="1"/>
    <col min="3850" max="3850" width="16.7109375" style="108" customWidth="1"/>
    <col min="3851" max="3851" width="12" style="108" customWidth="1"/>
    <col min="3852" max="3852" width="16.28515625" style="108" customWidth="1"/>
    <col min="3853" max="3853" width="12.28515625" style="108" customWidth="1"/>
    <col min="3854" max="3854" width="17.42578125" style="108" customWidth="1"/>
    <col min="3855" max="3855" width="12" style="108" customWidth="1"/>
    <col min="3856" max="3856" width="16.5703125" style="108" customWidth="1"/>
    <col min="3857" max="3857" width="13.28515625" style="108" customWidth="1"/>
    <col min="3858" max="3858" width="16.5703125" style="108" customWidth="1"/>
    <col min="3859" max="3859" width="13.7109375" style="108" customWidth="1"/>
    <col min="3860" max="3860" width="15.7109375" style="108" customWidth="1"/>
    <col min="3861" max="3861" width="12.5703125" style="108" customWidth="1"/>
    <col min="3862" max="3862" width="19.140625" style="108" customWidth="1"/>
    <col min="3863" max="3863" width="12.28515625" style="108" customWidth="1"/>
    <col min="3864" max="3864" width="17.140625" style="108" customWidth="1"/>
    <col min="3865" max="3865" width="12.5703125" style="108" customWidth="1"/>
    <col min="3866" max="3866" width="17.7109375" style="108" customWidth="1"/>
    <col min="3867" max="3867" width="12.140625" style="108" customWidth="1"/>
    <col min="3868" max="3868" width="30.5703125" style="108" customWidth="1"/>
    <col min="3869" max="3872" width="8.140625" style="108" customWidth="1"/>
    <col min="3873" max="3873" width="9.42578125" style="108" customWidth="1"/>
    <col min="3874" max="3874" width="8.140625" style="108" customWidth="1"/>
    <col min="3875" max="3879" width="7.85546875" style="108" customWidth="1"/>
    <col min="3880" max="3880" width="11.28515625" style="108" customWidth="1"/>
    <col min="3881" max="3881" width="2.28515625" style="108" customWidth="1"/>
    <col min="3882" max="3882" width="19.42578125" style="108"/>
    <col min="3883" max="3908" width="11.28515625" style="108" customWidth="1"/>
    <col min="3909" max="3920" width="8.85546875" style="108" customWidth="1"/>
    <col min="3921" max="4098" width="19.42578125" style="108"/>
    <col min="4099" max="4101" width="11" style="108" customWidth="1"/>
    <col min="4102" max="4102" width="16.140625" style="108" customWidth="1"/>
    <col min="4103" max="4103" width="12.42578125" style="108" customWidth="1"/>
    <col min="4104" max="4104" width="14.28515625" style="108" customWidth="1"/>
    <col min="4105" max="4105" width="12" style="108" customWidth="1"/>
    <col min="4106" max="4106" width="16.7109375" style="108" customWidth="1"/>
    <col min="4107" max="4107" width="12" style="108" customWidth="1"/>
    <col min="4108" max="4108" width="16.28515625" style="108" customWidth="1"/>
    <col min="4109" max="4109" width="12.28515625" style="108" customWidth="1"/>
    <col min="4110" max="4110" width="17.42578125" style="108" customWidth="1"/>
    <col min="4111" max="4111" width="12" style="108" customWidth="1"/>
    <col min="4112" max="4112" width="16.5703125" style="108" customWidth="1"/>
    <col min="4113" max="4113" width="13.28515625" style="108" customWidth="1"/>
    <col min="4114" max="4114" width="16.5703125" style="108" customWidth="1"/>
    <col min="4115" max="4115" width="13.7109375" style="108" customWidth="1"/>
    <col min="4116" max="4116" width="15.7109375" style="108" customWidth="1"/>
    <col min="4117" max="4117" width="12.5703125" style="108" customWidth="1"/>
    <col min="4118" max="4118" width="19.140625" style="108" customWidth="1"/>
    <col min="4119" max="4119" width="12.28515625" style="108" customWidth="1"/>
    <col min="4120" max="4120" width="17.140625" style="108" customWidth="1"/>
    <col min="4121" max="4121" width="12.5703125" style="108" customWidth="1"/>
    <col min="4122" max="4122" width="17.7109375" style="108" customWidth="1"/>
    <col min="4123" max="4123" width="12.140625" style="108" customWidth="1"/>
    <col min="4124" max="4124" width="30.5703125" style="108" customWidth="1"/>
    <col min="4125" max="4128" width="8.140625" style="108" customWidth="1"/>
    <col min="4129" max="4129" width="9.42578125" style="108" customWidth="1"/>
    <col min="4130" max="4130" width="8.140625" style="108" customWidth="1"/>
    <col min="4131" max="4135" width="7.85546875" style="108" customWidth="1"/>
    <col min="4136" max="4136" width="11.28515625" style="108" customWidth="1"/>
    <col min="4137" max="4137" width="2.28515625" style="108" customWidth="1"/>
    <col min="4138" max="4138" width="19.42578125" style="108"/>
    <col min="4139" max="4164" width="11.28515625" style="108" customWidth="1"/>
    <col min="4165" max="4176" width="8.85546875" style="108" customWidth="1"/>
    <col min="4177" max="4354" width="19.42578125" style="108"/>
    <col min="4355" max="4357" width="11" style="108" customWidth="1"/>
    <col min="4358" max="4358" width="16.140625" style="108" customWidth="1"/>
    <col min="4359" max="4359" width="12.42578125" style="108" customWidth="1"/>
    <col min="4360" max="4360" width="14.28515625" style="108" customWidth="1"/>
    <col min="4361" max="4361" width="12" style="108" customWidth="1"/>
    <col min="4362" max="4362" width="16.7109375" style="108" customWidth="1"/>
    <col min="4363" max="4363" width="12" style="108" customWidth="1"/>
    <col min="4364" max="4364" width="16.28515625" style="108" customWidth="1"/>
    <col min="4365" max="4365" width="12.28515625" style="108" customWidth="1"/>
    <col min="4366" max="4366" width="17.42578125" style="108" customWidth="1"/>
    <col min="4367" max="4367" width="12" style="108" customWidth="1"/>
    <col min="4368" max="4368" width="16.5703125" style="108" customWidth="1"/>
    <col min="4369" max="4369" width="13.28515625" style="108" customWidth="1"/>
    <col min="4370" max="4370" width="16.5703125" style="108" customWidth="1"/>
    <col min="4371" max="4371" width="13.7109375" style="108" customWidth="1"/>
    <col min="4372" max="4372" width="15.7109375" style="108" customWidth="1"/>
    <col min="4373" max="4373" width="12.5703125" style="108" customWidth="1"/>
    <col min="4374" max="4374" width="19.140625" style="108" customWidth="1"/>
    <col min="4375" max="4375" width="12.28515625" style="108" customWidth="1"/>
    <col min="4376" max="4376" width="17.140625" style="108" customWidth="1"/>
    <col min="4377" max="4377" width="12.5703125" style="108" customWidth="1"/>
    <col min="4378" max="4378" width="17.7109375" style="108" customWidth="1"/>
    <col min="4379" max="4379" width="12.140625" style="108" customWidth="1"/>
    <col min="4380" max="4380" width="30.5703125" style="108" customWidth="1"/>
    <col min="4381" max="4384" width="8.140625" style="108" customWidth="1"/>
    <col min="4385" max="4385" width="9.42578125" style="108" customWidth="1"/>
    <col min="4386" max="4386" width="8.140625" style="108" customWidth="1"/>
    <col min="4387" max="4391" width="7.85546875" style="108" customWidth="1"/>
    <col min="4392" max="4392" width="11.28515625" style="108" customWidth="1"/>
    <col min="4393" max="4393" width="2.28515625" style="108" customWidth="1"/>
    <col min="4394" max="4394" width="19.42578125" style="108"/>
    <col min="4395" max="4420" width="11.28515625" style="108" customWidth="1"/>
    <col min="4421" max="4432" width="8.85546875" style="108" customWidth="1"/>
    <col min="4433" max="4610" width="19.42578125" style="108"/>
    <col min="4611" max="4613" width="11" style="108" customWidth="1"/>
    <col min="4614" max="4614" width="16.140625" style="108" customWidth="1"/>
    <col min="4615" max="4615" width="12.42578125" style="108" customWidth="1"/>
    <col min="4616" max="4616" width="14.28515625" style="108" customWidth="1"/>
    <col min="4617" max="4617" width="12" style="108" customWidth="1"/>
    <col min="4618" max="4618" width="16.7109375" style="108" customWidth="1"/>
    <col min="4619" max="4619" width="12" style="108" customWidth="1"/>
    <col min="4620" max="4620" width="16.28515625" style="108" customWidth="1"/>
    <col min="4621" max="4621" width="12.28515625" style="108" customWidth="1"/>
    <col min="4622" max="4622" width="17.42578125" style="108" customWidth="1"/>
    <col min="4623" max="4623" width="12" style="108" customWidth="1"/>
    <col min="4624" max="4624" width="16.5703125" style="108" customWidth="1"/>
    <col min="4625" max="4625" width="13.28515625" style="108" customWidth="1"/>
    <col min="4626" max="4626" width="16.5703125" style="108" customWidth="1"/>
    <col min="4627" max="4627" width="13.7109375" style="108" customWidth="1"/>
    <col min="4628" max="4628" width="15.7109375" style="108" customWidth="1"/>
    <col min="4629" max="4629" width="12.5703125" style="108" customWidth="1"/>
    <col min="4630" max="4630" width="19.140625" style="108" customWidth="1"/>
    <col min="4631" max="4631" width="12.28515625" style="108" customWidth="1"/>
    <col min="4632" max="4632" width="17.140625" style="108" customWidth="1"/>
    <col min="4633" max="4633" width="12.5703125" style="108" customWidth="1"/>
    <col min="4634" max="4634" width="17.7109375" style="108" customWidth="1"/>
    <col min="4635" max="4635" width="12.140625" style="108" customWidth="1"/>
    <col min="4636" max="4636" width="30.5703125" style="108" customWidth="1"/>
    <col min="4637" max="4640" width="8.140625" style="108" customWidth="1"/>
    <col min="4641" max="4641" width="9.42578125" style="108" customWidth="1"/>
    <col min="4642" max="4642" width="8.140625" style="108" customWidth="1"/>
    <col min="4643" max="4647" width="7.85546875" style="108" customWidth="1"/>
    <col min="4648" max="4648" width="11.28515625" style="108" customWidth="1"/>
    <col min="4649" max="4649" width="2.28515625" style="108" customWidth="1"/>
    <col min="4650" max="4650" width="19.42578125" style="108"/>
    <col min="4651" max="4676" width="11.28515625" style="108" customWidth="1"/>
    <col min="4677" max="4688" width="8.85546875" style="108" customWidth="1"/>
    <col min="4689" max="4866" width="19.42578125" style="108"/>
    <col min="4867" max="4869" width="11" style="108" customWidth="1"/>
    <col min="4870" max="4870" width="16.140625" style="108" customWidth="1"/>
    <col min="4871" max="4871" width="12.42578125" style="108" customWidth="1"/>
    <col min="4872" max="4872" width="14.28515625" style="108" customWidth="1"/>
    <col min="4873" max="4873" width="12" style="108" customWidth="1"/>
    <col min="4874" max="4874" width="16.7109375" style="108" customWidth="1"/>
    <col min="4875" max="4875" width="12" style="108" customWidth="1"/>
    <col min="4876" max="4876" width="16.28515625" style="108" customWidth="1"/>
    <col min="4877" max="4877" width="12.28515625" style="108" customWidth="1"/>
    <col min="4878" max="4878" width="17.42578125" style="108" customWidth="1"/>
    <col min="4879" max="4879" width="12" style="108" customWidth="1"/>
    <col min="4880" max="4880" width="16.5703125" style="108" customWidth="1"/>
    <col min="4881" max="4881" width="13.28515625" style="108" customWidth="1"/>
    <col min="4882" max="4882" width="16.5703125" style="108" customWidth="1"/>
    <col min="4883" max="4883" width="13.7109375" style="108" customWidth="1"/>
    <col min="4884" max="4884" width="15.7109375" style="108" customWidth="1"/>
    <col min="4885" max="4885" width="12.5703125" style="108" customWidth="1"/>
    <col min="4886" max="4886" width="19.140625" style="108" customWidth="1"/>
    <col min="4887" max="4887" width="12.28515625" style="108" customWidth="1"/>
    <col min="4888" max="4888" width="17.140625" style="108" customWidth="1"/>
    <col min="4889" max="4889" width="12.5703125" style="108" customWidth="1"/>
    <col min="4890" max="4890" width="17.7109375" style="108" customWidth="1"/>
    <col min="4891" max="4891" width="12.140625" style="108" customWidth="1"/>
    <col min="4892" max="4892" width="30.5703125" style="108" customWidth="1"/>
    <col min="4893" max="4896" width="8.140625" style="108" customWidth="1"/>
    <col min="4897" max="4897" width="9.42578125" style="108" customWidth="1"/>
    <col min="4898" max="4898" width="8.140625" style="108" customWidth="1"/>
    <col min="4899" max="4903" width="7.85546875" style="108" customWidth="1"/>
    <col min="4904" max="4904" width="11.28515625" style="108" customWidth="1"/>
    <col min="4905" max="4905" width="2.28515625" style="108" customWidth="1"/>
    <col min="4906" max="4906" width="19.42578125" style="108"/>
    <col min="4907" max="4932" width="11.28515625" style="108" customWidth="1"/>
    <col min="4933" max="4944" width="8.85546875" style="108" customWidth="1"/>
    <col min="4945" max="5122" width="19.42578125" style="108"/>
    <col min="5123" max="5125" width="11" style="108" customWidth="1"/>
    <col min="5126" max="5126" width="16.140625" style="108" customWidth="1"/>
    <col min="5127" max="5127" width="12.42578125" style="108" customWidth="1"/>
    <col min="5128" max="5128" width="14.28515625" style="108" customWidth="1"/>
    <col min="5129" max="5129" width="12" style="108" customWidth="1"/>
    <col min="5130" max="5130" width="16.7109375" style="108" customWidth="1"/>
    <col min="5131" max="5131" width="12" style="108" customWidth="1"/>
    <col min="5132" max="5132" width="16.28515625" style="108" customWidth="1"/>
    <col min="5133" max="5133" width="12.28515625" style="108" customWidth="1"/>
    <col min="5134" max="5134" width="17.42578125" style="108" customWidth="1"/>
    <col min="5135" max="5135" width="12" style="108" customWidth="1"/>
    <col min="5136" max="5136" width="16.5703125" style="108" customWidth="1"/>
    <col min="5137" max="5137" width="13.28515625" style="108" customWidth="1"/>
    <col min="5138" max="5138" width="16.5703125" style="108" customWidth="1"/>
    <col min="5139" max="5139" width="13.7109375" style="108" customWidth="1"/>
    <col min="5140" max="5140" width="15.7109375" style="108" customWidth="1"/>
    <col min="5141" max="5141" width="12.5703125" style="108" customWidth="1"/>
    <col min="5142" max="5142" width="19.140625" style="108" customWidth="1"/>
    <col min="5143" max="5143" width="12.28515625" style="108" customWidth="1"/>
    <col min="5144" max="5144" width="17.140625" style="108" customWidth="1"/>
    <col min="5145" max="5145" width="12.5703125" style="108" customWidth="1"/>
    <col min="5146" max="5146" width="17.7109375" style="108" customWidth="1"/>
    <col min="5147" max="5147" width="12.140625" style="108" customWidth="1"/>
    <col min="5148" max="5148" width="30.5703125" style="108" customWidth="1"/>
    <col min="5149" max="5152" width="8.140625" style="108" customWidth="1"/>
    <col min="5153" max="5153" width="9.42578125" style="108" customWidth="1"/>
    <col min="5154" max="5154" width="8.140625" style="108" customWidth="1"/>
    <col min="5155" max="5159" width="7.85546875" style="108" customWidth="1"/>
    <col min="5160" max="5160" width="11.28515625" style="108" customWidth="1"/>
    <col min="5161" max="5161" width="2.28515625" style="108" customWidth="1"/>
    <col min="5162" max="5162" width="19.42578125" style="108"/>
    <col min="5163" max="5188" width="11.28515625" style="108" customWidth="1"/>
    <col min="5189" max="5200" width="8.85546875" style="108" customWidth="1"/>
    <col min="5201" max="5378" width="19.42578125" style="108"/>
    <col min="5379" max="5381" width="11" style="108" customWidth="1"/>
    <col min="5382" max="5382" width="16.140625" style="108" customWidth="1"/>
    <col min="5383" max="5383" width="12.42578125" style="108" customWidth="1"/>
    <col min="5384" max="5384" width="14.28515625" style="108" customWidth="1"/>
    <col min="5385" max="5385" width="12" style="108" customWidth="1"/>
    <col min="5386" max="5386" width="16.7109375" style="108" customWidth="1"/>
    <col min="5387" max="5387" width="12" style="108" customWidth="1"/>
    <col min="5388" max="5388" width="16.28515625" style="108" customWidth="1"/>
    <col min="5389" max="5389" width="12.28515625" style="108" customWidth="1"/>
    <col min="5390" max="5390" width="17.42578125" style="108" customWidth="1"/>
    <col min="5391" max="5391" width="12" style="108" customWidth="1"/>
    <col min="5392" max="5392" width="16.5703125" style="108" customWidth="1"/>
    <col min="5393" max="5393" width="13.28515625" style="108" customWidth="1"/>
    <col min="5394" max="5394" width="16.5703125" style="108" customWidth="1"/>
    <col min="5395" max="5395" width="13.7109375" style="108" customWidth="1"/>
    <col min="5396" max="5396" width="15.7109375" style="108" customWidth="1"/>
    <col min="5397" max="5397" width="12.5703125" style="108" customWidth="1"/>
    <col min="5398" max="5398" width="19.140625" style="108" customWidth="1"/>
    <col min="5399" max="5399" width="12.28515625" style="108" customWidth="1"/>
    <col min="5400" max="5400" width="17.140625" style="108" customWidth="1"/>
    <col min="5401" max="5401" width="12.5703125" style="108" customWidth="1"/>
    <col min="5402" max="5402" width="17.7109375" style="108" customWidth="1"/>
    <col min="5403" max="5403" width="12.140625" style="108" customWidth="1"/>
    <col min="5404" max="5404" width="30.5703125" style="108" customWidth="1"/>
    <col min="5405" max="5408" width="8.140625" style="108" customWidth="1"/>
    <col min="5409" max="5409" width="9.42578125" style="108" customWidth="1"/>
    <col min="5410" max="5410" width="8.140625" style="108" customWidth="1"/>
    <col min="5411" max="5415" width="7.85546875" style="108" customWidth="1"/>
    <col min="5416" max="5416" width="11.28515625" style="108" customWidth="1"/>
    <col min="5417" max="5417" width="2.28515625" style="108" customWidth="1"/>
    <col min="5418" max="5418" width="19.42578125" style="108"/>
    <col min="5419" max="5444" width="11.28515625" style="108" customWidth="1"/>
    <col min="5445" max="5456" width="8.85546875" style="108" customWidth="1"/>
    <col min="5457" max="5634" width="19.42578125" style="108"/>
    <col min="5635" max="5637" width="11" style="108" customWidth="1"/>
    <col min="5638" max="5638" width="16.140625" style="108" customWidth="1"/>
    <col min="5639" max="5639" width="12.42578125" style="108" customWidth="1"/>
    <col min="5640" max="5640" width="14.28515625" style="108" customWidth="1"/>
    <col min="5641" max="5641" width="12" style="108" customWidth="1"/>
    <col min="5642" max="5642" width="16.7109375" style="108" customWidth="1"/>
    <col min="5643" max="5643" width="12" style="108" customWidth="1"/>
    <col min="5644" max="5644" width="16.28515625" style="108" customWidth="1"/>
    <col min="5645" max="5645" width="12.28515625" style="108" customWidth="1"/>
    <col min="5646" max="5646" width="17.42578125" style="108" customWidth="1"/>
    <col min="5647" max="5647" width="12" style="108" customWidth="1"/>
    <col min="5648" max="5648" width="16.5703125" style="108" customWidth="1"/>
    <col min="5649" max="5649" width="13.28515625" style="108" customWidth="1"/>
    <col min="5650" max="5650" width="16.5703125" style="108" customWidth="1"/>
    <col min="5651" max="5651" width="13.7109375" style="108" customWidth="1"/>
    <col min="5652" max="5652" width="15.7109375" style="108" customWidth="1"/>
    <col min="5653" max="5653" width="12.5703125" style="108" customWidth="1"/>
    <col min="5654" max="5654" width="19.140625" style="108" customWidth="1"/>
    <col min="5655" max="5655" width="12.28515625" style="108" customWidth="1"/>
    <col min="5656" max="5656" width="17.140625" style="108" customWidth="1"/>
    <col min="5657" max="5657" width="12.5703125" style="108" customWidth="1"/>
    <col min="5658" max="5658" width="17.7109375" style="108" customWidth="1"/>
    <col min="5659" max="5659" width="12.140625" style="108" customWidth="1"/>
    <col min="5660" max="5660" width="30.5703125" style="108" customWidth="1"/>
    <col min="5661" max="5664" width="8.140625" style="108" customWidth="1"/>
    <col min="5665" max="5665" width="9.42578125" style="108" customWidth="1"/>
    <col min="5666" max="5666" width="8.140625" style="108" customWidth="1"/>
    <col min="5667" max="5671" width="7.85546875" style="108" customWidth="1"/>
    <col min="5672" max="5672" width="11.28515625" style="108" customWidth="1"/>
    <col min="5673" max="5673" width="2.28515625" style="108" customWidth="1"/>
    <col min="5674" max="5674" width="19.42578125" style="108"/>
    <col min="5675" max="5700" width="11.28515625" style="108" customWidth="1"/>
    <col min="5701" max="5712" width="8.85546875" style="108" customWidth="1"/>
    <col min="5713" max="5890" width="19.42578125" style="108"/>
    <col min="5891" max="5893" width="11" style="108" customWidth="1"/>
    <col min="5894" max="5894" width="16.140625" style="108" customWidth="1"/>
    <col min="5895" max="5895" width="12.42578125" style="108" customWidth="1"/>
    <col min="5896" max="5896" width="14.28515625" style="108" customWidth="1"/>
    <col min="5897" max="5897" width="12" style="108" customWidth="1"/>
    <col min="5898" max="5898" width="16.7109375" style="108" customWidth="1"/>
    <col min="5899" max="5899" width="12" style="108" customWidth="1"/>
    <col min="5900" max="5900" width="16.28515625" style="108" customWidth="1"/>
    <col min="5901" max="5901" width="12.28515625" style="108" customWidth="1"/>
    <col min="5902" max="5902" width="17.42578125" style="108" customWidth="1"/>
    <col min="5903" max="5903" width="12" style="108" customWidth="1"/>
    <col min="5904" max="5904" width="16.5703125" style="108" customWidth="1"/>
    <col min="5905" max="5905" width="13.28515625" style="108" customWidth="1"/>
    <col min="5906" max="5906" width="16.5703125" style="108" customWidth="1"/>
    <col min="5907" max="5907" width="13.7109375" style="108" customWidth="1"/>
    <col min="5908" max="5908" width="15.7109375" style="108" customWidth="1"/>
    <col min="5909" max="5909" width="12.5703125" style="108" customWidth="1"/>
    <col min="5910" max="5910" width="19.140625" style="108" customWidth="1"/>
    <col min="5911" max="5911" width="12.28515625" style="108" customWidth="1"/>
    <col min="5912" max="5912" width="17.140625" style="108" customWidth="1"/>
    <col min="5913" max="5913" width="12.5703125" style="108" customWidth="1"/>
    <col min="5914" max="5914" width="17.7109375" style="108" customWidth="1"/>
    <col min="5915" max="5915" width="12.140625" style="108" customWidth="1"/>
    <col min="5916" max="5916" width="30.5703125" style="108" customWidth="1"/>
    <col min="5917" max="5920" width="8.140625" style="108" customWidth="1"/>
    <col min="5921" max="5921" width="9.42578125" style="108" customWidth="1"/>
    <col min="5922" max="5922" width="8.140625" style="108" customWidth="1"/>
    <col min="5923" max="5927" width="7.85546875" style="108" customWidth="1"/>
    <col min="5928" max="5928" width="11.28515625" style="108" customWidth="1"/>
    <col min="5929" max="5929" width="2.28515625" style="108" customWidth="1"/>
    <col min="5930" max="5930" width="19.42578125" style="108"/>
    <col min="5931" max="5956" width="11.28515625" style="108" customWidth="1"/>
    <col min="5957" max="5968" width="8.85546875" style="108" customWidth="1"/>
    <col min="5969" max="6146" width="19.42578125" style="108"/>
    <col min="6147" max="6149" width="11" style="108" customWidth="1"/>
    <col min="6150" max="6150" width="16.140625" style="108" customWidth="1"/>
    <col min="6151" max="6151" width="12.42578125" style="108" customWidth="1"/>
    <col min="6152" max="6152" width="14.28515625" style="108" customWidth="1"/>
    <col min="6153" max="6153" width="12" style="108" customWidth="1"/>
    <col min="6154" max="6154" width="16.7109375" style="108" customWidth="1"/>
    <col min="6155" max="6155" width="12" style="108" customWidth="1"/>
    <col min="6156" max="6156" width="16.28515625" style="108" customWidth="1"/>
    <col min="6157" max="6157" width="12.28515625" style="108" customWidth="1"/>
    <col min="6158" max="6158" width="17.42578125" style="108" customWidth="1"/>
    <col min="6159" max="6159" width="12" style="108" customWidth="1"/>
    <col min="6160" max="6160" width="16.5703125" style="108" customWidth="1"/>
    <col min="6161" max="6161" width="13.28515625" style="108" customWidth="1"/>
    <col min="6162" max="6162" width="16.5703125" style="108" customWidth="1"/>
    <col min="6163" max="6163" width="13.7109375" style="108" customWidth="1"/>
    <col min="6164" max="6164" width="15.7109375" style="108" customWidth="1"/>
    <col min="6165" max="6165" width="12.5703125" style="108" customWidth="1"/>
    <col min="6166" max="6166" width="19.140625" style="108" customWidth="1"/>
    <col min="6167" max="6167" width="12.28515625" style="108" customWidth="1"/>
    <col min="6168" max="6168" width="17.140625" style="108" customWidth="1"/>
    <col min="6169" max="6169" width="12.5703125" style="108" customWidth="1"/>
    <col min="6170" max="6170" width="17.7109375" style="108" customWidth="1"/>
    <col min="6171" max="6171" width="12.140625" style="108" customWidth="1"/>
    <col min="6172" max="6172" width="30.5703125" style="108" customWidth="1"/>
    <col min="6173" max="6176" width="8.140625" style="108" customWidth="1"/>
    <col min="6177" max="6177" width="9.42578125" style="108" customWidth="1"/>
    <col min="6178" max="6178" width="8.140625" style="108" customWidth="1"/>
    <col min="6179" max="6183" width="7.85546875" style="108" customWidth="1"/>
    <col min="6184" max="6184" width="11.28515625" style="108" customWidth="1"/>
    <col min="6185" max="6185" width="2.28515625" style="108" customWidth="1"/>
    <col min="6186" max="6186" width="19.42578125" style="108"/>
    <col min="6187" max="6212" width="11.28515625" style="108" customWidth="1"/>
    <col min="6213" max="6224" width="8.85546875" style="108" customWidth="1"/>
    <col min="6225" max="6402" width="19.42578125" style="108"/>
    <col min="6403" max="6405" width="11" style="108" customWidth="1"/>
    <col min="6406" max="6406" width="16.140625" style="108" customWidth="1"/>
    <col min="6407" max="6407" width="12.42578125" style="108" customWidth="1"/>
    <col min="6408" max="6408" width="14.28515625" style="108" customWidth="1"/>
    <col min="6409" max="6409" width="12" style="108" customWidth="1"/>
    <col min="6410" max="6410" width="16.7109375" style="108" customWidth="1"/>
    <col min="6411" max="6411" width="12" style="108" customWidth="1"/>
    <col min="6412" max="6412" width="16.28515625" style="108" customWidth="1"/>
    <col min="6413" max="6413" width="12.28515625" style="108" customWidth="1"/>
    <col min="6414" max="6414" width="17.42578125" style="108" customWidth="1"/>
    <col min="6415" max="6415" width="12" style="108" customWidth="1"/>
    <col min="6416" max="6416" width="16.5703125" style="108" customWidth="1"/>
    <col min="6417" max="6417" width="13.28515625" style="108" customWidth="1"/>
    <col min="6418" max="6418" width="16.5703125" style="108" customWidth="1"/>
    <col min="6419" max="6419" width="13.7109375" style="108" customWidth="1"/>
    <col min="6420" max="6420" width="15.7109375" style="108" customWidth="1"/>
    <col min="6421" max="6421" width="12.5703125" style="108" customWidth="1"/>
    <col min="6422" max="6422" width="19.140625" style="108" customWidth="1"/>
    <col min="6423" max="6423" width="12.28515625" style="108" customWidth="1"/>
    <col min="6424" max="6424" width="17.140625" style="108" customWidth="1"/>
    <col min="6425" max="6425" width="12.5703125" style="108" customWidth="1"/>
    <col min="6426" max="6426" width="17.7109375" style="108" customWidth="1"/>
    <col min="6427" max="6427" width="12.140625" style="108" customWidth="1"/>
    <col min="6428" max="6428" width="30.5703125" style="108" customWidth="1"/>
    <col min="6429" max="6432" width="8.140625" style="108" customWidth="1"/>
    <col min="6433" max="6433" width="9.42578125" style="108" customWidth="1"/>
    <col min="6434" max="6434" width="8.140625" style="108" customWidth="1"/>
    <col min="6435" max="6439" width="7.85546875" style="108" customWidth="1"/>
    <col min="6440" max="6440" width="11.28515625" style="108" customWidth="1"/>
    <col min="6441" max="6441" width="2.28515625" style="108" customWidth="1"/>
    <col min="6442" max="6442" width="19.42578125" style="108"/>
    <col min="6443" max="6468" width="11.28515625" style="108" customWidth="1"/>
    <col min="6469" max="6480" width="8.85546875" style="108" customWidth="1"/>
    <col min="6481" max="6658" width="19.42578125" style="108"/>
    <col min="6659" max="6661" width="11" style="108" customWidth="1"/>
    <col min="6662" max="6662" width="16.140625" style="108" customWidth="1"/>
    <col min="6663" max="6663" width="12.42578125" style="108" customWidth="1"/>
    <col min="6664" max="6664" width="14.28515625" style="108" customWidth="1"/>
    <col min="6665" max="6665" width="12" style="108" customWidth="1"/>
    <col min="6666" max="6666" width="16.7109375" style="108" customWidth="1"/>
    <col min="6667" max="6667" width="12" style="108" customWidth="1"/>
    <col min="6668" max="6668" width="16.28515625" style="108" customWidth="1"/>
    <col min="6669" max="6669" width="12.28515625" style="108" customWidth="1"/>
    <col min="6670" max="6670" width="17.42578125" style="108" customWidth="1"/>
    <col min="6671" max="6671" width="12" style="108" customWidth="1"/>
    <col min="6672" max="6672" width="16.5703125" style="108" customWidth="1"/>
    <col min="6673" max="6673" width="13.28515625" style="108" customWidth="1"/>
    <col min="6674" max="6674" width="16.5703125" style="108" customWidth="1"/>
    <col min="6675" max="6675" width="13.7109375" style="108" customWidth="1"/>
    <col min="6676" max="6676" width="15.7109375" style="108" customWidth="1"/>
    <col min="6677" max="6677" width="12.5703125" style="108" customWidth="1"/>
    <col min="6678" max="6678" width="19.140625" style="108" customWidth="1"/>
    <col min="6679" max="6679" width="12.28515625" style="108" customWidth="1"/>
    <col min="6680" max="6680" width="17.140625" style="108" customWidth="1"/>
    <col min="6681" max="6681" width="12.5703125" style="108" customWidth="1"/>
    <col min="6682" max="6682" width="17.7109375" style="108" customWidth="1"/>
    <col min="6683" max="6683" width="12.140625" style="108" customWidth="1"/>
    <col min="6684" max="6684" width="30.5703125" style="108" customWidth="1"/>
    <col min="6685" max="6688" width="8.140625" style="108" customWidth="1"/>
    <col min="6689" max="6689" width="9.42578125" style="108" customWidth="1"/>
    <col min="6690" max="6690" width="8.140625" style="108" customWidth="1"/>
    <col min="6691" max="6695" width="7.85546875" style="108" customWidth="1"/>
    <col min="6696" max="6696" width="11.28515625" style="108" customWidth="1"/>
    <col min="6697" max="6697" width="2.28515625" style="108" customWidth="1"/>
    <col min="6698" max="6698" width="19.42578125" style="108"/>
    <col min="6699" max="6724" width="11.28515625" style="108" customWidth="1"/>
    <col min="6725" max="6736" width="8.85546875" style="108" customWidth="1"/>
    <col min="6737" max="6914" width="19.42578125" style="108"/>
    <col min="6915" max="6917" width="11" style="108" customWidth="1"/>
    <col min="6918" max="6918" width="16.140625" style="108" customWidth="1"/>
    <col min="6919" max="6919" width="12.42578125" style="108" customWidth="1"/>
    <col min="6920" max="6920" width="14.28515625" style="108" customWidth="1"/>
    <col min="6921" max="6921" width="12" style="108" customWidth="1"/>
    <col min="6922" max="6922" width="16.7109375" style="108" customWidth="1"/>
    <col min="6923" max="6923" width="12" style="108" customWidth="1"/>
    <col min="6924" max="6924" width="16.28515625" style="108" customWidth="1"/>
    <col min="6925" max="6925" width="12.28515625" style="108" customWidth="1"/>
    <col min="6926" max="6926" width="17.42578125" style="108" customWidth="1"/>
    <col min="6927" max="6927" width="12" style="108" customWidth="1"/>
    <col min="6928" max="6928" width="16.5703125" style="108" customWidth="1"/>
    <col min="6929" max="6929" width="13.28515625" style="108" customWidth="1"/>
    <col min="6930" max="6930" width="16.5703125" style="108" customWidth="1"/>
    <col min="6931" max="6931" width="13.7109375" style="108" customWidth="1"/>
    <col min="6932" max="6932" width="15.7109375" style="108" customWidth="1"/>
    <col min="6933" max="6933" width="12.5703125" style="108" customWidth="1"/>
    <col min="6934" max="6934" width="19.140625" style="108" customWidth="1"/>
    <col min="6935" max="6935" width="12.28515625" style="108" customWidth="1"/>
    <col min="6936" max="6936" width="17.140625" style="108" customWidth="1"/>
    <col min="6937" max="6937" width="12.5703125" style="108" customWidth="1"/>
    <col min="6938" max="6938" width="17.7109375" style="108" customWidth="1"/>
    <col min="6939" max="6939" width="12.140625" style="108" customWidth="1"/>
    <col min="6940" max="6940" width="30.5703125" style="108" customWidth="1"/>
    <col min="6941" max="6944" width="8.140625" style="108" customWidth="1"/>
    <col min="6945" max="6945" width="9.42578125" style="108" customWidth="1"/>
    <col min="6946" max="6946" width="8.140625" style="108" customWidth="1"/>
    <col min="6947" max="6951" width="7.85546875" style="108" customWidth="1"/>
    <col min="6952" max="6952" width="11.28515625" style="108" customWidth="1"/>
    <col min="6953" max="6953" width="2.28515625" style="108" customWidth="1"/>
    <col min="6954" max="6954" width="19.42578125" style="108"/>
    <col min="6955" max="6980" width="11.28515625" style="108" customWidth="1"/>
    <col min="6981" max="6992" width="8.85546875" style="108" customWidth="1"/>
    <col min="6993" max="7170" width="19.42578125" style="108"/>
    <col min="7171" max="7173" width="11" style="108" customWidth="1"/>
    <col min="7174" max="7174" width="16.140625" style="108" customWidth="1"/>
    <col min="7175" max="7175" width="12.42578125" style="108" customWidth="1"/>
    <col min="7176" max="7176" width="14.28515625" style="108" customWidth="1"/>
    <col min="7177" max="7177" width="12" style="108" customWidth="1"/>
    <col min="7178" max="7178" width="16.7109375" style="108" customWidth="1"/>
    <col min="7179" max="7179" width="12" style="108" customWidth="1"/>
    <col min="7180" max="7180" width="16.28515625" style="108" customWidth="1"/>
    <col min="7181" max="7181" width="12.28515625" style="108" customWidth="1"/>
    <col min="7182" max="7182" width="17.42578125" style="108" customWidth="1"/>
    <col min="7183" max="7183" width="12" style="108" customWidth="1"/>
    <col min="7184" max="7184" width="16.5703125" style="108" customWidth="1"/>
    <col min="7185" max="7185" width="13.28515625" style="108" customWidth="1"/>
    <col min="7186" max="7186" width="16.5703125" style="108" customWidth="1"/>
    <col min="7187" max="7187" width="13.7109375" style="108" customWidth="1"/>
    <col min="7188" max="7188" width="15.7109375" style="108" customWidth="1"/>
    <col min="7189" max="7189" width="12.5703125" style="108" customWidth="1"/>
    <col min="7190" max="7190" width="19.140625" style="108" customWidth="1"/>
    <col min="7191" max="7191" width="12.28515625" style="108" customWidth="1"/>
    <col min="7192" max="7192" width="17.140625" style="108" customWidth="1"/>
    <col min="7193" max="7193" width="12.5703125" style="108" customWidth="1"/>
    <col min="7194" max="7194" width="17.7109375" style="108" customWidth="1"/>
    <col min="7195" max="7195" width="12.140625" style="108" customWidth="1"/>
    <col min="7196" max="7196" width="30.5703125" style="108" customWidth="1"/>
    <col min="7197" max="7200" width="8.140625" style="108" customWidth="1"/>
    <col min="7201" max="7201" width="9.42578125" style="108" customWidth="1"/>
    <col min="7202" max="7202" width="8.140625" style="108" customWidth="1"/>
    <col min="7203" max="7207" width="7.85546875" style="108" customWidth="1"/>
    <col min="7208" max="7208" width="11.28515625" style="108" customWidth="1"/>
    <col min="7209" max="7209" width="2.28515625" style="108" customWidth="1"/>
    <col min="7210" max="7210" width="19.42578125" style="108"/>
    <col min="7211" max="7236" width="11.28515625" style="108" customWidth="1"/>
    <col min="7237" max="7248" width="8.85546875" style="108" customWidth="1"/>
    <col min="7249" max="7426" width="19.42578125" style="108"/>
    <col min="7427" max="7429" width="11" style="108" customWidth="1"/>
    <col min="7430" max="7430" width="16.140625" style="108" customWidth="1"/>
    <col min="7431" max="7431" width="12.42578125" style="108" customWidth="1"/>
    <col min="7432" max="7432" width="14.28515625" style="108" customWidth="1"/>
    <col min="7433" max="7433" width="12" style="108" customWidth="1"/>
    <col min="7434" max="7434" width="16.7109375" style="108" customWidth="1"/>
    <col min="7435" max="7435" width="12" style="108" customWidth="1"/>
    <col min="7436" max="7436" width="16.28515625" style="108" customWidth="1"/>
    <col min="7437" max="7437" width="12.28515625" style="108" customWidth="1"/>
    <col min="7438" max="7438" width="17.42578125" style="108" customWidth="1"/>
    <col min="7439" max="7439" width="12" style="108" customWidth="1"/>
    <col min="7440" max="7440" width="16.5703125" style="108" customWidth="1"/>
    <col min="7441" max="7441" width="13.28515625" style="108" customWidth="1"/>
    <col min="7442" max="7442" width="16.5703125" style="108" customWidth="1"/>
    <col min="7443" max="7443" width="13.7109375" style="108" customWidth="1"/>
    <col min="7444" max="7444" width="15.7109375" style="108" customWidth="1"/>
    <col min="7445" max="7445" width="12.5703125" style="108" customWidth="1"/>
    <col min="7446" max="7446" width="19.140625" style="108" customWidth="1"/>
    <col min="7447" max="7447" width="12.28515625" style="108" customWidth="1"/>
    <col min="7448" max="7448" width="17.140625" style="108" customWidth="1"/>
    <col min="7449" max="7449" width="12.5703125" style="108" customWidth="1"/>
    <col min="7450" max="7450" width="17.7109375" style="108" customWidth="1"/>
    <col min="7451" max="7451" width="12.140625" style="108" customWidth="1"/>
    <col min="7452" max="7452" width="30.5703125" style="108" customWidth="1"/>
    <col min="7453" max="7456" width="8.140625" style="108" customWidth="1"/>
    <col min="7457" max="7457" width="9.42578125" style="108" customWidth="1"/>
    <col min="7458" max="7458" width="8.140625" style="108" customWidth="1"/>
    <col min="7459" max="7463" width="7.85546875" style="108" customWidth="1"/>
    <col min="7464" max="7464" width="11.28515625" style="108" customWidth="1"/>
    <col min="7465" max="7465" width="2.28515625" style="108" customWidth="1"/>
    <col min="7466" max="7466" width="19.42578125" style="108"/>
    <col min="7467" max="7492" width="11.28515625" style="108" customWidth="1"/>
    <col min="7493" max="7504" width="8.85546875" style="108" customWidth="1"/>
    <col min="7505" max="7682" width="19.42578125" style="108"/>
    <col min="7683" max="7685" width="11" style="108" customWidth="1"/>
    <col min="7686" max="7686" width="16.140625" style="108" customWidth="1"/>
    <col min="7687" max="7687" width="12.42578125" style="108" customWidth="1"/>
    <col min="7688" max="7688" width="14.28515625" style="108" customWidth="1"/>
    <col min="7689" max="7689" width="12" style="108" customWidth="1"/>
    <col min="7690" max="7690" width="16.7109375" style="108" customWidth="1"/>
    <col min="7691" max="7691" width="12" style="108" customWidth="1"/>
    <col min="7692" max="7692" width="16.28515625" style="108" customWidth="1"/>
    <col min="7693" max="7693" width="12.28515625" style="108" customWidth="1"/>
    <col min="7694" max="7694" width="17.42578125" style="108" customWidth="1"/>
    <col min="7695" max="7695" width="12" style="108" customWidth="1"/>
    <col min="7696" max="7696" width="16.5703125" style="108" customWidth="1"/>
    <col min="7697" max="7697" width="13.28515625" style="108" customWidth="1"/>
    <col min="7698" max="7698" width="16.5703125" style="108" customWidth="1"/>
    <col min="7699" max="7699" width="13.7109375" style="108" customWidth="1"/>
    <col min="7700" max="7700" width="15.7109375" style="108" customWidth="1"/>
    <col min="7701" max="7701" width="12.5703125" style="108" customWidth="1"/>
    <col min="7702" max="7702" width="19.140625" style="108" customWidth="1"/>
    <col min="7703" max="7703" width="12.28515625" style="108" customWidth="1"/>
    <col min="7704" max="7704" width="17.140625" style="108" customWidth="1"/>
    <col min="7705" max="7705" width="12.5703125" style="108" customWidth="1"/>
    <col min="7706" max="7706" width="17.7109375" style="108" customWidth="1"/>
    <col min="7707" max="7707" width="12.140625" style="108" customWidth="1"/>
    <col min="7708" max="7708" width="30.5703125" style="108" customWidth="1"/>
    <col min="7709" max="7712" width="8.140625" style="108" customWidth="1"/>
    <col min="7713" max="7713" width="9.42578125" style="108" customWidth="1"/>
    <col min="7714" max="7714" width="8.140625" style="108" customWidth="1"/>
    <col min="7715" max="7719" width="7.85546875" style="108" customWidth="1"/>
    <col min="7720" max="7720" width="11.28515625" style="108" customWidth="1"/>
    <col min="7721" max="7721" width="2.28515625" style="108" customWidth="1"/>
    <col min="7722" max="7722" width="19.42578125" style="108"/>
    <col min="7723" max="7748" width="11.28515625" style="108" customWidth="1"/>
    <col min="7749" max="7760" width="8.85546875" style="108" customWidth="1"/>
    <col min="7761" max="7938" width="19.42578125" style="108"/>
    <col min="7939" max="7941" width="11" style="108" customWidth="1"/>
    <col min="7942" max="7942" width="16.140625" style="108" customWidth="1"/>
    <col min="7943" max="7943" width="12.42578125" style="108" customWidth="1"/>
    <col min="7944" max="7944" width="14.28515625" style="108" customWidth="1"/>
    <col min="7945" max="7945" width="12" style="108" customWidth="1"/>
    <col min="7946" max="7946" width="16.7109375" style="108" customWidth="1"/>
    <col min="7947" max="7947" width="12" style="108" customWidth="1"/>
    <col min="7948" max="7948" width="16.28515625" style="108" customWidth="1"/>
    <col min="7949" max="7949" width="12.28515625" style="108" customWidth="1"/>
    <col min="7950" max="7950" width="17.42578125" style="108" customWidth="1"/>
    <col min="7951" max="7951" width="12" style="108" customWidth="1"/>
    <col min="7952" max="7952" width="16.5703125" style="108" customWidth="1"/>
    <col min="7953" max="7953" width="13.28515625" style="108" customWidth="1"/>
    <col min="7954" max="7954" width="16.5703125" style="108" customWidth="1"/>
    <col min="7955" max="7955" width="13.7109375" style="108" customWidth="1"/>
    <col min="7956" max="7956" width="15.7109375" style="108" customWidth="1"/>
    <col min="7957" max="7957" width="12.5703125" style="108" customWidth="1"/>
    <col min="7958" max="7958" width="19.140625" style="108" customWidth="1"/>
    <col min="7959" max="7959" width="12.28515625" style="108" customWidth="1"/>
    <col min="7960" max="7960" width="17.140625" style="108" customWidth="1"/>
    <col min="7961" max="7961" width="12.5703125" style="108" customWidth="1"/>
    <col min="7962" max="7962" width="17.7109375" style="108" customWidth="1"/>
    <col min="7963" max="7963" width="12.140625" style="108" customWidth="1"/>
    <col min="7964" max="7964" width="30.5703125" style="108" customWidth="1"/>
    <col min="7965" max="7968" width="8.140625" style="108" customWidth="1"/>
    <col min="7969" max="7969" width="9.42578125" style="108" customWidth="1"/>
    <col min="7970" max="7970" width="8.140625" style="108" customWidth="1"/>
    <col min="7971" max="7975" width="7.85546875" style="108" customWidth="1"/>
    <col min="7976" max="7976" width="11.28515625" style="108" customWidth="1"/>
    <col min="7977" max="7977" width="2.28515625" style="108" customWidth="1"/>
    <col min="7978" max="7978" width="19.42578125" style="108"/>
    <col min="7979" max="8004" width="11.28515625" style="108" customWidth="1"/>
    <col min="8005" max="8016" width="8.85546875" style="108" customWidth="1"/>
    <col min="8017" max="8194" width="19.42578125" style="108"/>
    <col min="8195" max="8197" width="11" style="108" customWidth="1"/>
    <col min="8198" max="8198" width="16.140625" style="108" customWidth="1"/>
    <col min="8199" max="8199" width="12.42578125" style="108" customWidth="1"/>
    <col min="8200" max="8200" width="14.28515625" style="108" customWidth="1"/>
    <col min="8201" max="8201" width="12" style="108" customWidth="1"/>
    <col min="8202" max="8202" width="16.7109375" style="108" customWidth="1"/>
    <col min="8203" max="8203" width="12" style="108" customWidth="1"/>
    <col min="8204" max="8204" width="16.28515625" style="108" customWidth="1"/>
    <col min="8205" max="8205" width="12.28515625" style="108" customWidth="1"/>
    <col min="8206" max="8206" width="17.42578125" style="108" customWidth="1"/>
    <col min="8207" max="8207" width="12" style="108" customWidth="1"/>
    <col min="8208" max="8208" width="16.5703125" style="108" customWidth="1"/>
    <col min="8209" max="8209" width="13.28515625" style="108" customWidth="1"/>
    <col min="8210" max="8210" width="16.5703125" style="108" customWidth="1"/>
    <col min="8211" max="8211" width="13.7109375" style="108" customWidth="1"/>
    <col min="8212" max="8212" width="15.7109375" style="108" customWidth="1"/>
    <col min="8213" max="8213" width="12.5703125" style="108" customWidth="1"/>
    <col min="8214" max="8214" width="19.140625" style="108" customWidth="1"/>
    <col min="8215" max="8215" width="12.28515625" style="108" customWidth="1"/>
    <col min="8216" max="8216" width="17.140625" style="108" customWidth="1"/>
    <col min="8217" max="8217" width="12.5703125" style="108" customWidth="1"/>
    <col min="8218" max="8218" width="17.7109375" style="108" customWidth="1"/>
    <col min="8219" max="8219" width="12.140625" style="108" customWidth="1"/>
    <col min="8220" max="8220" width="30.5703125" style="108" customWidth="1"/>
    <col min="8221" max="8224" width="8.140625" style="108" customWidth="1"/>
    <col min="8225" max="8225" width="9.42578125" style="108" customWidth="1"/>
    <col min="8226" max="8226" width="8.140625" style="108" customWidth="1"/>
    <col min="8227" max="8231" width="7.85546875" style="108" customWidth="1"/>
    <col min="8232" max="8232" width="11.28515625" style="108" customWidth="1"/>
    <col min="8233" max="8233" width="2.28515625" style="108" customWidth="1"/>
    <col min="8234" max="8234" width="19.42578125" style="108"/>
    <col min="8235" max="8260" width="11.28515625" style="108" customWidth="1"/>
    <col min="8261" max="8272" width="8.85546875" style="108" customWidth="1"/>
    <col min="8273" max="8450" width="19.42578125" style="108"/>
    <col min="8451" max="8453" width="11" style="108" customWidth="1"/>
    <col min="8454" max="8454" width="16.140625" style="108" customWidth="1"/>
    <col min="8455" max="8455" width="12.42578125" style="108" customWidth="1"/>
    <col min="8456" max="8456" width="14.28515625" style="108" customWidth="1"/>
    <col min="8457" max="8457" width="12" style="108" customWidth="1"/>
    <col min="8458" max="8458" width="16.7109375" style="108" customWidth="1"/>
    <col min="8459" max="8459" width="12" style="108" customWidth="1"/>
    <col min="8460" max="8460" width="16.28515625" style="108" customWidth="1"/>
    <col min="8461" max="8461" width="12.28515625" style="108" customWidth="1"/>
    <col min="8462" max="8462" width="17.42578125" style="108" customWidth="1"/>
    <col min="8463" max="8463" width="12" style="108" customWidth="1"/>
    <col min="8464" max="8464" width="16.5703125" style="108" customWidth="1"/>
    <col min="8465" max="8465" width="13.28515625" style="108" customWidth="1"/>
    <col min="8466" max="8466" width="16.5703125" style="108" customWidth="1"/>
    <col min="8467" max="8467" width="13.7109375" style="108" customWidth="1"/>
    <col min="8468" max="8468" width="15.7109375" style="108" customWidth="1"/>
    <col min="8469" max="8469" width="12.5703125" style="108" customWidth="1"/>
    <col min="8470" max="8470" width="19.140625" style="108" customWidth="1"/>
    <col min="8471" max="8471" width="12.28515625" style="108" customWidth="1"/>
    <col min="8472" max="8472" width="17.140625" style="108" customWidth="1"/>
    <col min="8473" max="8473" width="12.5703125" style="108" customWidth="1"/>
    <col min="8474" max="8474" width="17.7109375" style="108" customWidth="1"/>
    <col min="8475" max="8475" width="12.140625" style="108" customWidth="1"/>
    <col min="8476" max="8476" width="30.5703125" style="108" customWidth="1"/>
    <col min="8477" max="8480" width="8.140625" style="108" customWidth="1"/>
    <col min="8481" max="8481" width="9.42578125" style="108" customWidth="1"/>
    <col min="8482" max="8482" width="8.140625" style="108" customWidth="1"/>
    <col min="8483" max="8487" width="7.85546875" style="108" customWidth="1"/>
    <col min="8488" max="8488" width="11.28515625" style="108" customWidth="1"/>
    <col min="8489" max="8489" width="2.28515625" style="108" customWidth="1"/>
    <col min="8490" max="8490" width="19.42578125" style="108"/>
    <col min="8491" max="8516" width="11.28515625" style="108" customWidth="1"/>
    <col min="8517" max="8528" width="8.85546875" style="108" customWidth="1"/>
    <col min="8529" max="8706" width="19.42578125" style="108"/>
    <col min="8707" max="8709" width="11" style="108" customWidth="1"/>
    <col min="8710" max="8710" width="16.140625" style="108" customWidth="1"/>
    <col min="8711" max="8711" width="12.42578125" style="108" customWidth="1"/>
    <col min="8712" max="8712" width="14.28515625" style="108" customWidth="1"/>
    <col min="8713" max="8713" width="12" style="108" customWidth="1"/>
    <col min="8714" max="8714" width="16.7109375" style="108" customWidth="1"/>
    <col min="8715" max="8715" width="12" style="108" customWidth="1"/>
    <col min="8716" max="8716" width="16.28515625" style="108" customWidth="1"/>
    <col min="8717" max="8717" width="12.28515625" style="108" customWidth="1"/>
    <col min="8718" max="8718" width="17.42578125" style="108" customWidth="1"/>
    <col min="8719" max="8719" width="12" style="108" customWidth="1"/>
    <col min="8720" max="8720" width="16.5703125" style="108" customWidth="1"/>
    <col min="8721" max="8721" width="13.28515625" style="108" customWidth="1"/>
    <col min="8722" max="8722" width="16.5703125" style="108" customWidth="1"/>
    <col min="8723" max="8723" width="13.7109375" style="108" customWidth="1"/>
    <col min="8724" max="8724" width="15.7109375" style="108" customWidth="1"/>
    <col min="8725" max="8725" width="12.5703125" style="108" customWidth="1"/>
    <col min="8726" max="8726" width="19.140625" style="108" customWidth="1"/>
    <col min="8727" max="8727" width="12.28515625" style="108" customWidth="1"/>
    <col min="8728" max="8728" width="17.140625" style="108" customWidth="1"/>
    <col min="8729" max="8729" width="12.5703125" style="108" customWidth="1"/>
    <col min="8730" max="8730" width="17.7109375" style="108" customWidth="1"/>
    <col min="8731" max="8731" width="12.140625" style="108" customWidth="1"/>
    <col min="8732" max="8732" width="30.5703125" style="108" customWidth="1"/>
    <col min="8733" max="8736" width="8.140625" style="108" customWidth="1"/>
    <col min="8737" max="8737" width="9.42578125" style="108" customWidth="1"/>
    <col min="8738" max="8738" width="8.140625" style="108" customWidth="1"/>
    <col min="8739" max="8743" width="7.85546875" style="108" customWidth="1"/>
    <col min="8744" max="8744" width="11.28515625" style="108" customWidth="1"/>
    <col min="8745" max="8745" width="2.28515625" style="108" customWidth="1"/>
    <col min="8746" max="8746" width="19.42578125" style="108"/>
    <col min="8747" max="8772" width="11.28515625" style="108" customWidth="1"/>
    <col min="8773" max="8784" width="8.85546875" style="108" customWidth="1"/>
    <col min="8785" max="8962" width="19.42578125" style="108"/>
    <col min="8963" max="8965" width="11" style="108" customWidth="1"/>
    <col min="8966" max="8966" width="16.140625" style="108" customWidth="1"/>
    <col min="8967" max="8967" width="12.42578125" style="108" customWidth="1"/>
    <col min="8968" max="8968" width="14.28515625" style="108" customWidth="1"/>
    <col min="8969" max="8969" width="12" style="108" customWidth="1"/>
    <col min="8970" max="8970" width="16.7109375" style="108" customWidth="1"/>
    <col min="8971" max="8971" width="12" style="108" customWidth="1"/>
    <col min="8972" max="8972" width="16.28515625" style="108" customWidth="1"/>
    <col min="8973" max="8973" width="12.28515625" style="108" customWidth="1"/>
    <col min="8974" max="8974" width="17.42578125" style="108" customWidth="1"/>
    <col min="8975" max="8975" width="12" style="108" customWidth="1"/>
    <col min="8976" max="8976" width="16.5703125" style="108" customWidth="1"/>
    <col min="8977" max="8977" width="13.28515625" style="108" customWidth="1"/>
    <col min="8978" max="8978" width="16.5703125" style="108" customWidth="1"/>
    <col min="8979" max="8979" width="13.7109375" style="108" customWidth="1"/>
    <col min="8980" max="8980" width="15.7109375" style="108" customWidth="1"/>
    <col min="8981" max="8981" width="12.5703125" style="108" customWidth="1"/>
    <col min="8982" max="8982" width="19.140625" style="108" customWidth="1"/>
    <col min="8983" max="8983" width="12.28515625" style="108" customWidth="1"/>
    <col min="8984" max="8984" width="17.140625" style="108" customWidth="1"/>
    <col min="8985" max="8985" width="12.5703125" style="108" customWidth="1"/>
    <col min="8986" max="8986" width="17.7109375" style="108" customWidth="1"/>
    <col min="8987" max="8987" width="12.140625" style="108" customWidth="1"/>
    <col min="8988" max="8988" width="30.5703125" style="108" customWidth="1"/>
    <col min="8989" max="8992" width="8.140625" style="108" customWidth="1"/>
    <col min="8993" max="8993" width="9.42578125" style="108" customWidth="1"/>
    <col min="8994" max="8994" width="8.140625" style="108" customWidth="1"/>
    <col min="8995" max="8999" width="7.85546875" style="108" customWidth="1"/>
    <col min="9000" max="9000" width="11.28515625" style="108" customWidth="1"/>
    <col min="9001" max="9001" width="2.28515625" style="108" customWidth="1"/>
    <col min="9002" max="9002" width="19.42578125" style="108"/>
    <col min="9003" max="9028" width="11.28515625" style="108" customWidth="1"/>
    <col min="9029" max="9040" width="8.85546875" style="108" customWidth="1"/>
    <col min="9041" max="9218" width="19.42578125" style="108"/>
    <col min="9219" max="9221" width="11" style="108" customWidth="1"/>
    <col min="9222" max="9222" width="16.140625" style="108" customWidth="1"/>
    <col min="9223" max="9223" width="12.42578125" style="108" customWidth="1"/>
    <col min="9224" max="9224" width="14.28515625" style="108" customWidth="1"/>
    <col min="9225" max="9225" width="12" style="108" customWidth="1"/>
    <col min="9226" max="9226" width="16.7109375" style="108" customWidth="1"/>
    <col min="9227" max="9227" width="12" style="108" customWidth="1"/>
    <col min="9228" max="9228" width="16.28515625" style="108" customWidth="1"/>
    <col min="9229" max="9229" width="12.28515625" style="108" customWidth="1"/>
    <col min="9230" max="9230" width="17.42578125" style="108" customWidth="1"/>
    <col min="9231" max="9231" width="12" style="108" customWidth="1"/>
    <col min="9232" max="9232" width="16.5703125" style="108" customWidth="1"/>
    <col min="9233" max="9233" width="13.28515625" style="108" customWidth="1"/>
    <col min="9234" max="9234" width="16.5703125" style="108" customWidth="1"/>
    <col min="9235" max="9235" width="13.7109375" style="108" customWidth="1"/>
    <col min="9236" max="9236" width="15.7109375" style="108" customWidth="1"/>
    <col min="9237" max="9237" width="12.5703125" style="108" customWidth="1"/>
    <col min="9238" max="9238" width="19.140625" style="108" customWidth="1"/>
    <col min="9239" max="9239" width="12.28515625" style="108" customWidth="1"/>
    <col min="9240" max="9240" width="17.140625" style="108" customWidth="1"/>
    <col min="9241" max="9241" width="12.5703125" style="108" customWidth="1"/>
    <col min="9242" max="9242" width="17.7109375" style="108" customWidth="1"/>
    <col min="9243" max="9243" width="12.140625" style="108" customWidth="1"/>
    <col min="9244" max="9244" width="30.5703125" style="108" customWidth="1"/>
    <col min="9245" max="9248" width="8.140625" style="108" customWidth="1"/>
    <col min="9249" max="9249" width="9.42578125" style="108" customWidth="1"/>
    <col min="9250" max="9250" width="8.140625" style="108" customWidth="1"/>
    <col min="9251" max="9255" width="7.85546875" style="108" customWidth="1"/>
    <col min="9256" max="9256" width="11.28515625" style="108" customWidth="1"/>
    <col min="9257" max="9257" width="2.28515625" style="108" customWidth="1"/>
    <col min="9258" max="9258" width="19.42578125" style="108"/>
    <col min="9259" max="9284" width="11.28515625" style="108" customWidth="1"/>
    <col min="9285" max="9296" width="8.85546875" style="108" customWidth="1"/>
    <col min="9297" max="9474" width="19.42578125" style="108"/>
    <col min="9475" max="9477" width="11" style="108" customWidth="1"/>
    <col min="9478" max="9478" width="16.140625" style="108" customWidth="1"/>
    <col min="9479" max="9479" width="12.42578125" style="108" customWidth="1"/>
    <col min="9480" max="9480" width="14.28515625" style="108" customWidth="1"/>
    <col min="9481" max="9481" width="12" style="108" customWidth="1"/>
    <col min="9482" max="9482" width="16.7109375" style="108" customWidth="1"/>
    <col min="9483" max="9483" width="12" style="108" customWidth="1"/>
    <col min="9484" max="9484" width="16.28515625" style="108" customWidth="1"/>
    <col min="9485" max="9485" width="12.28515625" style="108" customWidth="1"/>
    <col min="9486" max="9486" width="17.42578125" style="108" customWidth="1"/>
    <col min="9487" max="9487" width="12" style="108" customWidth="1"/>
    <col min="9488" max="9488" width="16.5703125" style="108" customWidth="1"/>
    <col min="9489" max="9489" width="13.28515625" style="108" customWidth="1"/>
    <col min="9490" max="9490" width="16.5703125" style="108" customWidth="1"/>
    <col min="9491" max="9491" width="13.7109375" style="108" customWidth="1"/>
    <col min="9492" max="9492" width="15.7109375" style="108" customWidth="1"/>
    <col min="9493" max="9493" width="12.5703125" style="108" customWidth="1"/>
    <col min="9494" max="9494" width="19.140625" style="108" customWidth="1"/>
    <col min="9495" max="9495" width="12.28515625" style="108" customWidth="1"/>
    <col min="9496" max="9496" width="17.140625" style="108" customWidth="1"/>
    <col min="9497" max="9497" width="12.5703125" style="108" customWidth="1"/>
    <col min="9498" max="9498" width="17.7109375" style="108" customWidth="1"/>
    <col min="9499" max="9499" width="12.140625" style="108" customWidth="1"/>
    <col min="9500" max="9500" width="30.5703125" style="108" customWidth="1"/>
    <col min="9501" max="9504" width="8.140625" style="108" customWidth="1"/>
    <col min="9505" max="9505" width="9.42578125" style="108" customWidth="1"/>
    <col min="9506" max="9506" width="8.140625" style="108" customWidth="1"/>
    <col min="9507" max="9511" width="7.85546875" style="108" customWidth="1"/>
    <col min="9512" max="9512" width="11.28515625" style="108" customWidth="1"/>
    <col min="9513" max="9513" width="2.28515625" style="108" customWidth="1"/>
    <col min="9514" max="9514" width="19.42578125" style="108"/>
    <col min="9515" max="9540" width="11.28515625" style="108" customWidth="1"/>
    <col min="9541" max="9552" width="8.85546875" style="108" customWidth="1"/>
    <col min="9553" max="9730" width="19.42578125" style="108"/>
    <col min="9731" max="9733" width="11" style="108" customWidth="1"/>
    <col min="9734" max="9734" width="16.140625" style="108" customWidth="1"/>
    <col min="9735" max="9735" width="12.42578125" style="108" customWidth="1"/>
    <col min="9736" max="9736" width="14.28515625" style="108" customWidth="1"/>
    <col min="9737" max="9737" width="12" style="108" customWidth="1"/>
    <col min="9738" max="9738" width="16.7109375" style="108" customWidth="1"/>
    <col min="9739" max="9739" width="12" style="108" customWidth="1"/>
    <col min="9740" max="9740" width="16.28515625" style="108" customWidth="1"/>
    <col min="9741" max="9741" width="12.28515625" style="108" customWidth="1"/>
    <col min="9742" max="9742" width="17.42578125" style="108" customWidth="1"/>
    <col min="9743" max="9743" width="12" style="108" customWidth="1"/>
    <col min="9744" max="9744" width="16.5703125" style="108" customWidth="1"/>
    <col min="9745" max="9745" width="13.28515625" style="108" customWidth="1"/>
    <col min="9746" max="9746" width="16.5703125" style="108" customWidth="1"/>
    <col min="9747" max="9747" width="13.7109375" style="108" customWidth="1"/>
    <col min="9748" max="9748" width="15.7109375" style="108" customWidth="1"/>
    <col min="9749" max="9749" width="12.5703125" style="108" customWidth="1"/>
    <col min="9750" max="9750" width="19.140625" style="108" customWidth="1"/>
    <col min="9751" max="9751" width="12.28515625" style="108" customWidth="1"/>
    <col min="9752" max="9752" width="17.140625" style="108" customWidth="1"/>
    <col min="9753" max="9753" width="12.5703125" style="108" customWidth="1"/>
    <col min="9754" max="9754" width="17.7109375" style="108" customWidth="1"/>
    <col min="9755" max="9755" width="12.140625" style="108" customWidth="1"/>
    <col min="9756" max="9756" width="30.5703125" style="108" customWidth="1"/>
    <col min="9757" max="9760" width="8.140625" style="108" customWidth="1"/>
    <col min="9761" max="9761" width="9.42578125" style="108" customWidth="1"/>
    <col min="9762" max="9762" width="8.140625" style="108" customWidth="1"/>
    <col min="9763" max="9767" width="7.85546875" style="108" customWidth="1"/>
    <col min="9768" max="9768" width="11.28515625" style="108" customWidth="1"/>
    <col min="9769" max="9769" width="2.28515625" style="108" customWidth="1"/>
    <col min="9770" max="9770" width="19.42578125" style="108"/>
    <col min="9771" max="9796" width="11.28515625" style="108" customWidth="1"/>
    <col min="9797" max="9808" width="8.85546875" style="108" customWidth="1"/>
    <col min="9809" max="9986" width="19.42578125" style="108"/>
    <col min="9987" max="9989" width="11" style="108" customWidth="1"/>
    <col min="9990" max="9990" width="16.140625" style="108" customWidth="1"/>
    <col min="9991" max="9991" width="12.42578125" style="108" customWidth="1"/>
    <col min="9992" max="9992" width="14.28515625" style="108" customWidth="1"/>
    <col min="9993" max="9993" width="12" style="108" customWidth="1"/>
    <col min="9994" max="9994" width="16.7109375" style="108" customWidth="1"/>
    <col min="9995" max="9995" width="12" style="108" customWidth="1"/>
    <col min="9996" max="9996" width="16.28515625" style="108" customWidth="1"/>
    <col min="9997" max="9997" width="12.28515625" style="108" customWidth="1"/>
    <col min="9998" max="9998" width="17.42578125" style="108" customWidth="1"/>
    <col min="9999" max="9999" width="12" style="108" customWidth="1"/>
    <col min="10000" max="10000" width="16.5703125" style="108" customWidth="1"/>
    <col min="10001" max="10001" width="13.28515625" style="108" customWidth="1"/>
    <col min="10002" max="10002" width="16.5703125" style="108" customWidth="1"/>
    <col min="10003" max="10003" width="13.7109375" style="108" customWidth="1"/>
    <col min="10004" max="10004" width="15.7109375" style="108" customWidth="1"/>
    <col min="10005" max="10005" width="12.5703125" style="108" customWidth="1"/>
    <col min="10006" max="10006" width="19.140625" style="108" customWidth="1"/>
    <col min="10007" max="10007" width="12.28515625" style="108" customWidth="1"/>
    <col min="10008" max="10008" width="17.140625" style="108" customWidth="1"/>
    <col min="10009" max="10009" width="12.5703125" style="108" customWidth="1"/>
    <col min="10010" max="10010" width="17.7109375" style="108" customWidth="1"/>
    <col min="10011" max="10011" width="12.140625" style="108" customWidth="1"/>
    <col min="10012" max="10012" width="30.5703125" style="108" customWidth="1"/>
    <col min="10013" max="10016" width="8.140625" style="108" customWidth="1"/>
    <col min="10017" max="10017" width="9.42578125" style="108" customWidth="1"/>
    <col min="10018" max="10018" width="8.140625" style="108" customWidth="1"/>
    <col min="10019" max="10023" width="7.85546875" style="108" customWidth="1"/>
    <col min="10024" max="10024" width="11.28515625" style="108" customWidth="1"/>
    <col min="10025" max="10025" width="2.28515625" style="108" customWidth="1"/>
    <col min="10026" max="10026" width="19.42578125" style="108"/>
    <col min="10027" max="10052" width="11.28515625" style="108" customWidth="1"/>
    <col min="10053" max="10064" width="8.85546875" style="108" customWidth="1"/>
    <col min="10065" max="10242" width="19.42578125" style="108"/>
    <col min="10243" max="10245" width="11" style="108" customWidth="1"/>
    <col min="10246" max="10246" width="16.140625" style="108" customWidth="1"/>
    <col min="10247" max="10247" width="12.42578125" style="108" customWidth="1"/>
    <col min="10248" max="10248" width="14.28515625" style="108" customWidth="1"/>
    <col min="10249" max="10249" width="12" style="108" customWidth="1"/>
    <col min="10250" max="10250" width="16.7109375" style="108" customWidth="1"/>
    <col min="10251" max="10251" width="12" style="108" customWidth="1"/>
    <col min="10252" max="10252" width="16.28515625" style="108" customWidth="1"/>
    <col min="10253" max="10253" width="12.28515625" style="108" customWidth="1"/>
    <col min="10254" max="10254" width="17.42578125" style="108" customWidth="1"/>
    <col min="10255" max="10255" width="12" style="108" customWidth="1"/>
    <col min="10256" max="10256" width="16.5703125" style="108" customWidth="1"/>
    <col min="10257" max="10257" width="13.28515625" style="108" customWidth="1"/>
    <col min="10258" max="10258" width="16.5703125" style="108" customWidth="1"/>
    <col min="10259" max="10259" width="13.7109375" style="108" customWidth="1"/>
    <col min="10260" max="10260" width="15.7109375" style="108" customWidth="1"/>
    <col min="10261" max="10261" width="12.5703125" style="108" customWidth="1"/>
    <col min="10262" max="10262" width="19.140625" style="108" customWidth="1"/>
    <col min="10263" max="10263" width="12.28515625" style="108" customWidth="1"/>
    <col min="10264" max="10264" width="17.140625" style="108" customWidth="1"/>
    <col min="10265" max="10265" width="12.5703125" style="108" customWidth="1"/>
    <col min="10266" max="10266" width="17.7109375" style="108" customWidth="1"/>
    <col min="10267" max="10267" width="12.140625" style="108" customWidth="1"/>
    <col min="10268" max="10268" width="30.5703125" style="108" customWidth="1"/>
    <col min="10269" max="10272" width="8.140625" style="108" customWidth="1"/>
    <col min="10273" max="10273" width="9.42578125" style="108" customWidth="1"/>
    <col min="10274" max="10274" width="8.140625" style="108" customWidth="1"/>
    <col min="10275" max="10279" width="7.85546875" style="108" customWidth="1"/>
    <col min="10280" max="10280" width="11.28515625" style="108" customWidth="1"/>
    <col min="10281" max="10281" width="2.28515625" style="108" customWidth="1"/>
    <col min="10282" max="10282" width="19.42578125" style="108"/>
    <col min="10283" max="10308" width="11.28515625" style="108" customWidth="1"/>
    <col min="10309" max="10320" width="8.85546875" style="108" customWidth="1"/>
    <col min="10321" max="10498" width="19.42578125" style="108"/>
    <col min="10499" max="10501" width="11" style="108" customWidth="1"/>
    <col min="10502" max="10502" width="16.140625" style="108" customWidth="1"/>
    <col min="10503" max="10503" width="12.42578125" style="108" customWidth="1"/>
    <col min="10504" max="10504" width="14.28515625" style="108" customWidth="1"/>
    <col min="10505" max="10505" width="12" style="108" customWidth="1"/>
    <col min="10506" max="10506" width="16.7109375" style="108" customWidth="1"/>
    <col min="10507" max="10507" width="12" style="108" customWidth="1"/>
    <col min="10508" max="10508" width="16.28515625" style="108" customWidth="1"/>
    <col min="10509" max="10509" width="12.28515625" style="108" customWidth="1"/>
    <col min="10510" max="10510" width="17.42578125" style="108" customWidth="1"/>
    <col min="10511" max="10511" width="12" style="108" customWidth="1"/>
    <col min="10512" max="10512" width="16.5703125" style="108" customWidth="1"/>
    <col min="10513" max="10513" width="13.28515625" style="108" customWidth="1"/>
    <col min="10514" max="10514" width="16.5703125" style="108" customWidth="1"/>
    <col min="10515" max="10515" width="13.7109375" style="108" customWidth="1"/>
    <col min="10516" max="10516" width="15.7109375" style="108" customWidth="1"/>
    <col min="10517" max="10517" width="12.5703125" style="108" customWidth="1"/>
    <col min="10518" max="10518" width="19.140625" style="108" customWidth="1"/>
    <col min="10519" max="10519" width="12.28515625" style="108" customWidth="1"/>
    <col min="10520" max="10520" width="17.140625" style="108" customWidth="1"/>
    <col min="10521" max="10521" width="12.5703125" style="108" customWidth="1"/>
    <col min="10522" max="10522" width="17.7109375" style="108" customWidth="1"/>
    <col min="10523" max="10523" width="12.140625" style="108" customWidth="1"/>
    <col min="10524" max="10524" width="30.5703125" style="108" customWidth="1"/>
    <col min="10525" max="10528" width="8.140625" style="108" customWidth="1"/>
    <col min="10529" max="10529" width="9.42578125" style="108" customWidth="1"/>
    <col min="10530" max="10530" width="8.140625" style="108" customWidth="1"/>
    <col min="10531" max="10535" width="7.85546875" style="108" customWidth="1"/>
    <col min="10536" max="10536" width="11.28515625" style="108" customWidth="1"/>
    <col min="10537" max="10537" width="2.28515625" style="108" customWidth="1"/>
    <col min="10538" max="10538" width="19.42578125" style="108"/>
    <col min="10539" max="10564" width="11.28515625" style="108" customWidth="1"/>
    <col min="10565" max="10576" width="8.85546875" style="108" customWidth="1"/>
    <col min="10577" max="10754" width="19.42578125" style="108"/>
    <col min="10755" max="10757" width="11" style="108" customWidth="1"/>
    <col min="10758" max="10758" width="16.140625" style="108" customWidth="1"/>
    <col min="10759" max="10759" width="12.42578125" style="108" customWidth="1"/>
    <col min="10760" max="10760" width="14.28515625" style="108" customWidth="1"/>
    <col min="10761" max="10761" width="12" style="108" customWidth="1"/>
    <col min="10762" max="10762" width="16.7109375" style="108" customWidth="1"/>
    <col min="10763" max="10763" width="12" style="108" customWidth="1"/>
    <col min="10764" max="10764" width="16.28515625" style="108" customWidth="1"/>
    <col min="10765" max="10765" width="12.28515625" style="108" customWidth="1"/>
    <col min="10766" max="10766" width="17.42578125" style="108" customWidth="1"/>
    <col min="10767" max="10767" width="12" style="108" customWidth="1"/>
    <col min="10768" max="10768" width="16.5703125" style="108" customWidth="1"/>
    <col min="10769" max="10769" width="13.28515625" style="108" customWidth="1"/>
    <col min="10770" max="10770" width="16.5703125" style="108" customWidth="1"/>
    <col min="10771" max="10771" width="13.7109375" style="108" customWidth="1"/>
    <col min="10772" max="10772" width="15.7109375" style="108" customWidth="1"/>
    <col min="10773" max="10773" width="12.5703125" style="108" customWidth="1"/>
    <col min="10774" max="10774" width="19.140625" style="108" customWidth="1"/>
    <col min="10775" max="10775" width="12.28515625" style="108" customWidth="1"/>
    <col min="10776" max="10776" width="17.140625" style="108" customWidth="1"/>
    <col min="10777" max="10777" width="12.5703125" style="108" customWidth="1"/>
    <col min="10778" max="10778" width="17.7109375" style="108" customWidth="1"/>
    <col min="10779" max="10779" width="12.140625" style="108" customWidth="1"/>
    <col min="10780" max="10780" width="30.5703125" style="108" customWidth="1"/>
    <col min="10781" max="10784" width="8.140625" style="108" customWidth="1"/>
    <col min="10785" max="10785" width="9.42578125" style="108" customWidth="1"/>
    <col min="10786" max="10786" width="8.140625" style="108" customWidth="1"/>
    <col min="10787" max="10791" width="7.85546875" style="108" customWidth="1"/>
    <col min="10792" max="10792" width="11.28515625" style="108" customWidth="1"/>
    <col min="10793" max="10793" width="2.28515625" style="108" customWidth="1"/>
    <col min="10794" max="10794" width="19.42578125" style="108"/>
    <col min="10795" max="10820" width="11.28515625" style="108" customWidth="1"/>
    <col min="10821" max="10832" width="8.85546875" style="108" customWidth="1"/>
    <col min="10833" max="11010" width="19.42578125" style="108"/>
    <col min="11011" max="11013" width="11" style="108" customWidth="1"/>
    <col min="11014" max="11014" width="16.140625" style="108" customWidth="1"/>
    <col min="11015" max="11015" width="12.42578125" style="108" customWidth="1"/>
    <col min="11016" max="11016" width="14.28515625" style="108" customWidth="1"/>
    <col min="11017" max="11017" width="12" style="108" customWidth="1"/>
    <col min="11018" max="11018" width="16.7109375" style="108" customWidth="1"/>
    <col min="11019" max="11019" width="12" style="108" customWidth="1"/>
    <col min="11020" max="11020" width="16.28515625" style="108" customWidth="1"/>
    <col min="11021" max="11021" width="12.28515625" style="108" customWidth="1"/>
    <col min="11022" max="11022" width="17.42578125" style="108" customWidth="1"/>
    <col min="11023" max="11023" width="12" style="108" customWidth="1"/>
    <col min="11024" max="11024" width="16.5703125" style="108" customWidth="1"/>
    <col min="11025" max="11025" width="13.28515625" style="108" customWidth="1"/>
    <col min="11026" max="11026" width="16.5703125" style="108" customWidth="1"/>
    <col min="11027" max="11027" width="13.7109375" style="108" customWidth="1"/>
    <col min="11028" max="11028" width="15.7109375" style="108" customWidth="1"/>
    <col min="11029" max="11029" width="12.5703125" style="108" customWidth="1"/>
    <col min="11030" max="11030" width="19.140625" style="108" customWidth="1"/>
    <col min="11031" max="11031" width="12.28515625" style="108" customWidth="1"/>
    <col min="11032" max="11032" width="17.140625" style="108" customWidth="1"/>
    <col min="11033" max="11033" width="12.5703125" style="108" customWidth="1"/>
    <col min="11034" max="11034" width="17.7109375" style="108" customWidth="1"/>
    <col min="11035" max="11035" width="12.140625" style="108" customWidth="1"/>
    <col min="11036" max="11036" width="30.5703125" style="108" customWidth="1"/>
    <col min="11037" max="11040" width="8.140625" style="108" customWidth="1"/>
    <col min="11041" max="11041" width="9.42578125" style="108" customWidth="1"/>
    <col min="11042" max="11042" width="8.140625" style="108" customWidth="1"/>
    <col min="11043" max="11047" width="7.85546875" style="108" customWidth="1"/>
    <col min="11048" max="11048" width="11.28515625" style="108" customWidth="1"/>
    <col min="11049" max="11049" width="2.28515625" style="108" customWidth="1"/>
    <col min="11050" max="11050" width="19.42578125" style="108"/>
    <col min="11051" max="11076" width="11.28515625" style="108" customWidth="1"/>
    <col min="11077" max="11088" width="8.85546875" style="108" customWidth="1"/>
    <col min="11089" max="11266" width="19.42578125" style="108"/>
    <col min="11267" max="11269" width="11" style="108" customWidth="1"/>
    <col min="11270" max="11270" width="16.140625" style="108" customWidth="1"/>
    <col min="11271" max="11271" width="12.42578125" style="108" customWidth="1"/>
    <col min="11272" max="11272" width="14.28515625" style="108" customWidth="1"/>
    <col min="11273" max="11273" width="12" style="108" customWidth="1"/>
    <col min="11274" max="11274" width="16.7109375" style="108" customWidth="1"/>
    <col min="11275" max="11275" width="12" style="108" customWidth="1"/>
    <col min="11276" max="11276" width="16.28515625" style="108" customWidth="1"/>
    <col min="11277" max="11277" width="12.28515625" style="108" customWidth="1"/>
    <col min="11278" max="11278" width="17.42578125" style="108" customWidth="1"/>
    <col min="11279" max="11279" width="12" style="108" customWidth="1"/>
    <col min="11280" max="11280" width="16.5703125" style="108" customWidth="1"/>
    <col min="11281" max="11281" width="13.28515625" style="108" customWidth="1"/>
    <col min="11282" max="11282" width="16.5703125" style="108" customWidth="1"/>
    <col min="11283" max="11283" width="13.7109375" style="108" customWidth="1"/>
    <col min="11284" max="11284" width="15.7109375" style="108" customWidth="1"/>
    <col min="11285" max="11285" width="12.5703125" style="108" customWidth="1"/>
    <col min="11286" max="11286" width="19.140625" style="108" customWidth="1"/>
    <col min="11287" max="11287" width="12.28515625" style="108" customWidth="1"/>
    <col min="11288" max="11288" width="17.140625" style="108" customWidth="1"/>
    <col min="11289" max="11289" width="12.5703125" style="108" customWidth="1"/>
    <col min="11290" max="11290" width="17.7109375" style="108" customWidth="1"/>
    <col min="11291" max="11291" width="12.140625" style="108" customWidth="1"/>
    <col min="11292" max="11292" width="30.5703125" style="108" customWidth="1"/>
    <col min="11293" max="11296" width="8.140625" style="108" customWidth="1"/>
    <col min="11297" max="11297" width="9.42578125" style="108" customWidth="1"/>
    <col min="11298" max="11298" width="8.140625" style="108" customWidth="1"/>
    <col min="11299" max="11303" width="7.85546875" style="108" customWidth="1"/>
    <col min="11304" max="11304" width="11.28515625" style="108" customWidth="1"/>
    <col min="11305" max="11305" width="2.28515625" style="108" customWidth="1"/>
    <col min="11306" max="11306" width="19.42578125" style="108"/>
    <col min="11307" max="11332" width="11.28515625" style="108" customWidth="1"/>
    <col min="11333" max="11344" width="8.85546875" style="108" customWidth="1"/>
    <col min="11345" max="11522" width="19.42578125" style="108"/>
    <col min="11523" max="11525" width="11" style="108" customWidth="1"/>
    <col min="11526" max="11526" width="16.140625" style="108" customWidth="1"/>
    <col min="11527" max="11527" width="12.42578125" style="108" customWidth="1"/>
    <col min="11528" max="11528" width="14.28515625" style="108" customWidth="1"/>
    <col min="11529" max="11529" width="12" style="108" customWidth="1"/>
    <col min="11530" max="11530" width="16.7109375" style="108" customWidth="1"/>
    <col min="11531" max="11531" width="12" style="108" customWidth="1"/>
    <col min="11532" max="11532" width="16.28515625" style="108" customWidth="1"/>
    <col min="11533" max="11533" width="12.28515625" style="108" customWidth="1"/>
    <col min="11534" max="11534" width="17.42578125" style="108" customWidth="1"/>
    <col min="11535" max="11535" width="12" style="108" customWidth="1"/>
    <col min="11536" max="11536" width="16.5703125" style="108" customWidth="1"/>
    <col min="11537" max="11537" width="13.28515625" style="108" customWidth="1"/>
    <col min="11538" max="11538" width="16.5703125" style="108" customWidth="1"/>
    <col min="11539" max="11539" width="13.7109375" style="108" customWidth="1"/>
    <col min="11540" max="11540" width="15.7109375" style="108" customWidth="1"/>
    <col min="11541" max="11541" width="12.5703125" style="108" customWidth="1"/>
    <col min="11542" max="11542" width="19.140625" style="108" customWidth="1"/>
    <col min="11543" max="11543" width="12.28515625" style="108" customWidth="1"/>
    <col min="11544" max="11544" width="17.140625" style="108" customWidth="1"/>
    <col min="11545" max="11545" width="12.5703125" style="108" customWidth="1"/>
    <col min="11546" max="11546" width="17.7109375" style="108" customWidth="1"/>
    <col min="11547" max="11547" width="12.140625" style="108" customWidth="1"/>
    <col min="11548" max="11548" width="30.5703125" style="108" customWidth="1"/>
    <col min="11549" max="11552" width="8.140625" style="108" customWidth="1"/>
    <col min="11553" max="11553" width="9.42578125" style="108" customWidth="1"/>
    <col min="11554" max="11554" width="8.140625" style="108" customWidth="1"/>
    <col min="11555" max="11559" width="7.85546875" style="108" customWidth="1"/>
    <col min="11560" max="11560" width="11.28515625" style="108" customWidth="1"/>
    <col min="11561" max="11561" width="2.28515625" style="108" customWidth="1"/>
    <col min="11562" max="11562" width="19.42578125" style="108"/>
    <col min="11563" max="11588" width="11.28515625" style="108" customWidth="1"/>
    <col min="11589" max="11600" width="8.85546875" style="108" customWidth="1"/>
    <col min="11601" max="11778" width="19.42578125" style="108"/>
    <col min="11779" max="11781" width="11" style="108" customWidth="1"/>
    <col min="11782" max="11782" width="16.140625" style="108" customWidth="1"/>
    <col min="11783" max="11783" width="12.42578125" style="108" customWidth="1"/>
    <col min="11784" max="11784" width="14.28515625" style="108" customWidth="1"/>
    <col min="11785" max="11785" width="12" style="108" customWidth="1"/>
    <col min="11786" max="11786" width="16.7109375" style="108" customWidth="1"/>
    <col min="11787" max="11787" width="12" style="108" customWidth="1"/>
    <col min="11788" max="11788" width="16.28515625" style="108" customWidth="1"/>
    <col min="11789" max="11789" width="12.28515625" style="108" customWidth="1"/>
    <col min="11790" max="11790" width="17.42578125" style="108" customWidth="1"/>
    <col min="11791" max="11791" width="12" style="108" customWidth="1"/>
    <col min="11792" max="11792" width="16.5703125" style="108" customWidth="1"/>
    <col min="11793" max="11793" width="13.28515625" style="108" customWidth="1"/>
    <col min="11794" max="11794" width="16.5703125" style="108" customWidth="1"/>
    <col min="11795" max="11795" width="13.7109375" style="108" customWidth="1"/>
    <col min="11796" max="11796" width="15.7109375" style="108" customWidth="1"/>
    <col min="11797" max="11797" width="12.5703125" style="108" customWidth="1"/>
    <col min="11798" max="11798" width="19.140625" style="108" customWidth="1"/>
    <col min="11799" max="11799" width="12.28515625" style="108" customWidth="1"/>
    <col min="11800" max="11800" width="17.140625" style="108" customWidth="1"/>
    <col min="11801" max="11801" width="12.5703125" style="108" customWidth="1"/>
    <col min="11802" max="11802" width="17.7109375" style="108" customWidth="1"/>
    <col min="11803" max="11803" width="12.140625" style="108" customWidth="1"/>
    <col min="11804" max="11804" width="30.5703125" style="108" customWidth="1"/>
    <col min="11805" max="11808" width="8.140625" style="108" customWidth="1"/>
    <col min="11809" max="11809" width="9.42578125" style="108" customWidth="1"/>
    <col min="11810" max="11810" width="8.140625" style="108" customWidth="1"/>
    <col min="11811" max="11815" width="7.85546875" style="108" customWidth="1"/>
    <col min="11816" max="11816" width="11.28515625" style="108" customWidth="1"/>
    <col min="11817" max="11817" width="2.28515625" style="108" customWidth="1"/>
    <col min="11818" max="11818" width="19.42578125" style="108"/>
    <col min="11819" max="11844" width="11.28515625" style="108" customWidth="1"/>
    <col min="11845" max="11856" width="8.85546875" style="108" customWidth="1"/>
    <col min="11857" max="12034" width="19.42578125" style="108"/>
    <col min="12035" max="12037" width="11" style="108" customWidth="1"/>
    <col min="12038" max="12038" width="16.140625" style="108" customWidth="1"/>
    <col min="12039" max="12039" width="12.42578125" style="108" customWidth="1"/>
    <col min="12040" max="12040" width="14.28515625" style="108" customWidth="1"/>
    <col min="12041" max="12041" width="12" style="108" customWidth="1"/>
    <col min="12042" max="12042" width="16.7109375" style="108" customWidth="1"/>
    <col min="12043" max="12043" width="12" style="108" customWidth="1"/>
    <col min="12044" max="12044" width="16.28515625" style="108" customWidth="1"/>
    <col min="12045" max="12045" width="12.28515625" style="108" customWidth="1"/>
    <col min="12046" max="12046" width="17.42578125" style="108" customWidth="1"/>
    <col min="12047" max="12047" width="12" style="108" customWidth="1"/>
    <col min="12048" max="12048" width="16.5703125" style="108" customWidth="1"/>
    <col min="12049" max="12049" width="13.28515625" style="108" customWidth="1"/>
    <col min="12050" max="12050" width="16.5703125" style="108" customWidth="1"/>
    <col min="12051" max="12051" width="13.7109375" style="108" customWidth="1"/>
    <col min="12052" max="12052" width="15.7109375" style="108" customWidth="1"/>
    <col min="12053" max="12053" width="12.5703125" style="108" customWidth="1"/>
    <col min="12054" max="12054" width="19.140625" style="108" customWidth="1"/>
    <col min="12055" max="12055" width="12.28515625" style="108" customWidth="1"/>
    <col min="12056" max="12056" width="17.140625" style="108" customWidth="1"/>
    <col min="12057" max="12057" width="12.5703125" style="108" customWidth="1"/>
    <col min="12058" max="12058" width="17.7109375" style="108" customWidth="1"/>
    <col min="12059" max="12059" width="12.140625" style="108" customWidth="1"/>
    <col min="12060" max="12060" width="30.5703125" style="108" customWidth="1"/>
    <col min="12061" max="12064" width="8.140625" style="108" customWidth="1"/>
    <col min="12065" max="12065" width="9.42578125" style="108" customWidth="1"/>
    <col min="12066" max="12066" width="8.140625" style="108" customWidth="1"/>
    <col min="12067" max="12071" width="7.85546875" style="108" customWidth="1"/>
    <col min="12072" max="12072" width="11.28515625" style="108" customWidth="1"/>
    <col min="12073" max="12073" width="2.28515625" style="108" customWidth="1"/>
    <col min="12074" max="12074" width="19.42578125" style="108"/>
    <col min="12075" max="12100" width="11.28515625" style="108" customWidth="1"/>
    <col min="12101" max="12112" width="8.85546875" style="108" customWidth="1"/>
    <col min="12113" max="12290" width="19.42578125" style="108"/>
    <col min="12291" max="12293" width="11" style="108" customWidth="1"/>
    <col min="12294" max="12294" width="16.140625" style="108" customWidth="1"/>
    <col min="12295" max="12295" width="12.42578125" style="108" customWidth="1"/>
    <col min="12296" max="12296" width="14.28515625" style="108" customWidth="1"/>
    <col min="12297" max="12297" width="12" style="108" customWidth="1"/>
    <col min="12298" max="12298" width="16.7109375" style="108" customWidth="1"/>
    <col min="12299" max="12299" width="12" style="108" customWidth="1"/>
    <col min="12300" max="12300" width="16.28515625" style="108" customWidth="1"/>
    <col min="12301" max="12301" width="12.28515625" style="108" customWidth="1"/>
    <col min="12302" max="12302" width="17.42578125" style="108" customWidth="1"/>
    <col min="12303" max="12303" width="12" style="108" customWidth="1"/>
    <col min="12304" max="12304" width="16.5703125" style="108" customWidth="1"/>
    <col min="12305" max="12305" width="13.28515625" style="108" customWidth="1"/>
    <col min="12306" max="12306" width="16.5703125" style="108" customWidth="1"/>
    <col min="12307" max="12307" width="13.7109375" style="108" customWidth="1"/>
    <col min="12308" max="12308" width="15.7109375" style="108" customWidth="1"/>
    <col min="12309" max="12309" width="12.5703125" style="108" customWidth="1"/>
    <col min="12310" max="12310" width="19.140625" style="108" customWidth="1"/>
    <col min="12311" max="12311" width="12.28515625" style="108" customWidth="1"/>
    <col min="12312" max="12312" width="17.140625" style="108" customWidth="1"/>
    <col min="12313" max="12313" width="12.5703125" style="108" customWidth="1"/>
    <col min="12314" max="12314" width="17.7109375" style="108" customWidth="1"/>
    <col min="12315" max="12315" width="12.140625" style="108" customWidth="1"/>
    <col min="12316" max="12316" width="30.5703125" style="108" customWidth="1"/>
    <col min="12317" max="12320" width="8.140625" style="108" customWidth="1"/>
    <col min="12321" max="12321" width="9.42578125" style="108" customWidth="1"/>
    <col min="12322" max="12322" width="8.140625" style="108" customWidth="1"/>
    <col min="12323" max="12327" width="7.85546875" style="108" customWidth="1"/>
    <col min="12328" max="12328" width="11.28515625" style="108" customWidth="1"/>
    <col min="12329" max="12329" width="2.28515625" style="108" customWidth="1"/>
    <col min="12330" max="12330" width="19.42578125" style="108"/>
    <col min="12331" max="12356" width="11.28515625" style="108" customWidth="1"/>
    <col min="12357" max="12368" width="8.85546875" style="108" customWidth="1"/>
    <col min="12369" max="12546" width="19.42578125" style="108"/>
    <col min="12547" max="12549" width="11" style="108" customWidth="1"/>
    <col min="12550" max="12550" width="16.140625" style="108" customWidth="1"/>
    <col min="12551" max="12551" width="12.42578125" style="108" customWidth="1"/>
    <col min="12552" max="12552" width="14.28515625" style="108" customWidth="1"/>
    <col min="12553" max="12553" width="12" style="108" customWidth="1"/>
    <col min="12554" max="12554" width="16.7109375" style="108" customWidth="1"/>
    <col min="12555" max="12555" width="12" style="108" customWidth="1"/>
    <col min="12556" max="12556" width="16.28515625" style="108" customWidth="1"/>
    <col min="12557" max="12557" width="12.28515625" style="108" customWidth="1"/>
    <col min="12558" max="12558" width="17.42578125" style="108" customWidth="1"/>
    <col min="12559" max="12559" width="12" style="108" customWidth="1"/>
    <col min="12560" max="12560" width="16.5703125" style="108" customWidth="1"/>
    <col min="12561" max="12561" width="13.28515625" style="108" customWidth="1"/>
    <col min="12562" max="12562" width="16.5703125" style="108" customWidth="1"/>
    <col min="12563" max="12563" width="13.7109375" style="108" customWidth="1"/>
    <col min="12564" max="12564" width="15.7109375" style="108" customWidth="1"/>
    <col min="12565" max="12565" width="12.5703125" style="108" customWidth="1"/>
    <col min="12566" max="12566" width="19.140625" style="108" customWidth="1"/>
    <col min="12567" max="12567" width="12.28515625" style="108" customWidth="1"/>
    <col min="12568" max="12568" width="17.140625" style="108" customWidth="1"/>
    <col min="12569" max="12569" width="12.5703125" style="108" customWidth="1"/>
    <col min="12570" max="12570" width="17.7109375" style="108" customWidth="1"/>
    <col min="12571" max="12571" width="12.140625" style="108" customWidth="1"/>
    <col min="12572" max="12572" width="30.5703125" style="108" customWidth="1"/>
    <col min="12573" max="12576" width="8.140625" style="108" customWidth="1"/>
    <col min="12577" max="12577" width="9.42578125" style="108" customWidth="1"/>
    <col min="12578" max="12578" width="8.140625" style="108" customWidth="1"/>
    <col min="12579" max="12583" width="7.85546875" style="108" customWidth="1"/>
    <col min="12584" max="12584" width="11.28515625" style="108" customWidth="1"/>
    <col min="12585" max="12585" width="2.28515625" style="108" customWidth="1"/>
    <col min="12586" max="12586" width="19.42578125" style="108"/>
    <col min="12587" max="12612" width="11.28515625" style="108" customWidth="1"/>
    <col min="12613" max="12624" width="8.85546875" style="108" customWidth="1"/>
    <col min="12625" max="12802" width="19.42578125" style="108"/>
    <col min="12803" max="12805" width="11" style="108" customWidth="1"/>
    <col min="12806" max="12806" width="16.140625" style="108" customWidth="1"/>
    <col min="12807" max="12807" width="12.42578125" style="108" customWidth="1"/>
    <col min="12808" max="12808" width="14.28515625" style="108" customWidth="1"/>
    <col min="12809" max="12809" width="12" style="108" customWidth="1"/>
    <col min="12810" max="12810" width="16.7109375" style="108" customWidth="1"/>
    <col min="12811" max="12811" width="12" style="108" customWidth="1"/>
    <col min="12812" max="12812" width="16.28515625" style="108" customWidth="1"/>
    <col min="12813" max="12813" width="12.28515625" style="108" customWidth="1"/>
    <col min="12814" max="12814" width="17.42578125" style="108" customWidth="1"/>
    <col min="12815" max="12815" width="12" style="108" customWidth="1"/>
    <col min="12816" max="12816" width="16.5703125" style="108" customWidth="1"/>
    <col min="12817" max="12817" width="13.28515625" style="108" customWidth="1"/>
    <col min="12818" max="12818" width="16.5703125" style="108" customWidth="1"/>
    <col min="12819" max="12819" width="13.7109375" style="108" customWidth="1"/>
    <col min="12820" max="12820" width="15.7109375" style="108" customWidth="1"/>
    <col min="12821" max="12821" width="12.5703125" style="108" customWidth="1"/>
    <col min="12822" max="12822" width="19.140625" style="108" customWidth="1"/>
    <col min="12823" max="12823" width="12.28515625" style="108" customWidth="1"/>
    <col min="12824" max="12824" width="17.140625" style="108" customWidth="1"/>
    <col min="12825" max="12825" width="12.5703125" style="108" customWidth="1"/>
    <col min="12826" max="12826" width="17.7109375" style="108" customWidth="1"/>
    <col min="12827" max="12827" width="12.140625" style="108" customWidth="1"/>
    <col min="12828" max="12828" width="30.5703125" style="108" customWidth="1"/>
    <col min="12829" max="12832" width="8.140625" style="108" customWidth="1"/>
    <col min="12833" max="12833" width="9.42578125" style="108" customWidth="1"/>
    <col min="12834" max="12834" width="8.140625" style="108" customWidth="1"/>
    <col min="12835" max="12839" width="7.85546875" style="108" customWidth="1"/>
    <col min="12840" max="12840" width="11.28515625" style="108" customWidth="1"/>
    <col min="12841" max="12841" width="2.28515625" style="108" customWidth="1"/>
    <col min="12842" max="12842" width="19.42578125" style="108"/>
    <col min="12843" max="12868" width="11.28515625" style="108" customWidth="1"/>
    <col min="12869" max="12880" width="8.85546875" style="108" customWidth="1"/>
    <col min="12881" max="13058" width="19.42578125" style="108"/>
    <col min="13059" max="13061" width="11" style="108" customWidth="1"/>
    <col min="13062" max="13062" width="16.140625" style="108" customWidth="1"/>
    <col min="13063" max="13063" width="12.42578125" style="108" customWidth="1"/>
    <col min="13064" max="13064" width="14.28515625" style="108" customWidth="1"/>
    <col min="13065" max="13065" width="12" style="108" customWidth="1"/>
    <col min="13066" max="13066" width="16.7109375" style="108" customWidth="1"/>
    <col min="13067" max="13067" width="12" style="108" customWidth="1"/>
    <col min="13068" max="13068" width="16.28515625" style="108" customWidth="1"/>
    <col min="13069" max="13069" width="12.28515625" style="108" customWidth="1"/>
    <col min="13070" max="13070" width="17.42578125" style="108" customWidth="1"/>
    <col min="13071" max="13071" width="12" style="108" customWidth="1"/>
    <col min="13072" max="13072" width="16.5703125" style="108" customWidth="1"/>
    <col min="13073" max="13073" width="13.28515625" style="108" customWidth="1"/>
    <col min="13074" max="13074" width="16.5703125" style="108" customWidth="1"/>
    <col min="13075" max="13075" width="13.7109375" style="108" customWidth="1"/>
    <col min="13076" max="13076" width="15.7109375" style="108" customWidth="1"/>
    <col min="13077" max="13077" width="12.5703125" style="108" customWidth="1"/>
    <col min="13078" max="13078" width="19.140625" style="108" customWidth="1"/>
    <col min="13079" max="13079" width="12.28515625" style="108" customWidth="1"/>
    <col min="13080" max="13080" width="17.140625" style="108" customWidth="1"/>
    <col min="13081" max="13081" width="12.5703125" style="108" customWidth="1"/>
    <col min="13082" max="13082" width="17.7109375" style="108" customWidth="1"/>
    <col min="13083" max="13083" width="12.140625" style="108" customWidth="1"/>
    <col min="13084" max="13084" width="30.5703125" style="108" customWidth="1"/>
    <col min="13085" max="13088" width="8.140625" style="108" customWidth="1"/>
    <col min="13089" max="13089" width="9.42578125" style="108" customWidth="1"/>
    <col min="13090" max="13090" width="8.140625" style="108" customWidth="1"/>
    <col min="13091" max="13095" width="7.85546875" style="108" customWidth="1"/>
    <col min="13096" max="13096" width="11.28515625" style="108" customWidth="1"/>
    <col min="13097" max="13097" width="2.28515625" style="108" customWidth="1"/>
    <col min="13098" max="13098" width="19.42578125" style="108"/>
    <col min="13099" max="13124" width="11.28515625" style="108" customWidth="1"/>
    <col min="13125" max="13136" width="8.85546875" style="108" customWidth="1"/>
    <col min="13137" max="13314" width="19.42578125" style="108"/>
    <col min="13315" max="13317" width="11" style="108" customWidth="1"/>
    <col min="13318" max="13318" width="16.140625" style="108" customWidth="1"/>
    <col min="13319" max="13319" width="12.42578125" style="108" customWidth="1"/>
    <col min="13320" max="13320" width="14.28515625" style="108" customWidth="1"/>
    <col min="13321" max="13321" width="12" style="108" customWidth="1"/>
    <col min="13322" max="13322" width="16.7109375" style="108" customWidth="1"/>
    <col min="13323" max="13323" width="12" style="108" customWidth="1"/>
    <col min="13324" max="13324" width="16.28515625" style="108" customWidth="1"/>
    <col min="13325" max="13325" width="12.28515625" style="108" customWidth="1"/>
    <col min="13326" max="13326" width="17.42578125" style="108" customWidth="1"/>
    <col min="13327" max="13327" width="12" style="108" customWidth="1"/>
    <col min="13328" max="13328" width="16.5703125" style="108" customWidth="1"/>
    <col min="13329" max="13329" width="13.28515625" style="108" customWidth="1"/>
    <col min="13330" max="13330" width="16.5703125" style="108" customWidth="1"/>
    <col min="13331" max="13331" width="13.7109375" style="108" customWidth="1"/>
    <col min="13332" max="13332" width="15.7109375" style="108" customWidth="1"/>
    <col min="13333" max="13333" width="12.5703125" style="108" customWidth="1"/>
    <col min="13334" max="13334" width="19.140625" style="108" customWidth="1"/>
    <col min="13335" max="13335" width="12.28515625" style="108" customWidth="1"/>
    <col min="13336" max="13336" width="17.140625" style="108" customWidth="1"/>
    <col min="13337" max="13337" width="12.5703125" style="108" customWidth="1"/>
    <col min="13338" max="13338" width="17.7109375" style="108" customWidth="1"/>
    <col min="13339" max="13339" width="12.140625" style="108" customWidth="1"/>
    <col min="13340" max="13340" width="30.5703125" style="108" customWidth="1"/>
    <col min="13341" max="13344" width="8.140625" style="108" customWidth="1"/>
    <col min="13345" max="13345" width="9.42578125" style="108" customWidth="1"/>
    <col min="13346" max="13346" width="8.140625" style="108" customWidth="1"/>
    <col min="13347" max="13351" width="7.85546875" style="108" customWidth="1"/>
    <col min="13352" max="13352" width="11.28515625" style="108" customWidth="1"/>
    <col min="13353" max="13353" width="2.28515625" style="108" customWidth="1"/>
    <col min="13354" max="13354" width="19.42578125" style="108"/>
    <col min="13355" max="13380" width="11.28515625" style="108" customWidth="1"/>
    <col min="13381" max="13392" width="8.85546875" style="108" customWidth="1"/>
    <col min="13393" max="13570" width="19.42578125" style="108"/>
    <col min="13571" max="13573" width="11" style="108" customWidth="1"/>
    <col min="13574" max="13574" width="16.140625" style="108" customWidth="1"/>
    <col min="13575" max="13575" width="12.42578125" style="108" customWidth="1"/>
    <col min="13576" max="13576" width="14.28515625" style="108" customWidth="1"/>
    <col min="13577" max="13577" width="12" style="108" customWidth="1"/>
    <col min="13578" max="13578" width="16.7109375" style="108" customWidth="1"/>
    <col min="13579" max="13579" width="12" style="108" customWidth="1"/>
    <col min="13580" max="13580" width="16.28515625" style="108" customWidth="1"/>
    <col min="13581" max="13581" width="12.28515625" style="108" customWidth="1"/>
    <col min="13582" max="13582" width="17.42578125" style="108" customWidth="1"/>
    <col min="13583" max="13583" width="12" style="108" customWidth="1"/>
    <col min="13584" max="13584" width="16.5703125" style="108" customWidth="1"/>
    <col min="13585" max="13585" width="13.28515625" style="108" customWidth="1"/>
    <col min="13586" max="13586" width="16.5703125" style="108" customWidth="1"/>
    <col min="13587" max="13587" width="13.7109375" style="108" customWidth="1"/>
    <col min="13588" max="13588" width="15.7109375" style="108" customWidth="1"/>
    <col min="13589" max="13589" width="12.5703125" style="108" customWidth="1"/>
    <col min="13590" max="13590" width="19.140625" style="108" customWidth="1"/>
    <col min="13591" max="13591" width="12.28515625" style="108" customWidth="1"/>
    <col min="13592" max="13592" width="17.140625" style="108" customWidth="1"/>
    <col min="13593" max="13593" width="12.5703125" style="108" customWidth="1"/>
    <col min="13594" max="13594" width="17.7109375" style="108" customWidth="1"/>
    <col min="13595" max="13595" width="12.140625" style="108" customWidth="1"/>
    <col min="13596" max="13596" width="30.5703125" style="108" customWidth="1"/>
    <col min="13597" max="13600" width="8.140625" style="108" customWidth="1"/>
    <col min="13601" max="13601" width="9.42578125" style="108" customWidth="1"/>
    <col min="13602" max="13602" width="8.140625" style="108" customWidth="1"/>
    <col min="13603" max="13607" width="7.85546875" style="108" customWidth="1"/>
    <col min="13608" max="13608" width="11.28515625" style="108" customWidth="1"/>
    <col min="13609" max="13609" width="2.28515625" style="108" customWidth="1"/>
    <col min="13610" max="13610" width="19.42578125" style="108"/>
    <col min="13611" max="13636" width="11.28515625" style="108" customWidth="1"/>
    <col min="13637" max="13648" width="8.85546875" style="108" customWidth="1"/>
    <col min="13649" max="13826" width="19.42578125" style="108"/>
    <col min="13827" max="13829" width="11" style="108" customWidth="1"/>
    <col min="13830" max="13830" width="16.140625" style="108" customWidth="1"/>
    <col min="13831" max="13831" width="12.42578125" style="108" customWidth="1"/>
    <col min="13832" max="13832" width="14.28515625" style="108" customWidth="1"/>
    <col min="13833" max="13833" width="12" style="108" customWidth="1"/>
    <col min="13834" max="13834" width="16.7109375" style="108" customWidth="1"/>
    <col min="13835" max="13835" width="12" style="108" customWidth="1"/>
    <col min="13836" max="13836" width="16.28515625" style="108" customWidth="1"/>
    <col min="13837" max="13837" width="12.28515625" style="108" customWidth="1"/>
    <col min="13838" max="13838" width="17.42578125" style="108" customWidth="1"/>
    <col min="13839" max="13839" width="12" style="108" customWidth="1"/>
    <col min="13840" max="13840" width="16.5703125" style="108" customWidth="1"/>
    <col min="13841" max="13841" width="13.28515625" style="108" customWidth="1"/>
    <col min="13842" max="13842" width="16.5703125" style="108" customWidth="1"/>
    <col min="13843" max="13843" width="13.7109375" style="108" customWidth="1"/>
    <col min="13844" max="13844" width="15.7109375" style="108" customWidth="1"/>
    <col min="13845" max="13845" width="12.5703125" style="108" customWidth="1"/>
    <col min="13846" max="13846" width="19.140625" style="108" customWidth="1"/>
    <col min="13847" max="13847" width="12.28515625" style="108" customWidth="1"/>
    <col min="13848" max="13848" width="17.140625" style="108" customWidth="1"/>
    <col min="13849" max="13849" width="12.5703125" style="108" customWidth="1"/>
    <col min="13850" max="13850" width="17.7109375" style="108" customWidth="1"/>
    <col min="13851" max="13851" width="12.140625" style="108" customWidth="1"/>
    <col min="13852" max="13852" width="30.5703125" style="108" customWidth="1"/>
    <col min="13853" max="13856" width="8.140625" style="108" customWidth="1"/>
    <col min="13857" max="13857" width="9.42578125" style="108" customWidth="1"/>
    <col min="13858" max="13858" width="8.140625" style="108" customWidth="1"/>
    <col min="13859" max="13863" width="7.85546875" style="108" customWidth="1"/>
    <col min="13864" max="13864" width="11.28515625" style="108" customWidth="1"/>
    <col min="13865" max="13865" width="2.28515625" style="108" customWidth="1"/>
    <col min="13866" max="13866" width="19.42578125" style="108"/>
    <col min="13867" max="13892" width="11.28515625" style="108" customWidth="1"/>
    <col min="13893" max="13904" width="8.85546875" style="108" customWidth="1"/>
    <col min="13905" max="14082" width="19.42578125" style="108"/>
    <col min="14083" max="14085" width="11" style="108" customWidth="1"/>
    <col min="14086" max="14086" width="16.140625" style="108" customWidth="1"/>
    <col min="14087" max="14087" width="12.42578125" style="108" customWidth="1"/>
    <col min="14088" max="14088" width="14.28515625" style="108" customWidth="1"/>
    <col min="14089" max="14089" width="12" style="108" customWidth="1"/>
    <col min="14090" max="14090" width="16.7109375" style="108" customWidth="1"/>
    <col min="14091" max="14091" width="12" style="108" customWidth="1"/>
    <col min="14092" max="14092" width="16.28515625" style="108" customWidth="1"/>
    <col min="14093" max="14093" width="12.28515625" style="108" customWidth="1"/>
    <col min="14094" max="14094" width="17.42578125" style="108" customWidth="1"/>
    <col min="14095" max="14095" width="12" style="108" customWidth="1"/>
    <col min="14096" max="14096" width="16.5703125" style="108" customWidth="1"/>
    <col min="14097" max="14097" width="13.28515625" style="108" customWidth="1"/>
    <col min="14098" max="14098" width="16.5703125" style="108" customWidth="1"/>
    <col min="14099" max="14099" width="13.7109375" style="108" customWidth="1"/>
    <col min="14100" max="14100" width="15.7109375" style="108" customWidth="1"/>
    <col min="14101" max="14101" width="12.5703125" style="108" customWidth="1"/>
    <col min="14102" max="14102" width="19.140625" style="108" customWidth="1"/>
    <col min="14103" max="14103" width="12.28515625" style="108" customWidth="1"/>
    <col min="14104" max="14104" width="17.140625" style="108" customWidth="1"/>
    <col min="14105" max="14105" width="12.5703125" style="108" customWidth="1"/>
    <col min="14106" max="14106" width="17.7109375" style="108" customWidth="1"/>
    <col min="14107" max="14107" width="12.140625" style="108" customWidth="1"/>
    <col min="14108" max="14108" width="30.5703125" style="108" customWidth="1"/>
    <col min="14109" max="14112" width="8.140625" style="108" customWidth="1"/>
    <col min="14113" max="14113" width="9.42578125" style="108" customWidth="1"/>
    <col min="14114" max="14114" width="8.140625" style="108" customWidth="1"/>
    <col min="14115" max="14119" width="7.85546875" style="108" customWidth="1"/>
    <col min="14120" max="14120" width="11.28515625" style="108" customWidth="1"/>
    <col min="14121" max="14121" width="2.28515625" style="108" customWidth="1"/>
    <col min="14122" max="14122" width="19.42578125" style="108"/>
    <col min="14123" max="14148" width="11.28515625" style="108" customWidth="1"/>
    <col min="14149" max="14160" width="8.85546875" style="108" customWidth="1"/>
    <col min="14161" max="14338" width="19.42578125" style="108"/>
    <col min="14339" max="14341" width="11" style="108" customWidth="1"/>
    <col min="14342" max="14342" width="16.140625" style="108" customWidth="1"/>
    <col min="14343" max="14343" width="12.42578125" style="108" customWidth="1"/>
    <col min="14344" max="14344" width="14.28515625" style="108" customWidth="1"/>
    <col min="14345" max="14345" width="12" style="108" customWidth="1"/>
    <col min="14346" max="14346" width="16.7109375" style="108" customWidth="1"/>
    <col min="14347" max="14347" width="12" style="108" customWidth="1"/>
    <col min="14348" max="14348" width="16.28515625" style="108" customWidth="1"/>
    <col min="14349" max="14349" width="12.28515625" style="108" customWidth="1"/>
    <col min="14350" max="14350" width="17.42578125" style="108" customWidth="1"/>
    <col min="14351" max="14351" width="12" style="108" customWidth="1"/>
    <col min="14352" max="14352" width="16.5703125" style="108" customWidth="1"/>
    <col min="14353" max="14353" width="13.28515625" style="108" customWidth="1"/>
    <col min="14354" max="14354" width="16.5703125" style="108" customWidth="1"/>
    <col min="14355" max="14355" width="13.7109375" style="108" customWidth="1"/>
    <col min="14356" max="14356" width="15.7109375" style="108" customWidth="1"/>
    <col min="14357" max="14357" width="12.5703125" style="108" customWidth="1"/>
    <col min="14358" max="14358" width="19.140625" style="108" customWidth="1"/>
    <col min="14359" max="14359" width="12.28515625" style="108" customWidth="1"/>
    <col min="14360" max="14360" width="17.140625" style="108" customWidth="1"/>
    <col min="14361" max="14361" width="12.5703125" style="108" customWidth="1"/>
    <col min="14362" max="14362" width="17.7109375" style="108" customWidth="1"/>
    <col min="14363" max="14363" width="12.140625" style="108" customWidth="1"/>
    <col min="14364" max="14364" width="30.5703125" style="108" customWidth="1"/>
    <col min="14365" max="14368" width="8.140625" style="108" customWidth="1"/>
    <col min="14369" max="14369" width="9.42578125" style="108" customWidth="1"/>
    <col min="14370" max="14370" width="8.140625" style="108" customWidth="1"/>
    <col min="14371" max="14375" width="7.85546875" style="108" customWidth="1"/>
    <col min="14376" max="14376" width="11.28515625" style="108" customWidth="1"/>
    <col min="14377" max="14377" width="2.28515625" style="108" customWidth="1"/>
    <col min="14378" max="14378" width="19.42578125" style="108"/>
    <col min="14379" max="14404" width="11.28515625" style="108" customWidth="1"/>
    <col min="14405" max="14416" width="8.85546875" style="108" customWidth="1"/>
    <col min="14417" max="14594" width="19.42578125" style="108"/>
    <col min="14595" max="14597" width="11" style="108" customWidth="1"/>
    <col min="14598" max="14598" width="16.140625" style="108" customWidth="1"/>
    <col min="14599" max="14599" width="12.42578125" style="108" customWidth="1"/>
    <col min="14600" max="14600" width="14.28515625" style="108" customWidth="1"/>
    <col min="14601" max="14601" width="12" style="108" customWidth="1"/>
    <col min="14602" max="14602" width="16.7109375" style="108" customWidth="1"/>
    <col min="14603" max="14603" width="12" style="108" customWidth="1"/>
    <col min="14604" max="14604" width="16.28515625" style="108" customWidth="1"/>
    <col min="14605" max="14605" width="12.28515625" style="108" customWidth="1"/>
    <col min="14606" max="14606" width="17.42578125" style="108" customWidth="1"/>
    <col min="14607" max="14607" width="12" style="108" customWidth="1"/>
    <col min="14608" max="14608" width="16.5703125" style="108" customWidth="1"/>
    <col min="14609" max="14609" width="13.28515625" style="108" customWidth="1"/>
    <col min="14610" max="14610" width="16.5703125" style="108" customWidth="1"/>
    <col min="14611" max="14611" width="13.7109375" style="108" customWidth="1"/>
    <col min="14612" max="14612" width="15.7109375" style="108" customWidth="1"/>
    <col min="14613" max="14613" width="12.5703125" style="108" customWidth="1"/>
    <col min="14614" max="14614" width="19.140625" style="108" customWidth="1"/>
    <col min="14615" max="14615" width="12.28515625" style="108" customWidth="1"/>
    <col min="14616" max="14616" width="17.140625" style="108" customWidth="1"/>
    <col min="14617" max="14617" width="12.5703125" style="108" customWidth="1"/>
    <col min="14618" max="14618" width="17.7109375" style="108" customWidth="1"/>
    <col min="14619" max="14619" width="12.140625" style="108" customWidth="1"/>
    <col min="14620" max="14620" width="30.5703125" style="108" customWidth="1"/>
    <col min="14621" max="14624" width="8.140625" style="108" customWidth="1"/>
    <col min="14625" max="14625" width="9.42578125" style="108" customWidth="1"/>
    <col min="14626" max="14626" width="8.140625" style="108" customWidth="1"/>
    <col min="14627" max="14631" width="7.85546875" style="108" customWidth="1"/>
    <col min="14632" max="14632" width="11.28515625" style="108" customWidth="1"/>
    <col min="14633" max="14633" width="2.28515625" style="108" customWidth="1"/>
    <col min="14634" max="14634" width="19.42578125" style="108"/>
    <col min="14635" max="14660" width="11.28515625" style="108" customWidth="1"/>
    <col min="14661" max="14672" width="8.85546875" style="108" customWidth="1"/>
    <col min="14673" max="14850" width="19.42578125" style="108"/>
    <col min="14851" max="14853" width="11" style="108" customWidth="1"/>
    <col min="14854" max="14854" width="16.140625" style="108" customWidth="1"/>
    <col min="14855" max="14855" width="12.42578125" style="108" customWidth="1"/>
    <col min="14856" max="14856" width="14.28515625" style="108" customWidth="1"/>
    <col min="14857" max="14857" width="12" style="108" customWidth="1"/>
    <col min="14858" max="14858" width="16.7109375" style="108" customWidth="1"/>
    <col min="14859" max="14859" width="12" style="108" customWidth="1"/>
    <col min="14860" max="14860" width="16.28515625" style="108" customWidth="1"/>
    <col min="14861" max="14861" width="12.28515625" style="108" customWidth="1"/>
    <col min="14862" max="14862" width="17.42578125" style="108" customWidth="1"/>
    <col min="14863" max="14863" width="12" style="108" customWidth="1"/>
    <col min="14864" max="14864" width="16.5703125" style="108" customWidth="1"/>
    <col min="14865" max="14865" width="13.28515625" style="108" customWidth="1"/>
    <col min="14866" max="14866" width="16.5703125" style="108" customWidth="1"/>
    <col min="14867" max="14867" width="13.7109375" style="108" customWidth="1"/>
    <col min="14868" max="14868" width="15.7109375" style="108" customWidth="1"/>
    <col min="14869" max="14869" width="12.5703125" style="108" customWidth="1"/>
    <col min="14870" max="14870" width="19.140625" style="108" customWidth="1"/>
    <col min="14871" max="14871" width="12.28515625" style="108" customWidth="1"/>
    <col min="14872" max="14872" width="17.140625" style="108" customWidth="1"/>
    <col min="14873" max="14873" width="12.5703125" style="108" customWidth="1"/>
    <col min="14874" max="14874" width="17.7109375" style="108" customWidth="1"/>
    <col min="14875" max="14875" width="12.140625" style="108" customWidth="1"/>
    <col min="14876" max="14876" width="30.5703125" style="108" customWidth="1"/>
    <col min="14877" max="14880" width="8.140625" style="108" customWidth="1"/>
    <col min="14881" max="14881" width="9.42578125" style="108" customWidth="1"/>
    <col min="14882" max="14882" width="8.140625" style="108" customWidth="1"/>
    <col min="14883" max="14887" width="7.85546875" style="108" customWidth="1"/>
    <col min="14888" max="14888" width="11.28515625" style="108" customWidth="1"/>
    <col min="14889" max="14889" width="2.28515625" style="108" customWidth="1"/>
    <col min="14890" max="14890" width="19.42578125" style="108"/>
    <col min="14891" max="14916" width="11.28515625" style="108" customWidth="1"/>
    <col min="14917" max="14928" width="8.85546875" style="108" customWidth="1"/>
    <col min="14929" max="15106" width="19.42578125" style="108"/>
    <col min="15107" max="15109" width="11" style="108" customWidth="1"/>
    <col min="15110" max="15110" width="16.140625" style="108" customWidth="1"/>
    <col min="15111" max="15111" width="12.42578125" style="108" customWidth="1"/>
    <col min="15112" max="15112" width="14.28515625" style="108" customWidth="1"/>
    <col min="15113" max="15113" width="12" style="108" customWidth="1"/>
    <col min="15114" max="15114" width="16.7109375" style="108" customWidth="1"/>
    <col min="15115" max="15115" width="12" style="108" customWidth="1"/>
    <col min="15116" max="15116" width="16.28515625" style="108" customWidth="1"/>
    <col min="15117" max="15117" width="12.28515625" style="108" customWidth="1"/>
    <col min="15118" max="15118" width="17.42578125" style="108" customWidth="1"/>
    <col min="15119" max="15119" width="12" style="108" customWidth="1"/>
    <col min="15120" max="15120" width="16.5703125" style="108" customWidth="1"/>
    <col min="15121" max="15121" width="13.28515625" style="108" customWidth="1"/>
    <col min="15122" max="15122" width="16.5703125" style="108" customWidth="1"/>
    <col min="15123" max="15123" width="13.7109375" style="108" customWidth="1"/>
    <col min="15124" max="15124" width="15.7109375" style="108" customWidth="1"/>
    <col min="15125" max="15125" width="12.5703125" style="108" customWidth="1"/>
    <col min="15126" max="15126" width="19.140625" style="108" customWidth="1"/>
    <col min="15127" max="15127" width="12.28515625" style="108" customWidth="1"/>
    <col min="15128" max="15128" width="17.140625" style="108" customWidth="1"/>
    <col min="15129" max="15129" width="12.5703125" style="108" customWidth="1"/>
    <col min="15130" max="15130" width="17.7109375" style="108" customWidth="1"/>
    <col min="15131" max="15131" width="12.140625" style="108" customWidth="1"/>
    <col min="15132" max="15132" width="30.5703125" style="108" customWidth="1"/>
    <col min="15133" max="15136" width="8.140625" style="108" customWidth="1"/>
    <col min="15137" max="15137" width="9.42578125" style="108" customWidth="1"/>
    <col min="15138" max="15138" width="8.140625" style="108" customWidth="1"/>
    <col min="15139" max="15143" width="7.85546875" style="108" customWidth="1"/>
    <col min="15144" max="15144" width="11.28515625" style="108" customWidth="1"/>
    <col min="15145" max="15145" width="2.28515625" style="108" customWidth="1"/>
    <col min="15146" max="15146" width="19.42578125" style="108"/>
    <col min="15147" max="15172" width="11.28515625" style="108" customWidth="1"/>
    <col min="15173" max="15184" width="8.85546875" style="108" customWidth="1"/>
    <col min="15185" max="15362" width="19.42578125" style="108"/>
    <col min="15363" max="15365" width="11" style="108" customWidth="1"/>
    <col min="15366" max="15366" width="16.140625" style="108" customWidth="1"/>
    <col min="15367" max="15367" width="12.42578125" style="108" customWidth="1"/>
    <col min="15368" max="15368" width="14.28515625" style="108" customWidth="1"/>
    <col min="15369" max="15369" width="12" style="108" customWidth="1"/>
    <col min="15370" max="15370" width="16.7109375" style="108" customWidth="1"/>
    <col min="15371" max="15371" width="12" style="108" customWidth="1"/>
    <col min="15372" max="15372" width="16.28515625" style="108" customWidth="1"/>
    <col min="15373" max="15373" width="12.28515625" style="108" customWidth="1"/>
    <col min="15374" max="15374" width="17.42578125" style="108" customWidth="1"/>
    <col min="15375" max="15375" width="12" style="108" customWidth="1"/>
    <col min="15376" max="15376" width="16.5703125" style="108" customWidth="1"/>
    <col min="15377" max="15377" width="13.28515625" style="108" customWidth="1"/>
    <col min="15378" max="15378" width="16.5703125" style="108" customWidth="1"/>
    <col min="15379" max="15379" width="13.7109375" style="108" customWidth="1"/>
    <col min="15380" max="15380" width="15.7109375" style="108" customWidth="1"/>
    <col min="15381" max="15381" width="12.5703125" style="108" customWidth="1"/>
    <col min="15382" max="15382" width="19.140625" style="108" customWidth="1"/>
    <col min="15383" max="15383" width="12.28515625" style="108" customWidth="1"/>
    <col min="15384" max="15384" width="17.140625" style="108" customWidth="1"/>
    <col min="15385" max="15385" width="12.5703125" style="108" customWidth="1"/>
    <col min="15386" max="15386" width="17.7109375" style="108" customWidth="1"/>
    <col min="15387" max="15387" width="12.140625" style="108" customWidth="1"/>
    <col min="15388" max="15388" width="30.5703125" style="108" customWidth="1"/>
    <col min="15389" max="15392" width="8.140625" style="108" customWidth="1"/>
    <col min="15393" max="15393" width="9.42578125" style="108" customWidth="1"/>
    <col min="15394" max="15394" width="8.140625" style="108" customWidth="1"/>
    <col min="15395" max="15399" width="7.85546875" style="108" customWidth="1"/>
    <col min="15400" max="15400" width="11.28515625" style="108" customWidth="1"/>
    <col min="15401" max="15401" width="2.28515625" style="108" customWidth="1"/>
    <col min="15402" max="15402" width="19.42578125" style="108"/>
    <col min="15403" max="15428" width="11.28515625" style="108" customWidth="1"/>
    <col min="15429" max="15440" width="8.85546875" style="108" customWidth="1"/>
    <col min="15441" max="15618" width="19.42578125" style="108"/>
    <col min="15619" max="15621" width="11" style="108" customWidth="1"/>
    <col min="15622" max="15622" width="16.140625" style="108" customWidth="1"/>
    <col min="15623" max="15623" width="12.42578125" style="108" customWidth="1"/>
    <col min="15624" max="15624" width="14.28515625" style="108" customWidth="1"/>
    <col min="15625" max="15625" width="12" style="108" customWidth="1"/>
    <col min="15626" max="15626" width="16.7109375" style="108" customWidth="1"/>
    <col min="15627" max="15627" width="12" style="108" customWidth="1"/>
    <col min="15628" max="15628" width="16.28515625" style="108" customWidth="1"/>
    <col min="15629" max="15629" width="12.28515625" style="108" customWidth="1"/>
    <col min="15630" max="15630" width="17.42578125" style="108" customWidth="1"/>
    <col min="15631" max="15631" width="12" style="108" customWidth="1"/>
    <col min="15632" max="15632" width="16.5703125" style="108" customWidth="1"/>
    <col min="15633" max="15633" width="13.28515625" style="108" customWidth="1"/>
    <col min="15634" max="15634" width="16.5703125" style="108" customWidth="1"/>
    <col min="15635" max="15635" width="13.7109375" style="108" customWidth="1"/>
    <col min="15636" max="15636" width="15.7109375" style="108" customWidth="1"/>
    <col min="15637" max="15637" width="12.5703125" style="108" customWidth="1"/>
    <col min="15638" max="15638" width="19.140625" style="108" customWidth="1"/>
    <col min="15639" max="15639" width="12.28515625" style="108" customWidth="1"/>
    <col min="15640" max="15640" width="17.140625" style="108" customWidth="1"/>
    <col min="15641" max="15641" width="12.5703125" style="108" customWidth="1"/>
    <col min="15642" max="15642" width="17.7109375" style="108" customWidth="1"/>
    <col min="15643" max="15643" width="12.140625" style="108" customWidth="1"/>
    <col min="15644" max="15644" width="30.5703125" style="108" customWidth="1"/>
    <col min="15645" max="15648" width="8.140625" style="108" customWidth="1"/>
    <col min="15649" max="15649" width="9.42578125" style="108" customWidth="1"/>
    <col min="15650" max="15650" width="8.140625" style="108" customWidth="1"/>
    <col min="15651" max="15655" width="7.85546875" style="108" customWidth="1"/>
    <col min="15656" max="15656" width="11.28515625" style="108" customWidth="1"/>
    <col min="15657" max="15657" width="2.28515625" style="108" customWidth="1"/>
    <col min="15658" max="15658" width="19.42578125" style="108"/>
    <col min="15659" max="15684" width="11.28515625" style="108" customWidth="1"/>
    <col min="15685" max="15696" width="8.85546875" style="108" customWidth="1"/>
    <col min="15697" max="15874" width="19.42578125" style="108"/>
    <col min="15875" max="15877" width="11" style="108" customWidth="1"/>
    <col min="15878" max="15878" width="16.140625" style="108" customWidth="1"/>
    <col min="15879" max="15879" width="12.42578125" style="108" customWidth="1"/>
    <col min="15880" max="15880" width="14.28515625" style="108" customWidth="1"/>
    <col min="15881" max="15881" width="12" style="108" customWidth="1"/>
    <col min="15882" max="15882" width="16.7109375" style="108" customWidth="1"/>
    <col min="15883" max="15883" width="12" style="108" customWidth="1"/>
    <col min="15884" max="15884" width="16.28515625" style="108" customWidth="1"/>
    <col min="15885" max="15885" width="12.28515625" style="108" customWidth="1"/>
    <col min="15886" max="15886" width="17.42578125" style="108" customWidth="1"/>
    <col min="15887" max="15887" width="12" style="108" customWidth="1"/>
    <col min="15888" max="15888" width="16.5703125" style="108" customWidth="1"/>
    <col min="15889" max="15889" width="13.28515625" style="108" customWidth="1"/>
    <col min="15890" max="15890" width="16.5703125" style="108" customWidth="1"/>
    <col min="15891" max="15891" width="13.7109375" style="108" customWidth="1"/>
    <col min="15892" max="15892" width="15.7109375" style="108" customWidth="1"/>
    <col min="15893" max="15893" width="12.5703125" style="108" customWidth="1"/>
    <col min="15894" max="15894" width="19.140625" style="108" customWidth="1"/>
    <col min="15895" max="15895" width="12.28515625" style="108" customWidth="1"/>
    <col min="15896" max="15896" width="17.140625" style="108" customWidth="1"/>
    <col min="15897" max="15897" width="12.5703125" style="108" customWidth="1"/>
    <col min="15898" max="15898" width="17.7109375" style="108" customWidth="1"/>
    <col min="15899" max="15899" width="12.140625" style="108" customWidth="1"/>
    <col min="15900" max="15900" width="30.5703125" style="108" customWidth="1"/>
    <col min="15901" max="15904" width="8.140625" style="108" customWidth="1"/>
    <col min="15905" max="15905" width="9.42578125" style="108" customWidth="1"/>
    <col min="15906" max="15906" width="8.140625" style="108" customWidth="1"/>
    <col min="15907" max="15911" width="7.85546875" style="108" customWidth="1"/>
    <col min="15912" max="15912" width="11.28515625" style="108" customWidth="1"/>
    <col min="15913" max="15913" width="2.28515625" style="108" customWidth="1"/>
    <col min="15914" max="15914" width="19.42578125" style="108"/>
    <col min="15915" max="15940" width="11.28515625" style="108" customWidth="1"/>
    <col min="15941" max="15952" width="8.85546875" style="108" customWidth="1"/>
    <col min="15953" max="16130" width="19.42578125" style="108"/>
    <col min="16131" max="16133" width="11" style="108" customWidth="1"/>
    <col min="16134" max="16134" width="16.140625" style="108" customWidth="1"/>
    <col min="16135" max="16135" width="12.42578125" style="108" customWidth="1"/>
    <col min="16136" max="16136" width="14.28515625" style="108" customWidth="1"/>
    <col min="16137" max="16137" width="12" style="108" customWidth="1"/>
    <col min="16138" max="16138" width="16.7109375" style="108" customWidth="1"/>
    <col min="16139" max="16139" width="12" style="108" customWidth="1"/>
    <col min="16140" max="16140" width="16.28515625" style="108" customWidth="1"/>
    <col min="16141" max="16141" width="12.28515625" style="108" customWidth="1"/>
    <col min="16142" max="16142" width="17.42578125" style="108" customWidth="1"/>
    <col min="16143" max="16143" width="12" style="108" customWidth="1"/>
    <col min="16144" max="16144" width="16.5703125" style="108" customWidth="1"/>
    <col min="16145" max="16145" width="13.28515625" style="108" customWidth="1"/>
    <col min="16146" max="16146" width="16.5703125" style="108" customWidth="1"/>
    <col min="16147" max="16147" width="13.7109375" style="108" customWidth="1"/>
    <col min="16148" max="16148" width="15.7109375" style="108" customWidth="1"/>
    <col min="16149" max="16149" width="12.5703125" style="108" customWidth="1"/>
    <col min="16150" max="16150" width="19.140625" style="108" customWidth="1"/>
    <col min="16151" max="16151" width="12.28515625" style="108" customWidth="1"/>
    <col min="16152" max="16152" width="17.140625" style="108" customWidth="1"/>
    <col min="16153" max="16153" width="12.5703125" style="108" customWidth="1"/>
    <col min="16154" max="16154" width="17.7109375" style="108" customWidth="1"/>
    <col min="16155" max="16155" width="12.140625" style="108" customWidth="1"/>
    <col min="16156" max="16156" width="30.5703125" style="108" customWidth="1"/>
    <col min="16157" max="16160" width="8.140625" style="108" customWidth="1"/>
    <col min="16161" max="16161" width="9.42578125" style="108" customWidth="1"/>
    <col min="16162" max="16162" width="8.140625" style="108" customWidth="1"/>
    <col min="16163" max="16167" width="7.85546875" style="108" customWidth="1"/>
    <col min="16168" max="16168" width="11.28515625" style="108" customWidth="1"/>
    <col min="16169" max="16169" width="2.28515625" style="108" customWidth="1"/>
    <col min="16170" max="16170" width="19.42578125" style="108"/>
    <col min="16171" max="16196" width="11.28515625" style="108" customWidth="1"/>
    <col min="16197" max="16208" width="8.85546875" style="108" customWidth="1"/>
    <col min="16209" max="16384" width="19.42578125" style="108"/>
  </cols>
  <sheetData>
    <row r="1" spans="1:85" ht="15.95" customHeight="1">
      <c r="A1" s="1133" t="s">
        <v>0</v>
      </c>
      <c r="B1" s="1133"/>
      <c r="C1" s="1133"/>
      <c r="D1" s="1133"/>
      <c r="E1" s="1133"/>
      <c r="F1" s="1133"/>
      <c r="G1" s="1133"/>
      <c r="H1" s="1133"/>
      <c r="I1" s="1133"/>
      <c r="J1" s="1133"/>
      <c r="K1" s="1133"/>
      <c r="L1" s="1133"/>
      <c r="M1" s="1133"/>
      <c r="N1" s="1133"/>
      <c r="O1" s="1133"/>
      <c r="P1" s="1133"/>
      <c r="Q1" s="1133"/>
      <c r="R1" s="1133"/>
      <c r="S1" s="1133"/>
      <c r="T1" s="1133"/>
      <c r="U1" s="1133"/>
      <c r="V1" s="1133"/>
      <c r="W1" s="1133"/>
      <c r="X1" s="1133"/>
      <c r="Y1" s="1133"/>
      <c r="Z1" s="1133"/>
      <c r="AA1" s="1133"/>
      <c r="AB1" s="1133"/>
      <c r="AC1" s="1133"/>
      <c r="AD1" s="1133"/>
      <c r="AE1" s="1133"/>
      <c r="AF1" s="1133"/>
      <c r="AG1" s="1133"/>
      <c r="AH1" s="1133"/>
      <c r="AI1" s="1133"/>
      <c r="AJ1" s="1133"/>
      <c r="AK1" s="1133"/>
      <c r="AL1" s="1133"/>
      <c r="AM1" s="1133"/>
      <c r="AN1" s="1133"/>
      <c r="AO1" s="1133"/>
      <c r="AP1" s="1133"/>
      <c r="AQ1" s="1133"/>
      <c r="AR1" s="1133"/>
      <c r="AS1" s="1133"/>
      <c r="AT1" s="1133"/>
      <c r="AU1" s="1133"/>
      <c r="AV1" s="1133"/>
      <c r="AW1" s="1133"/>
      <c r="AX1" s="1133"/>
      <c r="AY1" s="1133"/>
      <c r="AZ1" s="1133"/>
      <c r="BA1" s="1133"/>
      <c r="BB1" s="1133"/>
      <c r="BC1" s="1133"/>
      <c r="BD1" s="1133"/>
      <c r="BE1" s="1133"/>
      <c r="BF1" s="1133"/>
      <c r="BG1" s="1133"/>
      <c r="BH1" s="1134"/>
      <c r="BI1" s="1133"/>
      <c r="BJ1" s="1133"/>
      <c r="BK1" s="1133"/>
      <c r="BL1" s="1133"/>
      <c r="BM1" s="1133"/>
      <c r="BN1" s="1133"/>
      <c r="BO1" s="1133"/>
      <c r="BP1" s="1133"/>
      <c r="BQ1" s="1133"/>
      <c r="BR1" s="1133"/>
      <c r="BS1" s="1133"/>
      <c r="BT1" s="1133"/>
      <c r="BU1" s="1133"/>
      <c r="BV1" s="1133"/>
      <c r="BW1" s="1133"/>
      <c r="BX1" s="1133"/>
      <c r="BY1" s="1133"/>
      <c r="BZ1" s="1135" t="s">
        <v>1</v>
      </c>
      <c r="CA1" s="1135"/>
      <c r="CB1" s="1135"/>
    </row>
    <row r="2" spans="1:85" ht="15.95" customHeight="1">
      <c r="A2" s="1133" t="s">
        <v>2</v>
      </c>
      <c r="B2" s="1133"/>
      <c r="C2" s="1133"/>
      <c r="D2" s="1133"/>
      <c r="E2" s="1133"/>
      <c r="F2" s="1133"/>
      <c r="G2" s="1133"/>
      <c r="H2" s="1133"/>
      <c r="I2" s="1133"/>
      <c r="J2" s="1133"/>
      <c r="K2" s="1133"/>
      <c r="L2" s="1133"/>
      <c r="M2" s="1133"/>
      <c r="N2" s="1133"/>
      <c r="O2" s="1133"/>
      <c r="P2" s="1133"/>
      <c r="Q2" s="1133"/>
      <c r="R2" s="1133"/>
      <c r="S2" s="1133"/>
      <c r="T2" s="1133"/>
      <c r="U2" s="1133"/>
      <c r="V2" s="1133"/>
      <c r="W2" s="1133"/>
      <c r="X2" s="1133"/>
      <c r="Y2" s="1133"/>
      <c r="Z2" s="1133"/>
      <c r="AA2" s="1133"/>
      <c r="AB2" s="1133"/>
      <c r="AC2" s="1133"/>
      <c r="AD2" s="1133"/>
      <c r="AE2" s="1133"/>
      <c r="AF2" s="1133"/>
      <c r="AG2" s="1133"/>
      <c r="AH2" s="1133"/>
      <c r="AI2" s="1133"/>
      <c r="AJ2" s="1133"/>
      <c r="AK2" s="1133"/>
      <c r="AL2" s="1133"/>
      <c r="AM2" s="1133"/>
      <c r="AN2" s="1133"/>
      <c r="AO2" s="1133"/>
      <c r="AP2" s="1133"/>
      <c r="AQ2" s="1133"/>
      <c r="AR2" s="1133"/>
      <c r="AS2" s="1133"/>
      <c r="AT2" s="1133"/>
      <c r="AU2" s="1133"/>
      <c r="AV2" s="1133"/>
      <c r="AW2" s="1133"/>
      <c r="AX2" s="1133"/>
      <c r="AY2" s="1133"/>
      <c r="AZ2" s="1133"/>
      <c r="BA2" s="1133"/>
      <c r="BB2" s="1133"/>
      <c r="BC2" s="1133"/>
      <c r="BD2" s="1133"/>
      <c r="BE2" s="1133"/>
      <c r="BF2" s="1133"/>
      <c r="BG2" s="1133"/>
      <c r="BH2" s="1134"/>
      <c r="BI2" s="1133"/>
      <c r="BJ2" s="1133"/>
      <c r="BK2" s="1133"/>
      <c r="BL2" s="1133"/>
      <c r="BM2" s="1133"/>
      <c r="BN2" s="1133"/>
      <c r="BO2" s="1133"/>
      <c r="BP2" s="1133"/>
      <c r="BQ2" s="1133"/>
      <c r="BR2" s="1133"/>
      <c r="BS2" s="1133"/>
      <c r="BT2" s="1133"/>
      <c r="BU2" s="1133"/>
      <c r="BV2" s="1133"/>
      <c r="BW2" s="1133"/>
      <c r="BX2" s="1133"/>
      <c r="BY2" s="1133"/>
      <c r="BZ2" s="1135" t="s">
        <v>3</v>
      </c>
      <c r="CA2" s="1135"/>
      <c r="CB2" s="1135"/>
    </row>
    <row r="3" spans="1:85" ht="26.1" customHeight="1">
      <c r="A3" s="1133"/>
      <c r="B3" s="1133"/>
      <c r="C3" s="1133"/>
      <c r="D3" s="1133"/>
      <c r="E3" s="1133"/>
      <c r="F3" s="1133"/>
      <c r="G3" s="1133"/>
      <c r="H3" s="1133"/>
      <c r="I3" s="1133"/>
      <c r="J3" s="1133"/>
      <c r="K3" s="1133"/>
      <c r="L3" s="1133"/>
      <c r="M3" s="1133"/>
      <c r="N3" s="1133"/>
      <c r="O3" s="1133"/>
      <c r="P3" s="1133"/>
      <c r="Q3" s="1133"/>
      <c r="R3" s="1133"/>
      <c r="S3" s="1133"/>
      <c r="T3" s="1133"/>
      <c r="U3" s="1133"/>
      <c r="V3" s="1133"/>
      <c r="W3" s="1133"/>
      <c r="X3" s="1133"/>
      <c r="Y3" s="1133"/>
      <c r="Z3" s="1133"/>
      <c r="AA3" s="1133"/>
      <c r="AB3" s="1133"/>
      <c r="AC3" s="1133"/>
      <c r="AD3" s="1133"/>
      <c r="AE3" s="1133"/>
      <c r="AF3" s="1133"/>
      <c r="AG3" s="1133"/>
      <c r="AH3" s="1133"/>
      <c r="AI3" s="1133"/>
      <c r="AJ3" s="1133"/>
      <c r="AK3" s="1133"/>
      <c r="AL3" s="1133"/>
      <c r="AM3" s="1133"/>
      <c r="AN3" s="1133"/>
      <c r="AO3" s="1133"/>
      <c r="AP3" s="1133"/>
      <c r="AQ3" s="1133"/>
      <c r="AR3" s="1133"/>
      <c r="AS3" s="1133"/>
      <c r="AT3" s="1133"/>
      <c r="AU3" s="1133"/>
      <c r="AV3" s="1133"/>
      <c r="AW3" s="1133"/>
      <c r="AX3" s="1133"/>
      <c r="AY3" s="1133"/>
      <c r="AZ3" s="1133"/>
      <c r="BA3" s="1133"/>
      <c r="BB3" s="1133"/>
      <c r="BC3" s="1133"/>
      <c r="BD3" s="1133"/>
      <c r="BE3" s="1133"/>
      <c r="BF3" s="1133"/>
      <c r="BG3" s="1133"/>
      <c r="BH3" s="1134"/>
      <c r="BI3" s="1133"/>
      <c r="BJ3" s="1133"/>
      <c r="BK3" s="1133"/>
      <c r="BL3" s="1133"/>
      <c r="BM3" s="1133"/>
      <c r="BN3" s="1133"/>
      <c r="BO3" s="1133"/>
      <c r="BP3" s="1133"/>
      <c r="BQ3" s="1133"/>
      <c r="BR3" s="1133"/>
      <c r="BS3" s="1133"/>
      <c r="BT3" s="1133"/>
      <c r="BU3" s="1133"/>
      <c r="BV3" s="1133"/>
      <c r="BW3" s="1133"/>
      <c r="BX3" s="1133"/>
      <c r="BY3" s="1133"/>
      <c r="BZ3" s="1135" t="s">
        <v>5</v>
      </c>
      <c r="CA3" s="1135"/>
      <c r="CB3" s="1135"/>
    </row>
    <row r="4" spans="1:85" ht="15.75" customHeight="1">
      <c r="A4" s="1133" t="s">
        <v>270</v>
      </c>
      <c r="B4" s="1133"/>
      <c r="C4" s="1133"/>
      <c r="D4" s="1133"/>
      <c r="E4" s="1133"/>
      <c r="F4" s="1133"/>
      <c r="G4" s="1133"/>
      <c r="H4" s="1133"/>
      <c r="I4" s="1133"/>
      <c r="J4" s="1133"/>
      <c r="K4" s="1133"/>
      <c r="L4" s="1133"/>
      <c r="M4" s="1133"/>
      <c r="N4" s="1133"/>
      <c r="O4" s="1133"/>
      <c r="P4" s="1133"/>
      <c r="Q4" s="1133"/>
      <c r="R4" s="1133"/>
      <c r="S4" s="1133"/>
      <c r="T4" s="1133"/>
      <c r="U4" s="1133"/>
      <c r="V4" s="1133"/>
      <c r="W4" s="1133"/>
      <c r="X4" s="1133"/>
      <c r="Y4" s="1133"/>
      <c r="Z4" s="1133"/>
      <c r="AA4" s="1133"/>
      <c r="AB4" s="1133"/>
      <c r="AC4" s="1133"/>
      <c r="AD4" s="1133"/>
      <c r="AE4" s="1133"/>
      <c r="AF4" s="1133"/>
      <c r="AG4" s="1133"/>
      <c r="AH4" s="1133"/>
      <c r="AI4" s="1133"/>
      <c r="AJ4" s="1133"/>
      <c r="AK4" s="1133"/>
      <c r="AL4" s="1133"/>
      <c r="AM4" s="1133"/>
      <c r="AN4" s="1133"/>
      <c r="AO4" s="1133"/>
      <c r="AP4" s="1133"/>
      <c r="AQ4" s="1133"/>
      <c r="AR4" s="1133"/>
      <c r="AS4" s="1133"/>
      <c r="AT4" s="1133"/>
      <c r="AU4" s="1133"/>
      <c r="AV4" s="1133"/>
      <c r="AW4" s="1133"/>
      <c r="AX4" s="1133"/>
      <c r="AY4" s="1133"/>
      <c r="AZ4" s="1133"/>
      <c r="BA4" s="1133"/>
      <c r="BB4" s="1133"/>
      <c r="BC4" s="1133"/>
      <c r="BD4" s="1133"/>
      <c r="BE4" s="1133"/>
      <c r="BF4" s="1133"/>
      <c r="BG4" s="1133"/>
      <c r="BH4" s="1134"/>
      <c r="BI4" s="1133"/>
      <c r="BJ4" s="1133"/>
      <c r="BK4" s="1133"/>
      <c r="BL4" s="1133"/>
      <c r="BM4" s="1133"/>
      <c r="BN4" s="1133"/>
      <c r="BO4" s="1133"/>
      <c r="BP4" s="1133"/>
      <c r="BQ4" s="1133"/>
      <c r="BR4" s="1133"/>
      <c r="BS4" s="1133"/>
      <c r="BT4" s="1133"/>
      <c r="BU4" s="1133"/>
      <c r="BV4" s="1133"/>
      <c r="BW4" s="1133"/>
      <c r="BX4" s="1133"/>
      <c r="BY4" s="1133"/>
      <c r="BZ4" s="1136" t="s">
        <v>271</v>
      </c>
      <c r="CA4" s="1137"/>
      <c r="CB4" s="1138"/>
    </row>
    <row r="5" spans="1:85" ht="26.1" customHeight="1">
      <c r="A5" s="1139" t="s">
        <v>272</v>
      </c>
      <c r="B5" s="1139"/>
      <c r="C5" s="1139"/>
      <c r="D5" s="1139"/>
      <c r="E5" s="1139"/>
      <c r="F5" s="1139"/>
      <c r="G5" s="1139"/>
      <c r="H5" s="1139"/>
      <c r="I5" s="1139"/>
      <c r="J5" s="1139"/>
      <c r="K5" s="1139"/>
      <c r="L5" s="1139"/>
      <c r="M5" s="1139"/>
      <c r="N5" s="1139"/>
      <c r="O5" s="1139"/>
      <c r="P5" s="1139"/>
      <c r="Q5" s="1139"/>
      <c r="R5" s="1139"/>
      <c r="S5" s="1139"/>
      <c r="T5" s="1139"/>
      <c r="U5" s="1139"/>
      <c r="V5" s="1139"/>
      <c r="W5" s="1139"/>
      <c r="X5" s="1139"/>
      <c r="Y5" s="1139"/>
      <c r="Z5" s="1139"/>
      <c r="AA5" s="1139"/>
      <c r="AB5" s="1139"/>
      <c r="AC5" s="1139"/>
      <c r="AD5" s="1139"/>
      <c r="AE5" s="1139"/>
      <c r="AF5" s="1139"/>
      <c r="AG5" s="1139"/>
      <c r="AH5" s="1139"/>
      <c r="AI5" s="1139"/>
      <c r="AJ5" s="1139"/>
      <c r="AK5" s="1139"/>
      <c r="AL5" s="1139"/>
      <c r="AM5" s="1139"/>
      <c r="AO5" s="1139" t="s">
        <v>273</v>
      </c>
      <c r="AP5" s="1139"/>
      <c r="AQ5" s="1139"/>
      <c r="AR5" s="1139"/>
      <c r="AS5" s="1139"/>
      <c r="AT5" s="1139"/>
      <c r="AU5" s="1139"/>
      <c r="AV5" s="1139"/>
      <c r="AW5" s="1139"/>
      <c r="AX5" s="1139"/>
      <c r="AY5" s="1139"/>
      <c r="AZ5" s="1139"/>
      <c r="BA5" s="1139"/>
      <c r="BB5" s="1139"/>
      <c r="BC5" s="1139"/>
      <c r="BD5" s="1139"/>
      <c r="BE5" s="1139"/>
      <c r="BF5" s="1139"/>
      <c r="BG5" s="1139"/>
      <c r="BH5" s="1140"/>
      <c r="BI5" s="1139"/>
      <c r="BJ5" s="1139"/>
      <c r="BK5" s="1139"/>
      <c r="BL5" s="1139"/>
      <c r="BM5" s="1139"/>
      <c r="BN5" s="1139"/>
      <c r="BO5" s="1139"/>
      <c r="BP5" s="1139"/>
      <c r="BQ5" s="1139"/>
      <c r="BR5" s="1139"/>
      <c r="BS5" s="1139"/>
      <c r="BT5" s="1139"/>
      <c r="BU5" s="1139"/>
      <c r="BV5" s="1139"/>
      <c r="BW5" s="1139"/>
      <c r="BX5" s="1139"/>
      <c r="BY5" s="1139"/>
      <c r="BZ5" s="1141"/>
      <c r="CA5" s="1141"/>
      <c r="CB5" s="1141"/>
    </row>
    <row r="6" spans="1:85" ht="28.5">
      <c r="A6" s="149" t="s">
        <v>274</v>
      </c>
      <c r="B6" s="1121" t="s">
        <v>275</v>
      </c>
      <c r="C6" s="1121"/>
      <c r="D6" s="1121"/>
      <c r="E6" s="1121"/>
      <c r="F6" s="1121"/>
      <c r="G6" s="1121"/>
      <c r="H6" s="1121"/>
      <c r="I6" s="1121"/>
      <c r="J6" s="1121"/>
      <c r="K6" s="1121"/>
      <c r="L6" s="1121"/>
      <c r="M6" s="1121"/>
      <c r="N6" s="1121"/>
      <c r="O6" s="1121"/>
      <c r="P6" s="1121"/>
      <c r="Q6" s="1121"/>
      <c r="R6" s="1121"/>
      <c r="S6" s="1121"/>
      <c r="T6" s="1121"/>
      <c r="U6" s="1121"/>
      <c r="V6" s="1121"/>
      <c r="W6" s="1121"/>
      <c r="X6" s="1121"/>
      <c r="Y6" s="1121"/>
      <c r="Z6" s="1121"/>
      <c r="AA6" s="1121"/>
      <c r="AB6" s="1121"/>
      <c r="AC6" s="1121"/>
      <c r="AD6" s="1121"/>
      <c r="AE6" s="1121"/>
      <c r="AF6" s="1121"/>
      <c r="AG6" s="1121"/>
      <c r="AH6" s="1121"/>
      <c r="AI6" s="1121"/>
      <c r="AJ6" s="1121"/>
      <c r="AK6" s="1121"/>
      <c r="AL6" s="1121"/>
      <c r="AM6" s="1121"/>
      <c r="AN6" s="1121"/>
      <c r="AO6" s="1121"/>
      <c r="AP6" s="1121"/>
      <c r="AQ6" s="1121"/>
      <c r="AR6" s="1121"/>
      <c r="AS6" s="1121"/>
      <c r="AT6" s="1121"/>
      <c r="AU6" s="1121"/>
      <c r="AV6" s="1121"/>
      <c r="AW6" s="1121"/>
      <c r="AX6" s="1121"/>
      <c r="AY6" s="1121"/>
      <c r="AZ6" s="1121"/>
      <c r="BA6" s="1121"/>
      <c r="BB6" s="1121"/>
      <c r="BC6" s="1121"/>
      <c r="BD6" s="1121"/>
      <c r="BE6" s="1121"/>
      <c r="BF6" s="1121"/>
      <c r="BG6" s="1121"/>
      <c r="BH6" s="1122"/>
      <c r="BI6" s="1121"/>
      <c r="BJ6" s="1121"/>
      <c r="BK6" s="1121"/>
      <c r="BL6" s="1121"/>
      <c r="BM6" s="1121"/>
      <c r="BN6" s="1121"/>
      <c r="BO6" s="1121"/>
      <c r="BP6" s="1121"/>
      <c r="BQ6" s="1121"/>
      <c r="BR6" s="1121"/>
      <c r="BS6" s="1121"/>
      <c r="BT6" s="1121"/>
      <c r="BU6" s="1121"/>
      <c r="BV6" s="1121"/>
      <c r="BW6" s="1121"/>
      <c r="BX6" s="1121"/>
      <c r="BY6" s="1121"/>
      <c r="BZ6" s="1121"/>
      <c r="CA6" s="1121"/>
      <c r="CB6" s="1121"/>
    </row>
    <row r="7" spans="1:85" ht="29.1" customHeight="1">
      <c r="A7" s="150" t="s">
        <v>276</v>
      </c>
      <c r="B7" s="1118" t="s">
        <v>24</v>
      </c>
      <c r="C7" s="1119"/>
      <c r="D7" s="1119"/>
      <c r="E7" s="1119"/>
      <c r="F7" s="1119"/>
      <c r="G7" s="1119"/>
      <c r="H7" s="1119"/>
      <c r="I7" s="1119"/>
      <c r="J7" s="1119"/>
      <c r="K7" s="1119"/>
      <c r="L7" s="1119"/>
      <c r="M7" s="1119"/>
      <c r="N7" s="1119"/>
      <c r="O7" s="1119"/>
      <c r="P7" s="1119"/>
      <c r="Q7" s="1119"/>
      <c r="R7" s="1119"/>
      <c r="S7" s="1119"/>
      <c r="T7" s="1119"/>
      <c r="U7" s="1119"/>
      <c r="V7" s="1119"/>
      <c r="W7" s="1119"/>
      <c r="X7" s="1119"/>
      <c r="Y7" s="1119"/>
      <c r="Z7" s="1119"/>
      <c r="AA7" s="1119"/>
      <c r="AB7" s="1119"/>
      <c r="AC7" s="1119"/>
      <c r="AD7" s="1119"/>
      <c r="AE7" s="1119"/>
      <c r="AF7" s="1119"/>
      <c r="AG7" s="1119"/>
      <c r="AH7" s="1119"/>
      <c r="AI7" s="1119"/>
      <c r="AJ7" s="1119"/>
      <c r="AK7" s="1119"/>
      <c r="AL7" s="1119"/>
      <c r="AM7" s="1119"/>
      <c r="AN7" s="1119"/>
      <c r="AO7" s="1119"/>
      <c r="AP7" s="1119"/>
      <c r="AQ7" s="1119"/>
      <c r="AR7" s="1119"/>
      <c r="AS7" s="1119"/>
      <c r="AT7" s="1119"/>
      <c r="AU7" s="1119"/>
      <c r="AV7" s="1119"/>
      <c r="AW7" s="1119"/>
      <c r="AX7" s="1119"/>
      <c r="AY7" s="1119"/>
      <c r="AZ7" s="1119"/>
      <c r="BA7" s="1119"/>
      <c r="BB7" s="1119"/>
      <c r="BC7" s="1119"/>
      <c r="BD7" s="1119"/>
      <c r="BE7" s="1119"/>
      <c r="BF7" s="1119"/>
      <c r="BG7" s="1119"/>
      <c r="BH7" s="1120"/>
      <c r="BI7" s="1119"/>
      <c r="BJ7" s="1119"/>
      <c r="BK7" s="1119"/>
      <c r="BL7" s="1119"/>
      <c r="BM7" s="1119"/>
      <c r="BN7" s="1119"/>
      <c r="BO7" s="1119"/>
      <c r="BP7" s="1119"/>
      <c r="BQ7" s="1119"/>
      <c r="BR7" s="1119"/>
      <c r="BS7" s="1119"/>
      <c r="BT7" s="1119"/>
      <c r="BU7" s="1119"/>
      <c r="BV7" s="1119"/>
      <c r="BW7" s="1119"/>
      <c r="BX7" s="1119"/>
      <c r="BY7" s="1119"/>
      <c r="BZ7" s="1119"/>
      <c r="CA7" s="1119"/>
      <c r="CB7" s="793"/>
    </row>
    <row r="8" spans="1:85" ht="6" customHeight="1">
      <c r="A8" s="141"/>
      <c r="B8" s="141"/>
      <c r="C8" s="141"/>
      <c r="D8" s="141"/>
      <c r="E8" s="141"/>
      <c r="F8" s="141"/>
      <c r="G8" s="141"/>
      <c r="H8" s="141"/>
      <c r="I8" s="141"/>
      <c r="J8" s="141"/>
      <c r="K8" s="141"/>
      <c r="L8" s="141"/>
      <c r="M8" s="141"/>
      <c r="N8" s="141"/>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O8" s="141"/>
      <c r="AP8" s="142"/>
      <c r="AQ8" s="142"/>
      <c r="AR8" s="142"/>
      <c r="AS8" s="142"/>
      <c r="AT8" s="142"/>
      <c r="AU8" s="142"/>
      <c r="AV8" s="142"/>
      <c r="AW8" s="142"/>
      <c r="AX8" s="142"/>
      <c r="AY8" s="142"/>
      <c r="AZ8" s="142"/>
      <c r="BA8" s="142"/>
    </row>
    <row r="9" spans="1:85" ht="30" customHeight="1">
      <c r="A9" s="1144" t="s">
        <v>277</v>
      </c>
      <c r="B9" s="1129" t="s">
        <v>30</v>
      </c>
      <c r="C9" s="1130"/>
      <c r="D9" s="1129" t="s">
        <v>31</v>
      </c>
      <c r="E9" s="1130"/>
      <c r="F9" s="1129" t="s">
        <v>32</v>
      </c>
      <c r="G9" s="1131"/>
      <c r="H9" s="1130"/>
      <c r="I9" s="1129" t="s">
        <v>33</v>
      </c>
      <c r="J9" s="1130"/>
      <c r="K9" s="1129" t="s">
        <v>34</v>
      </c>
      <c r="L9" s="1130"/>
      <c r="M9" s="1129" t="s">
        <v>35</v>
      </c>
      <c r="N9" s="1131"/>
      <c r="O9" s="1130"/>
      <c r="P9" s="1129" t="s">
        <v>36</v>
      </c>
      <c r="Q9" s="1130"/>
      <c r="R9" s="1129" t="s">
        <v>8</v>
      </c>
      <c r="S9" s="1130"/>
      <c r="T9" s="1129" t="s">
        <v>37</v>
      </c>
      <c r="U9" s="1131"/>
      <c r="V9" s="1130"/>
      <c r="W9" s="1129" t="s">
        <v>38</v>
      </c>
      <c r="X9" s="1130"/>
      <c r="Y9" s="1129" t="s">
        <v>39</v>
      </c>
      <c r="Z9" s="1130"/>
      <c r="AA9" s="1129" t="s">
        <v>40</v>
      </c>
      <c r="AB9" s="1131"/>
      <c r="AC9" s="1130"/>
      <c r="AD9" s="1129" t="s">
        <v>278</v>
      </c>
      <c r="AE9" s="1130"/>
      <c r="AF9" s="1129" t="s">
        <v>279</v>
      </c>
      <c r="AG9" s="1131"/>
      <c r="AH9" s="1131"/>
      <c r="AI9" s="1131"/>
      <c r="AJ9" s="1131"/>
      <c r="AK9" s="1130"/>
      <c r="AL9" s="1129" t="s">
        <v>280</v>
      </c>
      <c r="AM9" s="1131"/>
      <c r="AN9" s="1131"/>
      <c r="AO9" s="1131"/>
      <c r="AP9" s="1131"/>
      <c r="AQ9" s="1130"/>
      <c r="AS9" s="1144" t="s">
        <v>277</v>
      </c>
      <c r="AT9" s="1129" t="s">
        <v>30</v>
      </c>
      <c r="AU9" s="1130"/>
      <c r="AV9" s="1129" t="s">
        <v>31</v>
      </c>
      <c r="AW9" s="1130"/>
      <c r="AX9" s="1129" t="s">
        <v>32</v>
      </c>
      <c r="AY9" s="1131"/>
      <c r="AZ9" s="1130"/>
      <c r="BA9" s="1129" t="s">
        <v>33</v>
      </c>
      <c r="BB9" s="1130"/>
      <c r="BC9" s="1129" t="s">
        <v>34</v>
      </c>
      <c r="BD9" s="1130"/>
      <c r="BE9" s="1129" t="s">
        <v>35</v>
      </c>
      <c r="BF9" s="1131"/>
      <c r="BG9" s="1130"/>
      <c r="BH9" s="1146" t="s">
        <v>36</v>
      </c>
      <c r="BI9" s="1130"/>
      <c r="BJ9" s="1129" t="s">
        <v>8</v>
      </c>
      <c r="BK9" s="1130"/>
      <c r="BL9" s="1129" t="s">
        <v>37</v>
      </c>
      <c r="BM9" s="1130"/>
      <c r="BN9" s="1129" t="s">
        <v>38</v>
      </c>
      <c r="BO9" s="1130"/>
      <c r="BP9" s="1129" t="s">
        <v>39</v>
      </c>
      <c r="BQ9" s="1130"/>
      <c r="BR9" s="1129" t="s">
        <v>40</v>
      </c>
      <c r="BS9" s="1130"/>
      <c r="BT9" s="1129" t="s">
        <v>278</v>
      </c>
      <c r="BU9" s="1130"/>
      <c r="BV9" s="1129" t="s">
        <v>279</v>
      </c>
      <c r="BW9" s="1131"/>
      <c r="BX9" s="1131"/>
      <c r="BY9" s="1131"/>
      <c r="BZ9" s="1131"/>
      <c r="CA9" s="1130"/>
      <c r="CB9" s="1129" t="s">
        <v>280</v>
      </c>
      <c r="CC9" s="1131"/>
      <c r="CD9" s="1131"/>
      <c r="CE9" s="1131"/>
      <c r="CF9" s="1131"/>
      <c r="CG9" s="1130"/>
    </row>
    <row r="10" spans="1:85" ht="36" customHeight="1">
      <c r="A10" s="1145"/>
      <c r="B10" s="624" t="s">
        <v>281</v>
      </c>
      <c r="C10" s="624" t="s">
        <v>282</v>
      </c>
      <c r="D10" s="624" t="s">
        <v>281</v>
      </c>
      <c r="E10" s="624" t="s">
        <v>282</v>
      </c>
      <c r="F10" s="624" t="s">
        <v>281</v>
      </c>
      <c r="G10" s="502" t="s">
        <v>283</v>
      </c>
      <c r="H10" s="624" t="s">
        <v>282</v>
      </c>
      <c r="I10" s="624" t="s">
        <v>281</v>
      </c>
      <c r="J10" s="624" t="s">
        <v>282</v>
      </c>
      <c r="K10" s="624" t="s">
        <v>281</v>
      </c>
      <c r="L10" s="624" t="s">
        <v>282</v>
      </c>
      <c r="M10" s="624" t="s">
        <v>281</v>
      </c>
      <c r="N10" s="502" t="s">
        <v>284</v>
      </c>
      <c r="O10" s="624" t="s">
        <v>282</v>
      </c>
      <c r="P10" s="624" t="s">
        <v>281</v>
      </c>
      <c r="Q10" s="624" t="s">
        <v>282</v>
      </c>
      <c r="R10" s="624" t="s">
        <v>281</v>
      </c>
      <c r="S10" s="624" t="s">
        <v>282</v>
      </c>
      <c r="T10" s="624" t="s">
        <v>281</v>
      </c>
      <c r="U10" s="502" t="s">
        <v>285</v>
      </c>
      <c r="V10" s="624" t="s">
        <v>282</v>
      </c>
      <c r="W10" s="624" t="s">
        <v>281</v>
      </c>
      <c r="X10" s="624" t="s">
        <v>282</v>
      </c>
      <c r="Y10" s="624" t="s">
        <v>281</v>
      </c>
      <c r="Z10" s="624" t="s">
        <v>282</v>
      </c>
      <c r="AA10" s="624" t="s">
        <v>281</v>
      </c>
      <c r="AB10" s="502" t="s">
        <v>285</v>
      </c>
      <c r="AC10" s="624" t="s">
        <v>282</v>
      </c>
      <c r="AD10" s="624" t="s">
        <v>281</v>
      </c>
      <c r="AE10" s="624" t="s">
        <v>282</v>
      </c>
      <c r="AF10" s="162" t="s">
        <v>286</v>
      </c>
      <c r="AG10" s="162" t="s">
        <v>287</v>
      </c>
      <c r="AH10" s="162" t="s">
        <v>288</v>
      </c>
      <c r="AI10" s="162" t="s">
        <v>289</v>
      </c>
      <c r="AJ10" s="163" t="s">
        <v>290</v>
      </c>
      <c r="AK10" s="162" t="s">
        <v>291</v>
      </c>
      <c r="AL10" s="624" t="s">
        <v>292</v>
      </c>
      <c r="AM10" s="143" t="s">
        <v>293</v>
      </c>
      <c r="AN10" s="624" t="s">
        <v>294</v>
      </c>
      <c r="AO10" s="624" t="s">
        <v>295</v>
      </c>
      <c r="AP10" s="624" t="s">
        <v>296</v>
      </c>
      <c r="AQ10" s="624" t="s">
        <v>297</v>
      </c>
      <c r="AS10" s="1145"/>
      <c r="AT10" s="624" t="s">
        <v>281</v>
      </c>
      <c r="AU10" s="624" t="s">
        <v>282</v>
      </c>
      <c r="AV10" s="624" t="s">
        <v>281</v>
      </c>
      <c r="AW10" s="624" t="s">
        <v>282</v>
      </c>
      <c r="AX10" s="624" t="s">
        <v>281</v>
      </c>
      <c r="AY10" s="502" t="s">
        <v>283</v>
      </c>
      <c r="AZ10" s="624" t="s">
        <v>282</v>
      </c>
      <c r="BA10" s="624" t="s">
        <v>281</v>
      </c>
      <c r="BB10" s="624" t="s">
        <v>282</v>
      </c>
      <c r="BC10" s="624" t="s">
        <v>281</v>
      </c>
      <c r="BD10" s="624" t="s">
        <v>282</v>
      </c>
      <c r="BE10" s="624" t="s">
        <v>281</v>
      </c>
      <c r="BF10" s="624" t="s">
        <v>284</v>
      </c>
      <c r="BG10" s="624" t="s">
        <v>282</v>
      </c>
      <c r="BH10" s="715" t="s">
        <v>281</v>
      </c>
      <c r="BI10" s="624" t="s">
        <v>282</v>
      </c>
      <c r="BJ10" s="624" t="s">
        <v>281</v>
      </c>
      <c r="BK10" s="624" t="s">
        <v>282</v>
      </c>
      <c r="BL10" s="624" t="s">
        <v>281</v>
      </c>
      <c r="BM10" s="624" t="s">
        <v>282</v>
      </c>
      <c r="BN10" s="624" t="s">
        <v>281</v>
      </c>
      <c r="BO10" s="624" t="s">
        <v>282</v>
      </c>
      <c r="BP10" s="624" t="s">
        <v>281</v>
      </c>
      <c r="BQ10" s="624" t="s">
        <v>282</v>
      </c>
      <c r="BR10" s="624" t="s">
        <v>281</v>
      </c>
      <c r="BS10" s="624" t="s">
        <v>282</v>
      </c>
      <c r="BT10" s="624" t="s">
        <v>281</v>
      </c>
      <c r="BU10" s="624" t="s">
        <v>282</v>
      </c>
      <c r="BV10" s="162" t="s">
        <v>286</v>
      </c>
      <c r="BW10" s="162" t="s">
        <v>287</v>
      </c>
      <c r="BX10" s="162" t="s">
        <v>288</v>
      </c>
      <c r="BY10" s="162" t="s">
        <v>289</v>
      </c>
      <c r="BZ10" s="163" t="s">
        <v>290</v>
      </c>
      <c r="CA10" s="162" t="s">
        <v>291</v>
      </c>
      <c r="CB10" s="160" t="s">
        <v>292</v>
      </c>
      <c r="CC10" s="161" t="s">
        <v>293</v>
      </c>
      <c r="CD10" s="160" t="s">
        <v>294</v>
      </c>
      <c r="CE10" s="160" t="s">
        <v>295</v>
      </c>
      <c r="CF10" s="160" t="s">
        <v>296</v>
      </c>
      <c r="CG10" s="160" t="s">
        <v>297</v>
      </c>
    </row>
    <row r="11" spans="1:85">
      <c r="A11" s="144" t="s">
        <v>298</v>
      </c>
      <c r="B11" s="144">
        <v>0</v>
      </c>
      <c r="C11" s="503"/>
      <c r="D11" s="144">
        <v>0</v>
      </c>
      <c r="E11" s="503"/>
      <c r="F11" s="144">
        <v>0</v>
      </c>
      <c r="G11" s="504">
        <f>+B11+D11+F11</f>
        <v>0</v>
      </c>
      <c r="H11" s="505">
        <v>984621720</v>
      </c>
      <c r="I11" s="144">
        <v>0</v>
      </c>
      <c r="J11" s="503"/>
      <c r="K11" s="144">
        <v>0</v>
      </c>
      <c r="L11" s="503"/>
      <c r="M11" s="144">
        <v>0</v>
      </c>
      <c r="N11" s="504">
        <f>+G11+I11+K11+M11</f>
        <v>0</v>
      </c>
      <c r="O11" s="505">
        <v>916033015.15999961</v>
      </c>
      <c r="P11" s="144">
        <v>0</v>
      </c>
      <c r="Q11" s="503"/>
      <c r="R11" s="145">
        <v>0</v>
      </c>
      <c r="S11" s="503"/>
      <c r="T11" s="145">
        <v>0</v>
      </c>
      <c r="U11" s="504">
        <f>+N11+P11+R11+T11</f>
        <v>0</v>
      </c>
      <c r="V11" s="506">
        <v>548999027.15999985</v>
      </c>
      <c r="W11" s="145">
        <v>0</v>
      </c>
      <c r="X11" s="503"/>
      <c r="Y11" s="145">
        <v>0</v>
      </c>
      <c r="Z11" s="503"/>
      <c r="AA11" s="145">
        <v>0</v>
      </c>
      <c r="AB11" s="504">
        <f>+U11+W11+Y11+AA11</f>
        <v>0</v>
      </c>
      <c r="AC11" s="370">
        <v>91.159999370574951</v>
      </c>
      <c r="AD11" s="165">
        <f t="shared" ref="AD11:AD31" si="0">B11+D11+F11+I11+K11+M11+P11+R11+T11+W11+Y11+AA11</f>
        <v>0</v>
      </c>
      <c r="AE11" s="613">
        <f>+AC11</f>
        <v>91.159999370574951</v>
      </c>
      <c r="AF11" s="164"/>
      <c r="AG11" s="164"/>
      <c r="AH11" s="164"/>
      <c r="AI11" s="164"/>
      <c r="AJ11" s="164"/>
      <c r="AK11" s="147"/>
      <c r="AL11" s="147"/>
      <c r="AM11" s="147"/>
      <c r="AN11" s="147"/>
      <c r="AO11" s="147"/>
      <c r="AP11" s="147"/>
      <c r="AQ11" s="148"/>
      <c r="AS11" s="144" t="s">
        <v>298</v>
      </c>
      <c r="AT11" s="144">
        <v>0</v>
      </c>
      <c r="AU11" s="507"/>
      <c r="AV11" s="144">
        <v>0</v>
      </c>
      <c r="AW11" s="503"/>
      <c r="AX11" s="144">
        <v>0</v>
      </c>
      <c r="AY11" s="504">
        <f>+AT11+AV11+AX11</f>
        <v>0</v>
      </c>
      <c r="AZ11" s="461">
        <v>834168930.5999999</v>
      </c>
      <c r="BA11" s="144">
        <v>0</v>
      </c>
      <c r="BB11" s="507"/>
      <c r="BC11" s="144">
        <v>0</v>
      </c>
      <c r="BD11" s="507"/>
      <c r="BE11" s="144">
        <v>0</v>
      </c>
      <c r="BF11" s="144">
        <f>BA11+BC11+BE11</f>
        <v>0</v>
      </c>
      <c r="BG11" s="144">
        <v>0</v>
      </c>
      <c r="BH11" s="144"/>
      <c r="BI11" s="507"/>
      <c r="BJ11" s="713">
        <v>0</v>
      </c>
      <c r="BK11" s="145"/>
      <c r="BL11" s="145"/>
      <c r="BM11" s="145"/>
      <c r="BN11" s="145"/>
      <c r="BO11" s="145"/>
      <c r="BP11" s="145"/>
      <c r="BQ11" s="145"/>
      <c r="BR11" s="145"/>
      <c r="BS11" s="145"/>
      <c r="BT11" s="165">
        <f t="shared" ref="BT11:BT31" si="1">AT11+AV11+AX11+BA11+BC11+BE11+BH11+BJ11+BL11+BN11+BP11+BR11</f>
        <v>0</v>
      </c>
      <c r="BU11" s="614">
        <f t="shared" ref="BU11:BU31" si="2">AU11+AW11+AZ11+BB11+BD11+BG11+BI11+BK11+BM11+BO11+BQ11+BS11</f>
        <v>834168930.5999999</v>
      </c>
      <c r="BV11" s="147"/>
      <c r="BW11" s="147"/>
      <c r="BX11" s="147"/>
      <c r="BY11" s="147"/>
      <c r="BZ11" s="147"/>
      <c r="CA11" s="147"/>
      <c r="CB11" s="147"/>
      <c r="CC11" s="147"/>
      <c r="CD11" s="147"/>
      <c r="CE11" s="147"/>
      <c r="CF11" s="147"/>
      <c r="CG11" s="148"/>
    </row>
    <row r="12" spans="1:85">
      <c r="A12" s="144" t="s">
        <v>299</v>
      </c>
      <c r="B12" s="144">
        <v>0</v>
      </c>
      <c r="C12" s="503"/>
      <c r="D12" s="144">
        <v>25</v>
      </c>
      <c r="E12" s="503"/>
      <c r="F12" s="144">
        <v>25</v>
      </c>
      <c r="G12" s="504">
        <f t="shared" ref="G12:G31" si="3">+B12+D12+F12</f>
        <v>50</v>
      </c>
      <c r="H12" s="371">
        <f>343124.4*(F12+D12+B12)</f>
        <v>17156220</v>
      </c>
      <c r="I12" s="144">
        <v>25</v>
      </c>
      <c r="J12" s="503"/>
      <c r="K12" s="144">
        <v>25</v>
      </c>
      <c r="L12" s="503"/>
      <c r="M12" s="144">
        <v>25</v>
      </c>
      <c r="N12" s="504">
        <f t="shared" ref="N12:N31" si="4">+G12+I12+K12+M12</f>
        <v>125</v>
      </c>
      <c r="O12" s="371">
        <f>343124.4*(B12+D12+F12+M12+K12+I12)</f>
        <v>42890550</v>
      </c>
      <c r="P12" s="144">
        <v>25</v>
      </c>
      <c r="Q12" s="503"/>
      <c r="R12" s="145">
        <v>25</v>
      </c>
      <c r="S12" s="503"/>
      <c r="T12" s="145">
        <v>25</v>
      </c>
      <c r="U12" s="504">
        <f t="shared" ref="U12:U31" si="5">+N12+P12+R12+T12</f>
        <v>200</v>
      </c>
      <c r="V12" s="371">
        <f>343124.4*(B12+D12+F12+I12+K12+M12+P12+R12+T12)</f>
        <v>68624880</v>
      </c>
      <c r="W12" s="145">
        <v>25</v>
      </c>
      <c r="X12" s="503"/>
      <c r="Y12" s="145">
        <v>25</v>
      </c>
      <c r="Z12" s="503"/>
      <c r="AA12" s="145">
        <v>10</v>
      </c>
      <c r="AB12" s="504">
        <f t="shared" ref="AB12:AB31" si="6">+U12+W12+Y12+AA12</f>
        <v>260</v>
      </c>
      <c r="AC12" s="371">
        <f>343124*(B12+D12+F12+I12+K12+M12+P12+R12+T12+W12+Y12+AA12)</f>
        <v>89212240</v>
      </c>
      <c r="AD12" s="165">
        <f t="shared" si="0"/>
        <v>260</v>
      </c>
      <c r="AE12" s="613">
        <f t="shared" ref="AE12:AE31" si="7">+AC12</f>
        <v>89212240</v>
      </c>
      <c r="AF12" s="164"/>
      <c r="AG12" s="164"/>
      <c r="AH12" s="164"/>
      <c r="AI12" s="164"/>
      <c r="AJ12" s="164"/>
      <c r="AK12" s="147"/>
      <c r="AL12" s="147"/>
      <c r="AM12" s="147"/>
      <c r="AN12" s="147"/>
      <c r="AO12" s="147"/>
      <c r="AP12" s="147"/>
      <c r="AQ12" s="147"/>
      <c r="AS12" s="144" t="s">
        <v>299</v>
      </c>
      <c r="AT12" s="144">
        <v>0</v>
      </c>
      <c r="AU12" s="507"/>
      <c r="AV12" s="144">
        <v>7</v>
      </c>
      <c r="AW12" s="503"/>
      <c r="AX12" s="144">
        <v>38</v>
      </c>
      <c r="AY12" s="504">
        <f t="shared" ref="AY12:AY31" si="8">+AT12+AV12+AX12</f>
        <v>45</v>
      </c>
      <c r="AZ12" s="461">
        <f>343124.4*(AV12+AX12)</f>
        <v>15440598.000000002</v>
      </c>
      <c r="BA12" s="144">
        <v>9</v>
      </c>
      <c r="BB12" s="507"/>
      <c r="BC12" s="144">
        <v>20</v>
      </c>
      <c r="BD12" s="507"/>
      <c r="BE12" s="144">
        <v>18</v>
      </c>
      <c r="BF12" s="144">
        <f t="shared" ref="BF12:BF31" si="9">BA12+BC12+BE12</f>
        <v>47</v>
      </c>
      <c r="BG12" s="666">
        <f>343124.4*BF12</f>
        <v>16126846.800000001</v>
      </c>
      <c r="BH12" s="144">
        <v>19</v>
      </c>
      <c r="BI12" s="507"/>
      <c r="BJ12" s="714">
        <v>24</v>
      </c>
      <c r="BK12" s="145"/>
      <c r="BL12" s="145"/>
      <c r="BM12" s="145"/>
      <c r="BN12" s="145"/>
      <c r="BO12" s="145"/>
      <c r="BP12" s="145"/>
      <c r="BQ12" s="145"/>
      <c r="BR12" s="145"/>
      <c r="BS12" s="145"/>
      <c r="BT12" s="165">
        <f t="shared" si="1"/>
        <v>135</v>
      </c>
      <c r="BU12" s="614">
        <f t="shared" si="2"/>
        <v>31567444.800000004</v>
      </c>
      <c r="BV12" s="147"/>
      <c r="BW12" s="147"/>
      <c r="BX12" s="147"/>
      <c r="BY12" s="147"/>
      <c r="BZ12" s="147"/>
      <c r="CA12" s="147"/>
      <c r="CB12" s="147"/>
      <c r="CC12" s="147"/>
      <c r="CD12" s="147"/>
      <c r="CE12" s="147"/>
      <c r="CF12" s="147"/>
      <c r="CG12" s="147"/>
    </row>
    <row r="13" spans="1:85">
      <c r="A13" s="144" t="s">
        <v>300</v>
      </c>
      <c r="B13" s="144">
        <v>0</v>
      </c>
      <c r="C13" s="503"/>
      <c r="D13" s="144">
        <v>20</v>
      </c>
      <c r="E13" s="503"/>
      <c r="F13" s="144">
        <v>20</v>
      </c>
      <c r="G13" s="504">
        <f t="shared" si="3"/>
        <v>40</v>
      </c>
      <c r="H13" s="371">
        <f t="shared" ref="H13:H31" si="10">343124.4*(F13+D13+B13)</f>
        <v>13724976</v>
      </c>
      <c r="I13" s="144">
        <v>20</v>
      </c>
      <c r="J13" s="503"/>
      <c r="K13" s="144">
        <v>20</v>
      </c>
      <c r="L13" s="503"/>
      <c r="M13" s="144">
        <v>20</v>
      </c>
      <c r="N13" s="504">
        <f t="shared" si="4"/>
        <v>100</v>
      </c>
      <c r="O13" s="371">
        <f t="shared" ref="O13:O31" si="11">343124.4*(B13+D13+F13+M13+K13+I13)</f>
        <v>34312440</v>
      </c>
      <c r="P13" s="144">
        <v>20</v>
      </c>
      <c r="Q13" s="503"/>
      <c r="R13" s="145">
        <v>20</v>
      </c>
      <c r="S13" s="503"/>
      <c r="T13" s="145">
        <v>20</v>
      </c>
      <c r="U13" s="504">
        <f t="shared" si="5"/>
        <v>160</v>
      </c>
      <c r="V13" s="371">
        <f t="shared" ref="V13:V31" si="12">343124.4*(B13+D13+F13+I13+K13+M13+P13+R13+T13)</f>
        <v>54899904</v>
      </c>
      <c r="W13" s="145">
        <v>20</v>
      </c>
      <c r="X13" s="503"/>
      <c r="Y13" s="145">
        <v>20</v>
      </c>
      <c r="Z13" s="503"/>
      <c r="AA13" s="145">
        <v>10</v>
      </c>
      <c r="AB13" s="504">
        <f t="shared" si="6"/>
        <v>210</v>
      </c>
      <c r="AC13" s="371">
        <f t="shared" ref="AC13:AC31" si="13">343124.4*(B13+D13+F13+I13+K13+M13+P13+R13+T13+W13+Y13+AA13)</f>
        <v>72056124</v>
      </c>
      <c r="AD13" s="165">
        <f t="shared" si="0"/>
        <v>210</v>
      </c>
      <c r="AE13" s="613">
        <f t="shared" si="7"/>
        <v>72056124</v>
      </c>
      <c r="AF13" s="164"/>
      <c r="AG13" s="164"/>
      <c r="AH13" s="164"/>
      <c r="AI13" s="164"/>
      <c r="AJ13" s="164"/>
      <c r="AK13" s="147"/>
      <c r="AL13" s="147"/>
      <c r="AM13" s="147"/>
      <c r="AN13" s="147"/>
      <c r="AO13" s="147"/>
      <c r="AP13" s="147"/>
      <c r="AQ13" s="147"/>
      <c r="AS13" s="144" t="s">
        <v>300</v>
      </c>
      <c r="AT13" s="144">
        <v>0</v>
      </c>
      <c r="AU13" s="507"/>
      <c r="AV13" s="144">
        <v>9</v>
      </c>
      <c r="AW13" s="503"/>
      <c r="AX13" s="144">
        <v>10</v>
      </c>
      <c r="AY13" s="504">
        <f t="shared" si="8"/>
        <v>19</v>
      </c>
      <c r="AZ13" s="461">
        <f t="shared" ref="AZ13:AZ31" si="14">343124.4*(AV13+AX13)</f>
        <v>6519363.6000000006</v>
      </c>
      <c r="BA13" s="144">
        <v>4</v>
      </c>
      <c r="BB13" s="507"/>
      <c r="BC13" s="144">
        <v>10</v>
      </c>
      <c r="BD13" s="507"/>
      <c r="BE13" s="144">
        <v>22</v>
      </c>
      <c r="BF13" s="144">
        <f t="shared" si="9"/>
        <v>36</v>
      </c>
      <c r="BG13" s="666">
        <f t="shared" ref="BG13:BG31" si="15">343124.4*BF13</f>
        <v>12352478.4</v>
      </c>
      <c r="BH13" s="144">
        <v>13</v>
      </c>
      <c r="BI13" s="507"/>
      <c r="BJ13" s="714">
        <v>15</v>
      </c>
      <c r="BK13" s="145"/>
      <c r="BL13" s="145"/>
      <c r="BM13" s="145"/>
      <c r="BN13" s="145"/>
      <c r="BO13" s="145"/>
      <c r="BP13" s="145"/>
      <c r="BQ13" s="145"/>
      <c r="BR13" s="145"/>
      <c r="BS13" s="145"/>
      <c r="BT13" s="165">
        <f t="shared" si="1"/>
        <v>83</v>
      </c>
      <c r="BU13" s="614">
        <f t="shared" si="2"/>
        <v>18871842</v>
      </c>
      <c r="BV13" s="147"/>
      <c r="BW13" s="147"/>
      <c r="BX13" s="147"/>
      <c r="BY13" s="147"/>
      <c r="BZ13" s="147"/>
      <c r="CA13" s="147"/>
      <c r="CB13" s="147"/>
      <c r="CC13" s="147"/>
      <c r="CD13" s="147"/>
      <c r="CE13" s="147"/>
      <c r="CF13" s="147"/>
      <c r="CG13" s="147"/>
    </row>
    <row r="14" spans="1:85">
      <c r="A14" s="144" t="s">
        <v>301</v>
      </c>
      <c r="B14" s="144">
        <v>0</v>
      </c>
      <c r="C14" s="503"/>
      <c r="D14" s="144">
        <v>10</v>
      </c>
      <c r="E14" s="503"/>
      <c r="F14" s="144">
        <v>10</v>
      </c>
      <c r="G14" s="504">
        <f t="shared" si="3"/>
        <v>20</v>
      </c>
      <c r="H14" s="371">
        <f t="shared" si="10"/>
        <v>6862488</v>
      </c>
      <c r="I14" s="144">
        <v>10</v>
      </c>
      <c r="J14" s="503"/>
      <c r="K14" s="144">
        <v>10</v>
      </c>
      <c r="L14" s="503"/>
      <c r="M14" s="144">
        <v>10</v>
      </c>
      <c r="N14" s="504">
        <f t="shared" si="4"/>
        <v>50</v>
      </c>
      <c r="O14" s="371">
        <f t="shared" si="11"/>
        <v>17156220</v>
      </c>
      <c r="P14" s="144">
        <v>10</v>
      </c>
      <c r="Q14" s="503"/>
      <c r="R14" s="145">
        <v>10</v>
      </c>
      <c r="S14" s="503"/>
      <c r="T14" s="145">
        <v>10</v>
      </c>
      <c r="U14" s="504">
        <f t="shared" si="5"/>
        <v>80</v>
      </c>
      <c r="V14" s="371">
        <f t="shared" si="12"/>
        <v>27449952</v>
      </c>
      <c r="W14" s="145">
        <v>10</v>
      </c>
      <c r="X14" s="503"/>
      <c r="Y14" s="145">
        <v>10</v>
      </c>
      <c r="Z14" s="503"/>
      <c r="AA14" s="145">
        <v>10</v>
      </c>
      <c r="AB14" s="504">
        <f t="shared" si="6"/>
        <v>110</v>
      </c>
      <c r="AC14" s="371">
        <f t="shared" si="13"/>
        <v>37743684</v>
      </c>
      <c r="AD14" s="165">
        <f t="shared" si="0"/>
        <v>110</v>
      </c>
      <c r="AE14" s="613">
        <f t="shared" si="7"/>
        <v>37743684</v>
      </c>
      <c r="AF14" s="164"/>
      <c r="AG14" s="164"/>
      <c r="AH14" s="164"/>
      <c r="AI14" s="164"/>
      <c r="AJ14" s="164"/>
      <c r="AK14" s="147"/>
      <c r="AL14" s="147"/>
      <c r="AM14" s="147"/>
      <c r="AN14" s="147"/>
      <c r="AO14" s="147"/>
      <c r="AP14" s="147"/>
      <c r="AQ14" s="147"/>
      <c r="AS14" s="144" t="s">
        <v>301</v>
      </c>
      <c r="AT14" s="144">
        <v>0</v>
      </c>
      <c r="AU14" s="507"/>
      <c r="AV14" s="144">
        <v>7</v>
      </c>
      <c r="AW14" s="503"/>
      <c r="AX14" s="144">
        <v>20</v>
      </c>
      <c r="AY14" s="504">
        <f t="shared" si="8"/>
        <v>27</v>
      </c>
      <c r="AZ14" s="461">
        <f t="shared" si="14"/>
        <v>9264358.8000000007</v>
      </c>
      <c r="BA14" s="144">
        <v>4</v>
      </c>
      <c r="BB14" s="507"/>
      <c r="BC14" s="144">
        <v>14</v>
      </c>
      <c r="BD14" s="507"/>
      <c r="BE14" s="144">
        <v>15</v>
      </c>
      <c r="BF14" s="144">
        <f t="shared" si="9"/>
        <v>33</v>
      </c>
      <c r="BG14" s="666">
        <f t="shared" si="15"/>
        <v>11323105.200000001</v>
      </c>
      <c r="BH14" s="144">
        <v>18</v>
      </c>
      <c r="BI14" s="507"/>
      <c r="BJ14" s="714">
        <v>21</v>
      </c>
      <c r="BK14" s="145"/>
      <c r="BL14" s="145"/>
      <c r="BM14" s="145"/>
      <c r="BN14" s="145"/>
      <c r="BO14" s="145"/>
      <c r="BP14" s="145"/>
      <c r="BQ14" s="145"/>
      <c r="BR14" s="145"/>
      <c r="BS14" s="145"/>
      <c r="BT14" s="165">
        <f t="shared" si="1"/>
        <v>99</v>
      </c>
      <c r="BU14" s="614">
        <f t="shared" si="2"/>
        <v>20587464</v>
      </c>
      <c r="BV14" s="147"/>
      <c r="BW14" s="147"/>
      <c r="BX14" s="147"/>
      <c r="BY14" s="147"/>
      <c r="BZ14" s="147"/>
      <c r="CA14" s="147"/>
      <c r="CB14" s="147"/>
      <c r="CC14" s="147"/>
      <c r="CD14" s="147"/>
      <c r="CE14" s="147"/>
      <c r="CF14" s="147"/>
      <c r="CG14" s="147"/>
    </row>
    <row r="15" spans="1:85">
      <c r="A15" s="144" t="s">
        <v>302</v>
      </c>
      <c r="B15" s="144">
        <v>0</v>
      </c>
      <c r="C15" s="503"/>
      <c r="D15" s="144">
        <v>40</v>
      </c>
      <c r="E15" s="503"/>
      <c r="F15" s="144">
        <v>60</v>
      </c>
      <c r="G15" s="504">
        <f t="shared" si="3"/>
        <v>100</v>
      </c>
      <c r="H15" s="371">
        <f t="shared" si="10"/>
        <v>34312440</v>
      </c>
      <c r="I15" s="144">
        <v>60</v>
      </c>
      <c r="J15" s="503"/>
      <c r="K15" s="144">
        <v>60</v>
      </c>
      <c r="L15" s="503"/>
      <c r="M15" s="144">
        <v>60</v>
      </c>
      <c r="N15" s="504">
        <f t="shared" si="4"/>
        <v>280</v>
      </c>
      <c r="O15" s="371">
        <f t="shared" si="11"/>
        <v>96074832</v>
      </c>
      <c r="P15" s="144">
        <v>60</v>
      </c>
      <c r="Q15" s="503"/>
      <c r="R15" s="145">
        <v>60</v>
      </c>
      <c r="S15" s="503"/>
      <c r="T15" s="145">
        <v>60</v>
      </c>
      <c r="U15" s="504">
        <f t="shared" si="5"/>
        <v>460</v>
      </c>
      <c r="V15" s="371">
        <f t="shared" si="12"/>
        <v>157837224</v>
      </c>
      <c r="W15" s="145">
        <v>60</v>
      </c>
      <c r="X15" s="503"/>
      <c r="Y15" s="145">
        <v>60</v>
      </c>
      <c r="Z15" s="503"/>
      <c r="AA15" s="145">
        <v>11</v>
      </c>
      <c r="AB15" s="504">
        <f t="shared" si="6"/>
        <v>591</v>
      </c>
      <c r="AC15" s="371">
        <f t="shared" si="13"/>
        <v>202786520.40000001</v>
      </c>
      <c r="AD15" s="165">
        <f t="shared" si="0"/>
        <v>591</v>
      </c>
      <c r="AE15" s="613">
        <f t="shared" si="7"/>
        <v>202786520.40000001</v>
      </c>
      <c r="AF15" s="164"/>
      <c r="AG15" s="164"/>
      <c r="AH15" s="164"/>
      <c r="AI15" s="164"/>
      <c r="AJ15" s="164"/>
      <c r="AK15" s="147"/>
      <c r="AL15" s="147"/>
      <c r="AM15" s="147"/>
      <c r="AN15" s="147"/>
      <c r="AO15" s="147"/>
      <c r="AP15" s="147"/>
      <c r="AQ15" s="147"/>
      <c r="AS15" s="144" t="s">
        <v>302</v>
      </c>
      <c r="AT15" s="144">
        <v>0</v>
      </c>
      <c r="AU15" s="507"/>
      <c r="AV15" s="144">
        <v>28</v>
      </c>
      <c r="AW15" s="503"/>
      <c r="AX15" s="144">
        <v>110</v>
      </c>
      <c r="AY15" s="504">
        <f t="shared" si="8"/>
        <v>138</v>
      </c>
      <c r="AZ15" s="461">
        <f t="shared" si="14"/>
        <v>47351167.200000003</v>
      </c>
      <c r="BA15" s="144">
        <v>17</v>
      </c>
      <c r="BB15" s="507"/>
      <c r="BC15" s="144">
        <v>24</v>
      </c>
      <c r="BD15" s="507"/>
      <c r="BE15" s="144">
        <v>90</v>
      </c>
      <c r="BF15" s="144">
        <f t="shared" si="9"/>
        <v>131</v>
      </c>
      <c r="BG15" s="666">
        <f t="shared" si="15"/>
        <v>44949296.400000006</v>
      </c>
      <c r="BH15" s="144">
        <v>49</v>
      </c>
      <c r="BI15" s="507"/>
      <c r="BJ15" s="714">
        <v>45</v>
      </c>
      <c r="BK15" s="145"/>
      <c r="BL15" s="145"/>
      <c r="BM15" s="145"/>
      <c r="BN15" s="145"/>
      <c r="BO15" s="145"/>
      <c r="BP15" s="145"/>
      <c r="BQ15" s="145"/>
      <c r="BR15" s="145"/>
      <c r="BS15" s="145"/>
      <c r="BT15" s="165">
        <f t="shared" si="1"/>
        <v>363</v>
      </c>
      <c r="BU15" s="614">
        <f t="shared" si="2"/>
        <v>92300463.600000009</v>
      </c>
      <c r="BV15" s="147"/>
      <c r="BW15" s="147"/>
      <c r="BX15" s="147"/>
      <c r="BY15" s="147"/>
      <c r="BZ15" s="147"/>
      <c r="CA15" s="147"/>
      <c r="CB15" s="147"/>
      <c r="CC15" s="147"/>
      <c r="CD15" s="147"/>
      <c r="CE15" s="147"/>
      <c r="CF15" s="147"/>
      <c r="CG15" s="147"/>
    </row>
    <row r="16" spans="1:85">
      <c r="A16" s="144" t="s">
        <v>303</v>
      </c>
      <c r="B16" s="144">
        <v>0</v>
      </c>
      <c r="C16" s="503"/>
      <c r="D16" s="144">
        <v>40</v>
      </c>
      <c r="E16" s="503"/>
      <c r="F16" s="144">
        <v>103</v>
      </c>
      <c r="G16" s="504">
        <f t="shared" si="3"/>
        <v>143</v>
      </c>
      <c r="H16" s="371">
        <f t="shared" si="10"/>
        <v>49066789.200000003</v>
      </c>
      <c r="I16" s="144">
        <v>103</v>
      </c>
      <c r="J16" s="503"/>
      <c r="K16" s="144">
        <v>103</v>
      </c>
      <c r="L16" s="503"/>
      <c r="M16" s="144">
        <v>103</v>
      </c>
      <c r="N16" s="504">
        <f t="shared" si="4"/>
        <v>452</v>
      </c>
      <c r="O16" s="371">
        <f t="shared" si="11"/>
        <v>155092228.80000001</v>
      </c>
      <c r="P16" s="144">
        <v>103</v>
      </c>
      <c r="Q16" s="503"/>
      <c r="R16" s="145">
        <v>103</v>
      </c>
      <c r="S16" s="503"/>
      <c r="T16" s="145">
        <v>103</v>
      </c>
      <c r="U16" s="504">
        <f t="shared" si="5"/>
        <v>761</v>
      </c>
      <c r="V16" s="371">
        <f t="shared" si="12"/>
        <v>261117668.40000001</v>
      </c>
      <c r="W16" s="145">
        <v>103</v>
      </c>
      <c r="X16" s="503"/>
      <c r="Y16" s="145">
        <v>103</v>
      </c>
      <c r="Z16" s="503"/>
      <c r="AA16" s="145">
        <v>11</v>
      </c>
      <c r="AB16" s="504">
        <f t="shared" si="6"/>
        <v>978</v>
      </c>
      <c r="AC16" s="371">
        <f t="shared" si="13"/>
        <v>335575663.20000005</v>
      </c>
      <c r="AD16" s="165">
        <f t="shared" si="0"/>
        <v>978</v>
      </c>
      <c r="AE16" s="613">
        <f t="shared" si="7"/>
        <v>335575663.20000005</v>
      </c>
      <c r="AF16" s="164"/>
      <c r="AG16" s="164"/>
      <c r="AH16" s="164"/>
      <c r="AI16" s="164"/>
      <c r="AJ16" s="164"/>
      <c r="AK16" s="147"/>
      <c r="AL16" s="147"/>
      <c r="AM16" s="147"/>
      <c r="AN16" s="147"/>
      <c r="AO16" s="147"/>
      <c r="AP16" s="147"/>
      <c r="AQ16" s="147"/>
      <c r="AS16" s="144" t="s">
        <v>303</v>
      </c>
      <c r="AT16" s="144">
        <v>0</v>
      </c>
      <c r="AU16" s="507"/>
      <c r="AV16" s="144">
        <v>57</v>
      </c>
      <c r="AW16" s="503"/>
      <c r="AX16" s="144">
        <v>77</v>
      </c>
      <c r="AY16" s="504">
        <f t="shared" si="8"/>
        <v>134</v>
      </c>
      <c r="AZ16" s="461">
        <f t="shared" si="14"/>
        <v>45978669.600000001</v>
      </c>
      <c r="BA16" s="144">
        <v>16</v>
      </c>
      <c r="BB16" s="507"/>
      <c r="BC16" s="144">
        <v>24</v>
      </c>
      <c r="BD16" s="507"/>
      <c r="BE16" s="144">
        <v>30</v>
      </c>
      <c r="BF16" s="144">
        <f t="shared" si="9"/>
        <v>70</v>
      </c>
      <c r="BG16" s="666">
        <f t="shared" si="15"/>
        <v>24018708</v>
      </c>
      <c r="BH16" s="144">
        <v>29</v>
      </c>
      <c r="BI16" s="507"/>
      <c r="BJ16" s="714">
        <v>33</v>
      </c>
      <c r="BK16" s="145"/>
      <c r="BL16" s="145"/>
      <c r="BM16" s="145"/>
      <c r="BN16" s="145"/>
      <c r="BO16" s="145"/>
      <c r="BP16" s="145"/>
      <c r="BQ16" s="145"/>
      <c r="BR16" s="145"/>
      <c r="BS16" s="145"/>
      <c r="BT16" s="165">
        <f t="shared" si="1"/>
        <v>266</v>
      </c>
      <c r="BU16" s="614">
        <f t="shared" si="2"/>
        <v>69997377.599999994</v>
      </c>
      <c r="BV16" s="147"/>
      <c r="BW16" s="147"/>
      <c r="BX16" s="147"/>
      <c r="BY16" s="147"/>
      <c r="BZ16" s="147"/>
      <c r="CA16" s="147"/>
      <c r="CB16" s="147"/>
      <c r="CC16" s="147"/>
      <c r="CD16" s="147"/>
      <c r="CE16" s="147"/>
      <c r="CF16" s="147"/>
      <c r="CG16" s="147"/>
    </row>
    <row r="17" spans="1:85">
      <c r="A17" s="144" t="s">
        <v>304</v>
      </c>
      <c r="B17" s="144">
        <v>0</v>
      </c>
      <c r="C17" s="503"/>
      <c r="D17" s="144">
        <v>25</v>
      </c>
      <c r="E17" s="503"/>
      <c r="F17" s="144">
        <v>25</v>
      </c>
      <c r="G17" s="504">
        <f t="shared" si="3"/>
        <v>50</v>
      </c>
      <c r="H17" s="371">
        <f t="shared" si="10"/>
        <v>17156220</v>
      </c>
      <c r="I17" s="144">
        <v>25</v>
      </c>
      <c r="J17" s="503"/>
      <c r="K17" s="144">
        <v>25</v>
      </c>
      <c r="L17" s="503"/>
      <c r="M17" s="144">
        <v>25</v>
      </c>
      <c r="N17" s="504">
        <f t="shared" si="4"/>
        <v>125</v>
      </c>
      <c r="O17" s="371">
        <f t="shared" si="11"/>
        <v>42890550</v>
      </c>
      <c r="P17" s="144">
        <v>25</v>
      </c>
      <c r="Q17" s="503"/>
      <c r="R17" s="145">
        <v>25</v>
      </c>
      <c r="S17" s="503"/>
      <c r="T17" s="145">
        <v>25</v>
      </c>
      <c r="U17" s="504">
        <f t="shared" si="5"/>
        <v>200</v>
      </c>
      <c r="V17" s="371">
        <f t="shared" si="12"/>
        <v>68624880</v>
      </c>
      <c r="W17" s="145">
        <v>25</v>
      </c>
      <c r="X17" s="503"/>
      <c r="Y17" s="145">
        <v>25</v>
      </c>
      <c r="Z17" s="503"/>
      <c r="AA17" s="145">
        <v>10</v>
      </c>
      <c r="AB17" s="504">
        <f t="shared" si="6"/>
        <v>260</v>
      </c>
      <c r="AC17" s="371">
        <f t="shared" si="13"/>
        <v>89212344</v>
      </c>
      <c r="AD17" s="165">
        <f t="shared" si="0"/>
        <v>260</v>
      </c>
      <c r="AE17" s="613">
        <f t="shared" si="7"/>
        <v>89212344</v>
      </c>
      <c r="AF17" s="164"/>
      <c r="AG17" s="164"/>
      <c r="AH17" s="164"/>
      <c r="AI17" s="164"/>
      <c r="AJ17" s="164"/>
      <c r="AK17" s="147"/>
      <c r="AL17" s="147"/>
      <c r="AM17" s="147"/>
      <c r="AN17" s="147"/>
      <c r="AO17" s="147"/>
      <c r="AP17" s="147"/>
      <c r="AQ17" s="147"/>
      <c r="AS17" s="144" t="s">
        <v>304</v>
      </c>
      <c r="AT17" s="144">
        <v>0</v>
      </c>
      <c r="AU17" s="507"/>
      <c r="AV17" s="144">
        <v>11</v>
      </c>
      <c r="AW17" s="503"/>
      <c r="AX17" s="144">
        <v>15</v>
      </c>
      <c r="AY17" s="504">
        <f t="shared" si="8"/>
        <v>26</v>
      </c>
      <c r="AZ17" s="461">
        <f t="shared" si="14"/>
        <v>8921234.4000000004</v>
      </c>
      <c r="BA17" s="144">
        <v>18</v>
      </c>
      <c r="BB17" s="507"/>
      <c r="BC17" s="144">
        <v>20</v>
      </c>
      <c r="BD17" s="507"/>
      <c r="BE17" s="144">
        <v>25</v>
      </c>
      <c r="BF17" s="144">
        <f t="shared" si="9"/>
        <v>63</v>
      </c>
      <c r="BG17" s="666">
        <f t="shared" si="15"/>
        <v>21616837.200000003</v>
      </c>
      <c r="BH17" s="144">
        <v>13</v>
      </c>
      <c r="BI17" s="507"/>
      <c r="BJ17" s="714">
        <v>18</v>
      </c>
      <c r="BK17" s="145"/>
      <c r="BL17" s="145"/>
      <c r="BM17" s="145"/>
      <c r="BN17" s="145"/>
      <c r="BO17" s="145"/>
      <c r="BP17" s="145"/>
      <c r="BQ17" s="145"/>
      <c r="BR17" s="145"/>
      <c r="BS17" s="145"/>
      <c r="BT17" s="165">
        <f t="shared" si="1"/>
        <v>120</v>
      </c>
      <c r="BU17" s="614">
        <f t="shared" si="2"/>
        <v>30538071.600000001</v>
      </c>
      <c r="BV17" s="147"/>
      <c r="BW17" s="147"/>
      <c r="BX17" s="147"/>
      <c r="BY17" s="147"/>
      <c r="BZ17" s="147"/>
      <c r="CA17" s="147"/>
      <c r="CB17" s="147"/>
      <c r="CC17" s="147"/>
      <c r="CD17" s="147"/>
      <c r="CE17" s="147"/>
      <c r="CF17" s="147"/>
      <c r="CG17" s="147"/>
    </row>
    <row r="18" spans="1:85">
      <c r="A18" s="144" t="s">
        <v>305</v>
      </c>
      <c r="B18" s="144">
        <v>0</v>
      </c>
      <c r="C18" s="503"/>
      <c r="D18" s="144">
        <v>50</v>
      </c>
      <c r="E18" s="503"/>
      <c r="F18" s="144">
        <v>65</v>
      </c>
      <c r="G18" s="504">
        <f t="shared" si="3"/>
        <v>115</v>
      </c>
      <c r="H18" s="371">
        <f t="shared" si="10"/>
        <v>39459306</v>
      </c>
      <c r="I18" s="144">
        <v>65</v>
      </c>
      <c r="J18" s="503"/>
      <c r="K18" s="144">
        <v>65</v>
      </c>
      <c r="L18" s="503"/>
      <c r="M18" s="144">
        <v>65</v>
      </c>
      <c r="N18" s="504">
        <f t="shared" si="4"/>
        <v>310</v>
      </c>
      <c r="O18" s="371">
        <f t="shared" si="11"/>
        <v>106368564</v>
      </c>
      <c r="P18" s="144">
        <v>65</v>
      </c>
      <c r="Q18" s="503"/>
      <c r="R18" s="145">
        <v>65</v>
      </c>
      <c r="S18" s="503"/>
      <c r="T18" s="145">
        <v>65</v>
      </c>
      <c r="U18" s="504">
        <f t="shared" si="5"/>
        <v>505</v>
      </c>
      <c r="V18" s="371">
        <f t="shared" si="12"/>
        <v>173277822</v>
      </c>
      <c r="W18" s="145">
        <v>65</v>
      </c>
      <c r="X18" s="503"/>
      <c r="Y18" s="145">
        <v>65</v>
      </c>
      <c r="Z18" s="503"/>
      <c r="AA18" s="145">
        <v>11</v>
      </c>
      <c r="AB18" s="504">
        <f t="shared" si="6"/>
        <v>646</v>
      </c>
      <c r="AC18" s="371">
        <f t="shared" si="13"/>
        <v>221658362.40000001</v>
      </c>
      <c r="AD18" s="165">
        <f t="shared" si="0"/>
        <v>646</v>
      </c>
      <c r="AE18" s="613">
        <f t="shared" si="7"/>
        <v>221658362.40000001</v>
      </c>
      <c r="AF18" s="164"/>
      <c r="AG18" s="164"/>
      <c r="AH18" s="164"/>
      <c r="AI18" s="164"/>
      <c r="AJ18" s="164"/>
      <c r="AK18" s="147"/>
      <c r="AL18" s="147"/>
      <c r="AM18" s="147"/>
      <c r="AN18" s="147"/>
      <c r="AO18" s="147"/>
      <c r="AP18" s="147"/>
      <c r="AQ18" s="147"/>
      <c r="AS18" s="144" t="s">
        <v>305</v>
      </c>
      <c r="AT18" s="144">
        <v>0</v>
      </c>
      <c r="AU18" s="507"/>
      <c r="AV18" s="144">
        <v>111</v>
      </c>
      <c r="AW18" s="503"/>
      <c r="AX18" s="144">
        <v>118</v>
      </c>
      <c r="AY18" s="504">
        <f t="shared" si="8"/>
        <v>229</v>
      </c>
      <c r="AZ18" s="461">
        <f t="shared" si="14"/>
        <v>78575487.600000009</v>
      </c>
      <c r="BA18" s="144">
        <v>19</v>
      </c>
      <c r="BB18" s="507"/>
      <c r="BC18" s="144">
        <v>87</v>
      </c>
      <c r="BD18" s="507"/>
      <c r="BE18" s="144">
        <v>53</v>
      </c>
      <c r="BF18" s="144">
        <f t="shared" si="9"/>
        <v>159</v>
      </c>
      <c r="BG18" s="666">
        <f t="shared" si="15"/>
        <v>54556779.600000001</v>
      </c>
      <c r="BH18" s="144">
        <v>45</v>
      </c>
      <c r="BI18" s="507"/>
      <c r="BJ18" s="714">
        <v>49</v>
      </c>
      <c r="BK18" s="145"/>
      <c r="BL18" s="145"/>
      <c r="BM18" s="145"/>
      <c r="BN18" s="145"/>
      <c r="BO18" s="145"/>
      <c r="BP18" s="145"/>
      <c r="BQ18" s="145"/>
      <c r="BR18" s="145"/>
      <c r="BS18" s="145"/>
      <c r="BT18" s="165">
        <f t="shared" si="1"/>
        <v>482</v>
      </c>
      <c r="BU18" s="614">
        <f t="shared" si="2"/>
        <v>133132267.20000002</v>
      </c>
      <c r="BV18" s="147"/>
      <c r="BW18" s="147"/>
      <c r="BX18" s="147"/>
      <c r="BY18" s="147"/>
      <c r="BZ18" s="147"/>
      <c r="CA18" s="147"/>
      <c r="CB18" s="147"/>
      <c r="CC18" s="147"/>
      <c r="CD18" s="147"/>
      <c r="CE18" s="147"/>
      <c r="CF18" s="147"/>
      <c r="CG18" s="147"/>
    </row>
    <row r="19" spans="1:85">
      <c r="A19" s="144" t="s">
        <v>306</v>
      </c>
      <c r="B19" s="144">
        <v>0</v>
      </c>
      <c r="C19" s="503"/>
      <c r="D19" s="144">
        <v>50</v>
      </c>
      <c r="E19" s="503"/>
      <c r="F19" s="144">
        <v>70</v>
      </c>
      <c r="G19" s="504">
        <f t="shared" si="3"/>
        <v>120</v>
      </c>
      <c r="H19" s="371">
        <f t="shared" si="10"/>
        <v>41174928</v>
      </c>
      <c r="I19" s="144">
        <v>70</v>
      </c>
      <c r="J19" s="503"/>
      <c r="K19" s="144">
        <v>70</v>
      </c>
      <c r="L19" s="503"/>
      <c r="M19" s="144">
        <v>70</v>
      </c>
      <c r="N19" s="504">
        <f t="shared" si="4"/>
        <v>330</v>
      </c>
      <c r="O19" s="371">
        <f t="shared" si="11"/>
        <v>113231052.00000001</v>
      </c>
      <c r="P19" s="144">
        <v>70</v>
      </c>
      <c r="Q19" s="503"/>
      <c r="R19" s="145">
        <v>70</v>
      </c>
      <c r="S19" s="503"/>
      <c r="T19" s="145">
        <v>70</v>
      </c>
      <c r="U19" s="504">
        <f t="shared" si="5"/>
        <v>540</v>
      </c>
      <c r="V19" s="371">
        <f t="shared" si="12"/>
        <v>185287176</v>
      </c>
      <c r="W19" s="145">
        <v>70</v>
      </c>
      <c r="X19" s="503"/>
      <c r="Y19" s="145">
        <v>70</v>
      </c>
      <c r="Z19" s="503"/>
      <c r="AA19" s="145">
        <v>11</v>
      </c>
      <c r="AB19" s="504">
        <f t="shared" si="6"/>
        <v>691</v>
      </c>
      <c r="AC19" s="371">
        <f t="shared" si="13"/>
        <v>237098960.40000001</v>
      </c>
      <c r="AD19" s="165">
        <f t="shared" si="0"/>
        <v>691</v>
      </c>
      <c r="AE19" s="613">
        <f t="shared" si="7"/>
        <v>237098960.40000001</v>
      </c>
      <c r="AF19" s="164"/>
      <c r="AG19" s="164"/>
      <c r="AH19" s="164"/>
      <c r="AI19" s="164"/>
      <c r="AJ19" s="164"/>
      <c r="AK19" s="147"/>
      <c r="AL19" s="147"/>
      <c r="AM19" s="147"/>
      <c r="AN19" s="147"/>
      <c r="AO19" s="147"/>
      <c r="AP19" s="147"/>
      <c r="AQ19" s="147"/>
      <c r="AS19" s="144" t="s">
        <v>306</v>
      </c>
      <c r="AT19" s="144">
        <v>0</v>
      </c>
      <c r="AU19" s="507"/>
      <c r="AV19" s="144">
        <v>44</v>
      </c>
      <c r="AW19" s="503"/>
      <c r="AX19" s="144">
        <v>73</v>
      </c>
      <c r="AY19" s="504">
        <f t="shared" si="8"/>
        <v>117</v>
      </c>
      <c r="AZ19" s="461">
        <f t="shared" si="14"/>
        <v>40145554.800000004</v>
      </c>
      <c r="BA19" s="144">
        <v>144</v>
      </c>
      <c r="BB19" s="507"/>
      <c r="BC19" s="144">
        <v>149</v>
      </c>
      <c r="BD19" s="507"/>
      <c r="BE19" s="144">
        <v>50</v>
      </c>
      <c r="BF19" s="144">
        <f t="shared" si="9"/>
        <v>343</v>
      </c>
      <c r="BG19" s="666">
        <f t="shared" si="15"/>
        <v>117691669.2</v>
      </c>
      <c r="BH19" s="144">
        <v>68</v>
      </c>
      <c r="BI19" s="507"/>
      <c r="BJ19" s="714">
        <v>48</v>
      </c>
      <c r="BK19" s="145"/>
      <c r="BL19" s="145"/>
      <c r="BM19" s="145"/>
      <c r="BN19" s="145"/>
      <c r="BO19" s="145"/>
      <c r="BP19" s="145"/>
      <c r="BQ19" s="145"/>
      <c r="BR19" s="145"/>
      <c r="BS19" s="145"/>
      <c r="BT19" s="165">
        <f t="shared" si="1"/>
        <v>576</v>
      </c>
      <c r="BU19" s="614">
        <f t="shared" si="2"/>
        <v>157837224</v>
      </c>
      <c r="BV19" s="147"/>
      <c r="BW19" s="147"/>
      <c r="BX19" s="147"/>
      <c r="BY19" s="147"/>
      <c r="BZ19" s="147"/>
      <c r="CA19" s="147"/>
      <c r="CB19" s="147"/>
      <c r="CC19" s="147"/>
      <c r="CD19" s="147"/>
      <c r="CE19" s="147"/>
      <c r="CF19" s="147"/>
      <c r="CG19" s="147"/>
    </row>
    <row r="20" spans="1:85">
      <c r="A20" s="144" t="s">
        <v>307</v>
      </c>
      <c r="B20" s="144">
        <v>0</v>
      </c>
      <c r="C20" s="503"/>
      <c r="D20" s="144">
        <v>25</v>
      </c>
      <c r="E20" s="503"/>
      <c r="F20" s="144">
        <v>25</v>
      </c>
      <c r="G20" s="504">
        <f t="shared" si="3"/>
        <v>50</v>
      </c>
      <c r="H20" s="371">
        <f t="shared" si="10"/>
        <v>17156220</v>
      </c>
      <c r="I20" s="144">
        <v>25</v>
      </c>
      <c r="J20" s="503"/>
      <c r="K20" s="144">
        <v>25</v>
      </c>
      <c r="L20" s="503"/>
      <c r="M20" s="144">
        <v>25</v>
      </c>
      <c r="N20" s="504">
        <f t="shared" si="4"/>
        <v>125</v>
      </c>
      <c r="O20" s="371">
        <f t="shared" si="11"/>
        <v>42890550</v>
      </c>
      <c r="P20" s="144">
        <v>25</v>
      </c>
      <c r="Q20" s="503"/>
      <c r="R20" s="145">
        <v>25</v>
      </c>
      <c r="S20" s="503"/>
      <c r="T20" s="145">
        <v>25</v>
      </c>
      <c r="U20" s="504">
        <f t="shared" si="5"/>
        <v>200</v>
      </c>
      <c r="V20" s="371">
        <f t="shared" si="12"/>
        <v>68624880</v>
      </c>
      <c r="W20" s="145">
        <v>25</v>
      </c>
      <c r="X20" s="503"/>
      <c r="Y20" s="145">
        <v>25</v>
      </c>
      <c r="Z20" s="503"/>
      <c r="AA20" s="145">
        <v>10</v>
      </c>
      <c r="AB20" s="504">
        <f t="shared" si="6"/>
        <v>260</v>
      </c>
      <c r="AC20" s="371">
        <f t="shared" si="13"/>
        <v>89212344</v>
      </c>
      <c r="AD20" s="165">
        <f t="shared" si="0"/>
        <v>260</v>
      </c>
      <c r="AE20" s="613">
        <f t="shared" si="7"/>
        <v>89212344</v>
      </c>
      <c r="AF20" s="164"/>
      <c r="AG20" s="164"/>
      <c r="AH20" s="164"/>
      <c r="AI20" s="164"/>
      <c r="AJ20" s="164"/>
      <c r="AK20" s="147"/>
      <c r="AL20" s="147"/>
      <c r="AM20" s="147"/>
      <c r="AN20" s="147"/>
      <c r="AO20" s="147"/>
      <c r="AP20" s="147"/>
      <c r="AQ20" s="147"/>
      <c r="AS20" s="144" t="s">
        <v>307</v>
      </c>
      <c r="AT20" s="144">
        <v>0</v>
      </c>
      <c r="AU20" s="507"/>
      <c r="AV20" s="144">
        <v>11</v>
      </c>
      <c r="AW20" s="503"/>
      <c r="AX20" s="144">
        <v>65</v>
      </c>
      <c r="AY20" s="504">
        <f t="shared" si="8"/>
        <v>76</v>
      </c>
      <c r="AZ20" s="461">
        <f t="shared" si="14"/>
        <v>26077454.400000002</v>
      </c>
      <c r="BA20" s="144">
        <v>46</v>
      </c>
      <c r="BB20" s="507"/>
      <c r="BC20" s="144">
        <v>20</v>
      </c>
      <c r="BD20" s="507"/>
      <c r="BE20" s="144">
        <v>33</v>
      </c>
      <c r="BF20" s="144">
        <f t="shared" si="9"/>
        <v>99</v>
      </c>
      <c r="BG20" s="666">
        <f t="shared" si="15"/>
        <v>33969315.600000001</v>
      </c>
      <c r="BH20" s="144">
        <v>27</v>
      </c>
      <c r="BI20" s="507"/>
      <c r="BJ20" s="714">
        <v>40</v>
      </c>
      <c r="BK20" s="145"/>
      <c r="BL20" s="145"/>
      <c r="BM20" s="145"/>
      <c r="BN20" s="145"/>
      <c r="BO20" s="145"/>
      <c r="BP20" s="145"/>
      <c r="BQ20" s="145"/>
      <c r="BR20" s="145"/>
      <c r="BS20" s="145"/>
      <c r="BT20" s="165">
        <f t="shared" si="1"/>
        <v>242</v>
      </c>
      <c r="BU20" s="614">
        <f t="shared" si="2"/>
        <v>60046770</v>
      </c>
      <c r="BV20" s="147"/>
      <c r="BW20" s="147"/>
      <c r="BX20" s="147"/>
      <c r="BY20" s="147"/>
      <c r="BZ20" s="147"/>
      <c r="CA20" s="147"/>
      <c r="CB20" s="147"/>
      <c r="CC20" s="147"/>
      <c r="CD20" s="147"/>
      <c r="CE20" s="147"/>
      <c r="CF20" s="147"/>
      <c r="CG20" s="147"/>
    </row>
    <row r="21" spans="1:85">
      <c r="A21" s="144" t="s">
        <v>308</v>
      </c>
      <c r="B21" s="144">
        <v>0</v>
      </c>
      <c r="C21" s="503"/>
      <c r="D21" s="144">
        <v>50</v>
      </c>
      <c r="E21" s="503"/>
      <c r="F21" s="144">
        <v>60</v>
      </c>
      <c r="G21" s="504">
        <f t="shared" si="3"/>
        <v>110</v>
      </c>
      <c r="H21" s="371">
        <f t="shared" si="10"/>
        <v>37743684</v>
      </c>
      <c r="I21" s="144">
        <v>60</v>
      </c>
      <c r="J21" s="503"/>
      <c r="K21" s="144">
        <v>60</v>
      </c>
      <c r="L21" s="503"/>
      <c r="M21" s="144">
        <v>60</v>
      </c>
      <c r="N21" s="504">
        <f t="shared" si="4"/>
        <v>290</v>
      </c>
      <c r="O21" s="371">
        <f t="shared" si="11"/>
        <v>99506076</v>
      </c>
      <c r="P21" s="144">
        <v>60</v>
      </c>
      <c r="Q21" s="503"/>
      <c r="R21" s="145">
        <v>60</v>
      </c>
      <c r="S21" s="503"/>
      <c r="T21" s="145">
        <v>60</v>
      </c>
      <c r="U21" s="504">
        <f t="shared" si="5"/>
        <v>470</v>
      </c>
      <c r="V21" s="371">
        <f t="shared" si="12"/>
        <v>161268468</v>
      </c>
      <c r="W21" s="145">
        <v>60</v>
      </c>
      <c r="X21" s="503"/>
      <c r="Y21" s="145">
        <v>60</v>
      </c>
      <c r="Z21" s="503"/>
      <c r="AA21" s="145">
        <v>11</v>
      </c>
      <c r="AB21" s="504">
        <f t="shared" si="6"/>
        <v>601</v>
      </c>
      <c r="AC21" s="371">
        <f t="shared" si="13"/>
        <v>206217764.40000001</v>
      </c>
      <c r="AD21" s="165">
        <f t="shared" si="0"/>
        <v>601</v>
      </c>
      <c r="AE21" s="613">
        <f t="shared" si="7"/>
        <v>206217764.40000001</v>
      </c>
      <c r="AF21" s="164"/>
      <c r="AG21" s="164"/>
      <c r="AH21" s="164"/>
      <c r="AI21" s="164"/>
      <c r="AJ21" s="164"/>
      <c r="AK21" s="147"/>
      <c r="AL21" s="147"/>
      <c r="AM21" s="147"/>
      <c r="AN21" s="147"/>
      <c r="AO21" s="147"/>
      <c r="AP21" s="147"/>
      <c r="AQ21" s="147"/>
      <c r="AS21" s="144" t="s">
        <v>308</v>
      </c>
      <c r="AT21" s="144">
        <v>0</v>
      </c>
      <c r="AU21" s="507"/>
      <c r="AV21" s="144">
        <v>24</v>
      </c>
      <c r="AW21" s="503"/>
      <c r="AX21" s="144">
        <v>47</v>
      </c>
      <c r="AY21" s="504">
        <f t="shared" si="8"/>
        <v>71</v>
      </c>
      <c r="AZ21" s="461">
        <f t="shared" si="14"/>
        <v>24361832.400000002</v>
      </c>
      <c r="BA21" s="144">
        <v>82</v>
      </c>
      <c r="BB21" s="507"/>
      <c r="BC21" s="144">
        <v>105</v>
      </c>
      <c r="BD21" s="507"/>
      <c r="BE21" s="144">
        <v>87</v>
      </c>
      <c r="BF21" s="144">
        <f t="shared" si="9"/>
        <v>274</v>
      </c>
      <c r="BG21" s="666">
        <f t="shared" si="15"/>
        <v>94016085.600000009</v>
      </c>
      <c r="BH21" s="144">
        <v>50</v>
      </c>
      <c r="BI21" s="507"/>
      <c r="BJ21" s="714">
        <v>122</v>
      </c>
      <c r="BK21" s="145"/>
      <c r="BL21" s="145"/>
      <c r="BM21" s="145"/>
      <c r="BN21" s="145"/>
      <c r="BO21" s="145"/>
      <c r="BP21" s="145"/>
      <c r="BQ21" s="145"/>
      <c r="BR21" s="145"/>
      <c r="BS21" s="145"/>
      <c r="BT21" s="165">
        <f t="shared" si="1"/>
        <v>517</v>
      </c>
      <c r="BU21" s="614">
        <f t="shared" si="2"/>
        <v>118377918.00000001</v>
      </c>
      <c r="BV21" s="147"/>
      <c r="BW21" s="147"/>
      <c r="BX21" s="147"/>
      <c r="BY21" s="147"/>
      <c r="BZ21" s="147"/>
      <c r="CA21" s="147"/>
      <c r="CB21" s="147"/>
      <c r="CC21" s="147"/>
      <c r="CD21" s="147"/>
      <c r="CE21" s="147"/>
      <c r="CF21" s="147"/>
      <c r="CG21" s="147"/>
    </row>
    <row r="22" spans="1:85">
      <c r="A22" s="144" t="s">
        <v>309</v>
      </c>
      <c r="B22" s="144">
        <v>0</v>
      </c>
      <c r="C22" s="503"/>
      <c r="D22" s="144">
        <v>50</v>
      </c>
      <c r="E22" s="503"/>
      <c r="F22" s="144">
        <v>70</v>
      </c>
      <c r="G22" s="504">
        <f t="shared" si="3"/>
        <v>120</v>
      </c>
      <c r="H22" s="371">
        <f t="shared" si="10"/>
        <v>41174928</v>
      </c>
      <c r="I22" s="144">
        <v>70</v>
      </c>
      <c r="J22" s="503"/>
      <c r="K22" s="144">
        <v>70</v>
      </c>
      <c r="L22" s="503"/>
      <c r="M22" s="144">
        <v>70</v>
      </c>
      <c r="N22" s="504">
        <f t="shared" si="4"/>
        <v>330</v>
      </c>
      <c r="O22" s="371">
        <f t="shared" si="11"/>
        <v>113231052.00000001</v>
      </c>
      <c r="P22" s="144">
        <v>70</v>
      </c>
      <c r="Q22" s="503"/>
      <c r="R22" s="145">
        <v>70</v>
      </c>
      <c r="S22" s="503"/>
      <c r="T22" s="145">
        <v>70</v>
      </c>
      <c r="U22" s="504">
        <f t="shared" si="5"/>
        <v>540</v>
      </c>
      <c r="V22" s="371">
        <f t="shared" si="12"/>
        <v>185287176</v>
      </c>
      <c r="W22" s="145">
        <v>70</v>
      </c>
      <c r="X22" s="503"/>
      <c r="Y22" s="145">
        <v>70</v>
      </c>
      <c r="Z22" s="503"/>
      <c r="AA22" s="145">
        <v>11</v>
      </c>
      <c r="AB22" s="504">
        <f t="shared" si="6"/>
        <v>691</v>
      </c>
      <c r="AC22" s="371">
        <f t="shared" si="13"/>
        <v>237098960.40000001</v>
      </c>
      <c r="AD22" s="165">
        <f t="shared" si="0"/>
        <v>691</v>
      </c>
      <c r="AE22" s="613">
        <f t="shared" si="7"/>
        <v>237098960.40000001</v>
      </c>
      <c r="AF22" s="164"/>
      <c r="AG22" s="164"/>
      <c r="AH22" s="164"/>
      <c r="AI22" s="164"/>
      <c r="AJ22" s="164"/>
      <c r="AK22" s="147"/>
      <c r="AL22" s="147"/>
      <c r="AM22" s="147"/>
      <c r="AN22" s="147"/>
      <c r="AO22" s="147"/>
      <c r="AP22" s="147"/>
      <c r="AQ22" s="147"/>
      <c r="AS22" s="144" t="s">
        <v>309</v>
      </c>
      <c r="AT22" s="144">
        <v>0</v>
      </c>
      <c r="AU22" s="507"/>
      <c r="AV22" s="144">
        <v>94</v>
      </c>
      <c r="AW22" s="503"/>
      <c r="AX22" s="144">
        <v>103</v>
      </c>
      <c r="AY22" s="504">
        <f t="shared" si="8"/>
        <v>197</v>
      </c>
      <c r="AZ22" s="461">
        <f t="shared" si="14"/>
        <v>67595506.800000012</v>
      </c>
      <c r="BA22" s="144">
        <v>158</v>
      </c>
      <c r="BB22" s="507"/>
      <c r="BC22" s="144">
        <v>136</v>
      </c>
      <c r="BD22" s="507"/>
      <c r="BE22" s="144">
        <v>79</v>
      </c>
      <c r="BF22" s="144">
        <f t="shared" si="9"/>
        <v>373</v>
      </c>
      <c r="BG22" s="666">
        <f t="shared" si="15"/>
        <v>127985401.2</v>
      </c>
      <c r="BH22" s="144">
        <v>140</v>
      </c>
      <c r="BI22" s="507"/>
      <c r="BJ22" s="714">
        <v>87</v>
      </c>
      <c r="BK22" s="145"/>
      <c r="BL22" s="145"/>
      <c r="BM22" s="145"/>
      <c r="BN22" s="145"/>
      <c r="BO22" s="145"/>
      <c r="BP22" s="145"/>
      <c r="BQ22" s="145"/>
      <c r="BR22" s="145"/>
      <c r="BS22" s="145"/>
      <c r="BT22" s="165">
        <f t="shared" si="1"/>
        <v>797</v>
      </c>
      <c r="BU22" s="614">
        <f t="shared" si="2"/>
        <v>195580908</v>
      </c>
      <c r="BV22" s="147"/>
      <c r="BW22" s="147"/>
      <c r="BX22" s="147"/>
      <c r="BY22" s="147"/>
      <c r="BZ22" s="147"/>
      <c r="CA22" s="147"/>
      <c r="CB22" s="147"/>
      <c r="CC22" s="147"/>
      <c r="CD22" s="147"/>
      <c r="CE22" s="147"/>
      <c r="CF22" s="147"/>
      <c r="CG22" s="147"/>
    </row>
    <row r="23" spans="1:85">
      <c r="A23" s="144" t="s">
        <v>310</v>
      </c>
      <c r="B23" s="144">
        <v>0</v>
      </c>
      <c r="C23" s="503"/>
      <c r="D23" s="144">
        <v>10</v>
      </c>
      <c r="E23" s="503"/>
      <c r="F23" s="144">
        <v>10</v>
      </c>
      <c r="G23" s="504">
        <f t="shared" si="3"/>
        <v>20</v>
      </c>
      <c r="H23" s="371">
        <f t="shared" si="10"/>
        <v>6862488</v>
      </c>
      <c r="I23" s="144">
        <v>10</v>
      </c>
      <c r="J23" s="503"/>
      <c r="K23" s="144">
        <v>10</v>
      </c>
      <c r="L23" s="503"/>
      <c r="M23" s="144">
        <v>10</v>
      </c>
      <c r="N23" s="504">
        <f t="shared" si="4"/>
        <v>50</v>
      </c>
      <c r="O23" s="371">
        <f t="shared" si="11"/>
        <v>17156220</v>
      </c>
      <c r="P23" s="144">
        <v>10</v>
      </c>
      <c r="Q23" s="503"/>
      <c r="R23" s="145">
        <v>10</v>
      </c>
      <c r="S23" s="503"/>
      <c r="T23" s="145">
        <v>10</v>
      </c>
      <c r="U23" s="504">
        <f t="shared" si="5"/>
        <v>80</v>
      </c>
      <c r="V23" s="371">
        <f t="shared" si="12"/>
        <v>27449952</v>
      </c>
      <c r="W23" s="145">
        <v>10</v>
      </c>
      <c r="X23" s="503"/>
      <c r="Y23" s="145">
        <v>10</v>
      </c>
      <c r="Z23" s="503"/>
      <c r="AA23" s="145">
        <v>10</v>
      </c>
      <c r="AB23" s="504">
        <f t="shared" si="6"/>
        <v>110</v>
      </c>
      <c r="AC23" s="371">
        <f t="shared" si="13"/>
        <v>37743684</v>
      </c>
      <c r="AD23" s="165">
        <f t="shared" si="0"/>
        <v>110</v>
      </c>
      <c r="AE23" s="613">
        <f t="shared" si="7"/>
        <v>37743684</v>
      </c>
      <c r="AF23" s="164"/>
      <c r="AG23" s="164"/>
      <c r="AH23" s="164"/>
      <c r="AI23" s="164"/>
      <c r="AJ23" s="164"/>
      <c r="AK23" s="147"/>
      <c r="AL23" s="147"/>
      <c r="AM23" s="147"/>
      <c r="AN23" s="147"/>
      <c r="AO23" s="147"/>
      <c r="AP23" s="147"/>
      <c r="AQ23" s="147"/>
      <c r="AS23" s="144" t="s">
        <v>310</v>
      </c>
      <c r="AT23" s="144">
        <v>0</v>
      </c>
      <c r="AU23" s="507"/>
      <c r="AV23" s="144">
        <v>8</v>
      </c>
      <c r="AW23" s="503"/>
      <c r="AX23" s="144">
        <v>16</v>
      </c>
      <c r="AY23" s="504">
        <f t="shared" si="8"/>
        <v>24</v>
      </c>
      <c r="AZ23" s="461">
        <f t="shared" si="14"/>
        <v>8234985.6000000006</v>
      </c>
      <c r="BA23" s="144">
        <v>4</v>
      </c>
      <c r="BB23" s="507"/>
      <c r="BC23" s="144">
        <v>8</v>
      </c>
      <c r="BD23" s="507"/>
      <c r="BE23" s="144">
        <v>16</v>
      </c>
      <c r="BF23" s="144">
        <f t="shared" si="9"/>
        <v>28</v>
      </c>
      <c r="BG23" s="666">
        <f t="shared" si="15"/>
        <v>9607483.2000000011</v>
      </c>
      <c r="BH23" s="144">
        <v>13</v>
      </c>
      <c r="BI23" s="507"/>
      <c r="BJ23" s="714">
        <v>12</v>
      </c>
      <c r="BK23" s="145"/>
      <c r="BL23" s="145"/>
      <c r="BM23" s="145"/>
      <c r="BN23" s="145"/>
      <c r="BO23" s="145"/>
      <c r="BP23" s="145"/>
      <c r="BQ23" s="145"/>
      <c r="BR23" s="145"/>
      <c r="BS23" s="145"/>
      <c r="BT23" s="165">
        <f t="shared" si="1"/>
        <v>77</v>
      </c>
      <c r="BU23" s="614">
        <f t="shared" si="2"/>
        <v>17842468.800000001</v>
      </c>
      <c r="BV23" s="147"/>
      <c r="BW23" s="147"/>
      <c r="BX23" s="147"/>
      <c r="BY23" s="147"/>
      <c r="BZ23" s="147"/>
      <c r="CA23" s="147"/>
      <c r="CB23" s="147"/>
      <c r="CC23" s="147"/>
      <c r="CD23" s="147"/>
      <c r="CE23" s="147"/>
      <c r="CF23" s="147"/>
      <c r="CG23" s="147"/>
    </row>
    <row r="24" spans="1:85">
      <c r="A24" s="144" t="s">
        <v>311</v>
      </c>
      <c r="B24" s="144">
        <v>0</v>
      </c>
      <c r="C24" s="503"/>
      <c r="D24" s="144">
        <v>10</v>
      </c>
      <c r="E24" s="503"/>
      <c r="F24" s="144">
        <v>10</v>
      </c>
      <c r="G24" s="504">
        <f t="shared" si="3"/>
        <v>20</v>
      </c>
      <c r="H24" s="371">
        <f t="shared" si="10"/>
        <v>6862488</v>
      </c>
      <c r="I24" s="144">
        <v>10</v>
      </c>
      <c r="J24" s="503"/>
      <c r="K24" s="144">
        <v>10</v>
      </c>
      <c r="L24" s="503"/>
      <c r="M24" s="144">
        <v>10</v>
      </c>
      <c r="N24" s="504">
        <f t="shared" si="4"/>
        <v>50</v>
      </c>
      <c r="O24" s="371">
        <f t="shared" si="11"/>
        <v>17156220</v>
      </c>
      <c r="P24" s="144">
        <v>10</v>
      </c>
      <c r="Q24" s="503"/>
      <c r="R24" s="145">
        <v>10</v>
      </c>
      <c r="S24" s="503"/>
      <c r="T24" s="145">
        <v>10</v>
      </c>
      <c r="U24" s="504">
        <f t="shared" si="5"/>
        <v>80</v>
      </c>
      <c r="V24" s="371">
        <f t="shared" si="12"/>
        <v>27449952</v>
      </c>
      <c r="W24" s="145">
        <v>10</v>
      </c>
      <c r="X24" s="503"/>
      <c r="Y24" s="145">
        <v>10</v>
      </c>
      <c r="Z24" s="503"/>
      <c r="AA24" s="145">
        <v>10</v>
      </c>
      <c r="AB24" s="504">
        <f t="shared" si="6"/>
        <v>110</v>
      </c>
      <c r="AC24" s="371">
        <f t="shared" si="13"/>
        <v>37743684</v>
      </c>
      <c r="AD24" s="165">
        <f t="shared" si="0"/>
        <v>110</v>
      </c>
      <c r="AE24" s="613">
        <f t="shared" si="7"/>
        <v>37743684</v>
      </c>
      <c r="AF24" s="164"/>
      <c r="AG24" s="164"/>
      <c r="AH24" s="164"/>
      <c r="AI24" s="164"/>
      <c r="AJ24" s="164"/>
      <c r="AK24" s="147"/>
      <c r="AL24" s="147"/>
      <c r="AM24" s="147"/>
      <c r="AN24" s="147"/>
      <c r="AO24" s="147"/>
      <c r="AP24" s="147"/>
      <c r="AQ24" s="147"/>
      <c r="AS24" s="144" t="s">
        <v>311</v>
      </c>
      <c r="AT24" s="144">
        <v>0</v>
      </c>
      <c r="AU24" s="507"/>
      <c r="AV24" s="144">
        <v>15</v>
      </c>
      <c r="AW24" s="503"/>
      <c r="AX24" s="144">
        <v>10</v>
      </c>
      <c r="AY24" s="504">
        <f t="shared" si="8"/>
        <v>25</v>
      </c>
      <c r="AZ24" s="461">
        <f t="shared" si="14"/>
        <v>8578110</v>
      </c>
      <c r="BA24" s="144">
        <v>7</v>
      </c>
      <c r="BB24" s="507"/>
      <c r="BC24" s="144">
        <v>12</v>
      </c>
      <c r="BD24" s="507"/>
      <c r="BE24" s="144">
        <v>19</v>
      </c>
      <c r="BF24" s="144">
        <f t="shared" si="9"/>
        <v>38</v>
      </c>
      <c r="BG24" s="666">
        <f t="shared" si="15"/>
        <v>13038727.200000001</v>
      </c>
      <c r="BH24" s="144">
        <v>17</v>
      </c>
      <c r="BI24" s="507"/>
      <c r="BJ24" s="714">
        <v>12</v>
      </c>
      <c r="BK24" s="145"/>
      <c r="BL24" s="145"/>
      <c r="BM24" s="145"/>
      <c r="BN24" s="145"/>
      <c r="BO24" s="145"/>
      <c r="BP24" s="145"/>
      <c r="BQ24" s="145"/>
      <c r="BR24" s="145"/>
      <c r="BS24" s="145"/>
      <c r="BT24" s="165">
        <f t="shared" si="1"/>
        <v>92</v>
      </c>
      <c r="BU24" s="614">
        <f t="shared" si="2"/>
        <v>21616837.200000003</v>
      </c>
      <c r="BV24" s="147"/>
      <c r="BW24" s="147"/>
      <c r="BX24" s="147"/>
      <c r="BY24" s="147"/>
      <c r="BZ24" s="147"/>
      <c r="CA24" s="147"/>
      <c r="CB24" s="147"/>
      <c r="CC24" s="147"/>
      <c r="CD24" s="147"/>
      <c r="CE24" s="147"/>
      <c r="CF24" s="147"/>
      <c r="CG24" s="147"/>
    </row>
    <row r="25" spans="1:85">
      <c r="A25" s="144" t="s">
        <v>312</v>
      </c>
      <c r="B25" s="144">
        <v>0</v>
      </c>
      <c r="C25" s="503"/>
      <c r="D25" s="144">
        <v>10</v>
      </c>
      <c r="E25" s="503"/>
      <c r="F25" s="144">
        <v>10</v>
      </c>
      <c r="G25" s="504">
        <f t="shared" si="3"/>
        <v>20</v>
      </c>
      <c r="H25" s="371">
        <f t="shared" si="10"/>
        <v>6862488</v>
      </c>
      <c r="I25" s="144">
        <v>10</v>
      </c>
      <c r="J25" s="503"/>
      <c r="K25" s="144">
        <v>10</v>
      </c>
      <c r="L25" s="503"/>
      <c r="M25" s="144">
        <v>10</v>
      </c>
      <c r="N25" s="504">
        <f t="shared" si="4"/>
        <v>50</v>
      </c>
      <c r="O25" s="371">
        <f t="shared" si="11"/>
        <v>17156220</v>
      </c>
      <c r="P25" s="144">
        <v>10</v>
      </c>
      <c r="Q25" s="503"/>
      <c r="R25" s="145">
        <v>10</v>
      </c>
      <c r="S25" s="503"/>
      <c r="T25" s="145">
        <v>10</v>
      </c>
      <c r="U25" s="504">
        <f t="shared" si="5"/>
        <v>80</v>
      </c>
      <c r="V25" s="371">
        <f t="shared" si="12"/>
        <v>27449952</v>
      </c>
      <c r="W25" s="145">
        <v>10</v>
      </c>
      <c r="X25" s="503"/>
      <c r="Y25" s="145">
        <v>10</v>
      </c>
      <c r="Z25" s="503"/>
      <c r="AA25" s="145">
        <v>10</v>
      </c>
      <c r="AB25" s="504">
        <f t="shared" si="6"/>
        <v>110</v>
      </c>
      <c r="AC25" s="371">
        <f t="shared" si="13"/>
        <v>37743684</v>
      </c>
      <c r="AD25" s="165">
        <f t="shared" si="0"/>
        <v>110</v>
      </c>
      <c r="AE25" s="613">
        <f t="shared" si="7"/>
        <v>37743684</v>
      </c>
      <c r="AF25" s="164"/>
      <c r="AG25" s="164"/>
      <c r="AH25" s="164"/>
      <c r="AI25" s="164"/>
      <c r="AJ25" s="164"/>
      <c r="AK25" s="147"/>
      <c r="AL25" s="147"/>
      <c r="AM25" s="147"/>
      <c r="AN25" s="147"/>
      <c r="AO25" s="147"/>
      <c r="AP25" s="147"/>
      <c r="AQ25" s="147"/>
      <c r="AS25" s="144" t="s">
        <v>312</v>
      </c>
      <c r="AT25" s="144">
        <v>0</v>
      </c>
      <c r="AU25" s="507"/>
      <c r="AV25" s="144">
        <v>9</v>
      </c>
      <c r="AW25" s="503"/>
      <c r="AX25" s="144">
        <v>6</v>
      </c>
      <c r="AY25" s="504">
        <f t="shared" si="8"/>
        <v>15</v>
      </c>
      <c r="AZ25" s="461">
        <f t="shared" si="14"/>
        <v>5146866</v>
      </c>
      <c r="BA25" s="144">
        <v>16</v>
      </c>
      <c r="BB25" s="507"/>
      <c r="BC25" s="144">
        <v>11</v>
      </c>
      <c r="BD25" s="507"/>
      <c r="BE25" s="144">
        <v>34</v>
      </c>
      <c r="BF25" s="144">
        <f t="shared" si="9"/>
        <v>61</v>
      </c>
      <c r="BG25" s="666">
        <f t="shared" si="15"/>
        <v>20930588.400000002</v>
      </c>
      <c r="BH25" s="144">
        <v>19</v>
      </c>
      <c r="BI25" s="507"/>
      <c r="BJ25" s="714">
        <v>16</v>
      </c>
      <c r="BK25" s="145"/>
      <c r="BL25" s="145"/>
      <c r="BM25" s="145"/>
      <c r="BN25" s="145"/>
      <c r="BO25" s="145"/>
      <c r="BP25" s="145"/>
      <c r="BQ25" s="145"/>
      <c r="BR25" s="145"/>
      <c r="BS25" s="145"/>
      <c r="BT25" s="165">
        <f t="shared" si="1"/>
        <v>111</v>
      </c>
      <c r="BU25" s="614">
        <f t="shared" si="2"/>
        <v>26077454.400000002</v>
      </c>
      <c r="BV25" s="147"/>
      <c r="BW25" s="147"/>
      <c r="BX25" s="147"/>
      <c r="BY25" s="147"/>
      <c r="BZ25" s="147"/>
      <c r="CA25" s="147"/>
      <c r="CB25" s="147"/>
      <c r="CC25" s="147"/>
      <c r="CD25" s="147"/>
      <c r="CE25" s="147"/>
      <c r="CF25" s="147"/>
      <c r="CG25" s="147"/>
    </row>
    <row r="26" spans="1:85">
      <c r="A26" s="144" t="s">
        <v>313</v>
      </c>
      <c r="B26" s="144">
        <v>0</v>
      </c>
      <c r="C26" s="503"/>
      <c r="D26" s="144">
        <v>5</v>
      </c>
      <c r="E26" s="503"/>
      <c r="F26" s="144">
        <v>5</v>
      </c>
      <c r="G26" s="504">
        <f t="shared" si="3"/>
        <v>10</v>
      </c>
      <c r="H26" s="371">
        <f t="shared" si="10"/>
        <v>3431244</v>
      </c>
      <c r="I26" s="144">
        <v>5</v>
      </c>
      <c r="J26" s="503"/>
      <c r="K26" s="144">
        <v>5</v>
      </c>
      <c r="L26" s="503"/>
      <c r="M26" s="144">
        <v>5</v>
      </c>
      <c r="N26" s="504">
        <f t="shared" si="4"/>
        <v>25</v>
      </c>
      <c r="O26" s="371">
        <f t="shared" si="11"/>
        <v>8578110</v>
      </c>
      <c r="P26" s="144">
        <v>5</v>
      </c>
      <c r="Q26" s="503"/>
      <c r="R26" s="145">
        <v>5</v>
      </c>
      <c r="S26" s="503"/>
      <c r="T26" s="145">
        <v>5</v>
      </c>
      <c r="U26" s="504">
        <f t="shared" si="5"/>
        <v>40</v>
      </c>
      <c r="V26" s="371">
        <f t="shared" si="12"/>
        <v>13724976</v>
      </c>
      <c r="W26" s="145">
        <v>5</v>
      </c>
      <c r="X26" s="503"/>
      <c r="Y26" s="145">
        <v>5</v>
      </c>
      <c r="Z26" s="503"/>
      <c r="AA26" s="145">
        <v>10</v>
      </c>
      <c r="AB26" s="504">
        <f t="shared" si="6"/>
        <v>60</v>
      </c>
      <c r="AC26" s="371">
        <f t="shared" si="13"/>
        <v>20587464</v>
      </c>
      <c r="AD26" s="165">
        <f t="shared" si="0"/>
        <v>60</v>
      </c>
      <c r="AE26" s="613">
        <f t="shared" si="7"/>
        <v>20587464</v>
      </c>
      <c r="AF26" s="164"/>
      <c r="AG26" s="164"/>
      <c r="AH26" s="164"/>
      <c r="AI26" s="164"/>
      <c r="AJ26" s="164"/>
      <c r="AK26" s="147"/>
      <c r="AL26" s="147"/>
      <c r="AM26" s="147"/>
      <c r="AN26" s="147"/>
      <c r="AO26" s="147"/>
      <c r="AP26" s="147"/>
      <c r="AQ26" s="147"/>
      <c r="AS26" s="144" t="s">
        <v>313</v>
      </c>
      <c r="AT26" s="144">
        <v>0</v>
      </c>
      <c r="AU26" s="507"/>
      <c r="AV26" s="144">
        <v>9</v>
      </c>
      <c r="AW26" s="503"/>
      <c r="AX26" s="144">
        <v>4</v>
      </c>
      <c r="AY26" s="504">
        <f t="shared" si="8"/>
        <v>13</v>
      </c>
      <c r="AZ26" s="461">
        <f t="shared" si="14"/>
        <v>4460617.2</v>
      </c>
      <c r="BA26" s="144">
        <v>5</v>
      </c>
      <c r="BB26" s="507"/>
      <c r="BC26" s="144">
        <v>22</v>
      </c>
      <c r="BD26" s="507"/>
      <c r="BE26" s="144">
        <v>22</v>
      </c>
      <c r="BF26" s="144">
        <f t="shared" si="9"/>
        <v>49</v>
      </c>
      <c r="BG26" s="666">
        <f t="shared" si="15"/>
        <v>16813095.600000001</v>
      </c>
      <c r="BH26" s="144">
        <v>31</v>
      </c>
      <c r="BI26" s="507"/>
      <c r="BJ26" s="714">
        <v>27</v>
      </c>
      <c r="BK26" s="145"/>
      <c r="BL26" s="145"/>
      <c r="BM26" s="145"/>
      <c r="BN26" s="145"/>
      <c r="BO26" s="145"/>
      <c r="BP26" s="145"/>
      <c r="BQ26" s="145"/>
      <c r="BR26" s="145"/>
      <c r="BS26" s="145"/>
      <c r="BT26" s="165">
        <f t="shared" si="1"/>
        <v>120</v>
      </c>
      <c r="BU26" s="614">
        <f t="shared" si="2"/>
        <v>21273712.800000001</v>
      </c>
      <c r="BV26" s="147"/>
      <c r="BW26" s="147"/>
      <c r="BX26" s="147"/>
      <c r="BY26" s="147"/>
      <c r="BZ26" s="147"/>
      <c r="CA26" s="147"/>
      <c r="CB26" s="147"/>
      <c r="CC26" s="147"/>
      <c r="CD26" s="147"/>
      <c r="CE26" s="147"/>
      <c r="CF26" s="147"/>
      <c r="CG26" s="147"/>
    </row>
    <row r="27" spans="1:85">
      <c r="A27" s="144" t="s">
        <v>314</v>
      </c>
      <c r="B27" s="144">
        <v>0</v>
      </c>
      <c r="C27" s="503"/>
      <c r="D27" s="144">
        <v>15</v>
      </c>
      <c r="E27" s="503"/>
      <c r="F27" s="144">
        <v>15</v>
      </c>
      <c r="G27" s="504">
        <f t="shared" si="3"/>
        <v>30</v>
      </c>
      <c r="H27" s="371">
        <f t="shared" si="10"/>
        <v>10293732</v>
      </c>
      <c r="I27" s="144">
        <v>15</v>
      </c>
      <c r="J27" s="503"/>
      <c r="K27" s="144">
        <v>15</v>
      </c>
      <c r="L27" s="503"/>
      <c r="M27" s="144">
        <v>15</v>
      </c>
      <c r="N27" s="504">
        <f t="shared" si="4"/>
        <v>75</v>
      </c>
      <c r="O27" s="371">
        <f t="shared" si="11"/>
        <v>25734330</v>
      </c>
      <c r="P27" s="144">
        <v>15</v>
      </c>
      <c r="Q27" s="503"/>
      <c r="R27" s="145">
        <v>15</v>
      </c>
      <c r="S27" s="503"/>
      <c r="T27" s="145">
        <v>15</v>
      </c>
      <c r="U27" s="504">
        <f t="shared" si="5"/>
        <v>120</v>
      </c>
      <c r="V27" s="371">
        <f t="shared" si="12"/>
        <v>41174928</v>
      </c>
      <c r="W27" s="145">
        <v>15</v>
      </c>
      <c r="X27" s="503"/>
      <c r="Y27" s="145">
        <v>15</v>
      </c>
      <c r="Z27" s="503"/>
      <c r="AA27" s="145">
        <v>10</v>
      </c>
      <c r="AB27" s="504">
        <f t="shared" si="6"/>
        <v>160</v>
      </c>
      <c r="AC27" s="371">
        <f t="shared" si="13"/>
        <v>54899904</v>
      </c>
      <c r="AD27" s="165">
        <f t="shared" si="0"/>
        <v>160</v>
      </c>
      <c r="AE27" s="613">
        <f t="shared" si="7"/>
        <v>54899904</v>
      </c>
      <c r="AF27" s="164"/>
      <c r="AG27" s="164"/>
      <c r="AH27" s="164"/>
      <c r="AI27" s="164"/>
      <c r="AJ27" s="164"/>
      <c r="AK27" s="147"/>
      <c r="AL27" s="147"/>
      <c r="AM27" s="147"/>
      <c r="AN27" s="147"/>
      <c r="AO27" s="147"/>
      <c r="AP27" s="147"/>
      <c r="AQ27" s="147"/>
      <c r="AS27" s="144" t="s">
        <v>314</v>
      </c>
      <c r="AT27" s="144">
        <v>0</v>
      </c>
      <c r="AU27" s="507"/>
      <c r="AV27" s="144">
        <v>5</v>
      </c>
      <c r="AW27" s="503"/>
      <c r="AX27" s="144">
        <v>34</v>
      </c>
      <c r="AY27" s="504">
        <f t="shared" si="8"/>
        <v>39</v>
      </c>
      <c r="AZ27" s="461">
        <f t="shared" si="14"/>
        <v>13381851.600000001</v>
      </c>
      <c r="BA27" s="144">
        <v>25</v>
      </c>
      <c r="BB27" s="507"/>
      <c r="BC27" s="144">
        <v>13</v>
      </c>
      <c r="BD27" s="507"/>
      <c r="BE27" s="144">
        <v>8</v>
      </c>
      <c r="BF27" s="144">
        <f t="shared" si="9"/>
        <v>46</v>
      </c>
      <c r="BG27" s="666">
        <f t="shared" si="15"/>
        <v>15783722.4</v>
      </c>
      <c r="BH27" s="144">
        <v>29</v>
      </c>
      <c r="BI27" s="507"/>
      <c r="BJ27" s="714">
        <v>15</v>
      </c>
      <c r="BK27" s="145"/>
      <c r="BL27" s="145"/>
      <c r="BM27" s="145"/>
      <c r="BN27" s="145"/>
      <c r="BO27" s="145"/>
      <c r="BP27" s="145"/>
      <c r="BQ27" s="145"/>
      <c r="BR27" s="145"/>
      <c r="BS27" s="145"/>
      <c r="BT27" s="165">
        <f t="shared" si="1"/>
        <v>129</v>
      </c>
      <c r="BU27" s="614">
        <f t="shared" si="2"/>
        <v>29165574</v>
      </c>
      <c r="BV27" s="147"/>
      <c r="BW27" s="147"/>
      <c r="BX27" s="147"/>
      <c r="BY27" s="147"/>
      <c r="BZ27" s="147"/>
      <c r="CA27" s="147"/>
      <c r="CB27" s="147"/>
      <c r="CC27" s="147"/>
      <c r="CD27" s="147"/>
      <c r="CE27" s="147"/>
      <c r="CF27" s="147"/>
      <c r="CG27" s="147"/>
    </row>
    <row r="28" spans="1:85">
      <c r="A28" s="144" t="s">
        <v>315</v>
      </c>
      <c r="B28" s="144">
        <v>0</v>
      </c>
      <c r="C28" s="503"/>
      <c r="D28" s="144">
        <v>5</v>
      </c>
      <c r="E28" s="503"/>
      <c r="F28" s="144">
        <v>5</v>
      </c>
      <c r="G28" s="504">
        <f t="shared" si="3"/>
        <v>10</v>
      </c>
      <c r="H28" s="371">
        <f t="shared" si="10"/>
        <v>3431244</v>
      </c>
      <c r="I28" s="144">
        <v>5</v>
      </c>
      <c r="J28" s="503"/>
      <c r="K28" s="144">
        <v>5</v>
      </c>
      <c r="L28" s="503"/>
      <c r="M28" s="144">
        <v>5</v>
      </c>
      <c r="N28" s="504">
        <f t="shared" si="4"/>
        <v>25</v>
      </c>
      <c r="O28" s="371">
        <f t="shared" si="11"/>
        <v>8578110</v>
      </c>
      <c r="P28" s="144">
        <v>5</v>
      </c>
      <c r="Q28" s="503"/>
      <c r="R28" s="145">
        <v>5</v>
      </c>
      <c r="S28" s="503"/>
      <c r="T28" s="145">
        <v>5</v>
      </c>
      <c r="U28" s="504">
        <f t="shared" si="5"/>
        <v>40</v>
      </c>
      <c r="V28" s="371">
        <f t="shared" si="12"/>
        <v>13724976</v>
      </c>
      <c r="W28" s="145">
        <v>5</v>
      </c>
      <c r="X28" s="503"/>
      <c r="Y28" s="145">
        <v>5</v>
      </c>
      <c r="Z28" s="503"/>
      <c r="AA28" s="145">
        <v>10</v>
      </c>
      <c r="AB28" s="504">
        <f t="shared" si="6"/>
        <v>60</v>
      </c>
      <c r="AC28" s="371">
        <f t="shared" si="13"/>
        <v>20587464</v>
      </c>
      <c r="AD28" s="165">
        <f t="shared" si="0"/>
        <v>60</v>
      </c>
      <c r="AE28" s="613">
        <f t="shared" si="7"/>
        <v>20587464</v>
      </c>
      <c r="AF28" s="164"/>
      <c r="AG28" s="164"/>
      <c r="AH28" s="164"/>
      <c r="AI28" s="164"/>
      <c r="AJ28" s="164"/>
      <c r="AK28" s="147"/>
      <c r="AL28" s="147"/>
      <c r="AM28" s="147"/>
      <c r="AN28" s="147"/>
      <c r="AO28" s="147"/>
      <c r="AP28" s="147"/>
      <c r="AQ28" s="147"/>
      <c r="AS28" s="144" t="s">
        <v>315</v>
      </c>
      <c r="AT28" s="144">
        <v>0</v>
      </c>
      <c r="AU28" s="507"/>
      <c r="AV28" s="144">
        <v>1</v>
      </c>
      <c r="AW28" s="503"/>
      <c r="AX28" s="144">
        <v>17</v>
      </c>
      <c r="AY28" s="504">
        <f t="shared" si="8"/>
        <v>18</v>
      </c>
      <c r="AZ28" s="461">
        <f t="shared" si="14"/>
        <v>6176239.2000000002</v>
      </c>
      <c r="BA28" s="144">
        <v>1</v>
      </c>
      <c r="BB28" s="507"/>
      <c r="BC28" s="144">
        <v>12</v>
      </c>
      <c r="BD28" s="507"/>
      <c r="BE28" s="144">
        <v>12</v>
      </c>
      <c r="BF28" s="144">
        <f t="shared" si="9"/>
        <v>25</v>
      </c>
      <c r="BG28" s="666">
        <f t="shared" si="15"/>
        <v>8578110</v>
      </c>
      <c r="BH28" s="144">
        <v>7</v>
      </c>
      <c r="BI28" s="507"/>
      <c r="BJ28" s="714">
        <v>4</v>
      </c>
      <c r="BK28" s="145"/>
      <c r="BL28" s="145"/>
      <c r="BM28" s="145"/>
      <c r="BN28" s="145"/>
      <c r="BO28" s="145"/>
      <c r="BP28" s="145"/>
      <c r="BQ28" s="145"/>
      <c r="BR28" s="145"/>
      <c r="BS28" s="145"/>
      <c r="BT28" s="165">
        <f t="shared" si="1"/>
        <v>54</v>
      </c>
      <c r="BU28" s="614">
        <f t="shared" si="2"/>
        <v>14754349.199999999</v>
      </c>
      <c r="BV28" s="147"/>
      <c r="BW28" s="147"/>
      <c r="BX28" s="147"/>
      <c r="BY28" s="147"/>
      <c r="BZ28" s="147"/>
      <c r="CA28" s="147"/>
      <c r="CB28" s="147"/>
      <c r="CC28" s="147"/>
      <c r="CD28" s="147"/>
      <c r="CE28" s="147"/>
      <c r="CF28" s="147"/>
      <c r="CG28" s="147"/>
    </row>
    <row r="29" spans="1:85">
      <c r="A29" s="144" t="s">
        <v>316</v>
      </c>
      <c r="B29" s="144">
        <v>0</v>
      </c>
      <c r="C29" s="503"/>
      <c r="D29" s="144">
        <v>30</v>
      </c>
      <c r="E29" s="503"/>
      <c r="F29" s="144">
        <v>55</v>
      </c>
      <c r="G29" s="504">
        <f t="shared" si="3"/>
        <v>85</v>
      </c>
      <c r="H29" s="371">
        <f t="shared" si="10"/>
        <v>29165574.000000004</v>
      </c>
      <c r="I29" s="144">
        <v>55</v>
      </c>
      <c r="J29" s="503"/>
      <c r="K29" s="144">
        <v>55</v>
      </c>
      <c r="L29" s="503"/>
      <c r="M29" s="144">
        <v>55</v>
      </c>
      <c r="N29" s="504">
        <f t="shared" si="4"/>
        <v>250</v>
      </c>
      <c r="O29" s="371">
        <f t="shared" si="11"/>
        <v>85781100</v>
      </c>
      <c r="P29" s="144">
        <v>55</v>
      </c>
      <c r="Q29" s="503"/>
      <c r="R29" s="145">
        <v>55</v>
      </c>
      <c r="S29" s="503"/>
      <c r="T29" s="145">
        <v>55</v>
      </c>
      <c r="U29" s="504">
        <f t="shared" si="5"/>
        <v>415</v>
      </c>
      <c r="V29" s="371">
        <f t="shared" si="12"/>
        <v>142396626</v>
      </c>
      <c r="W29" s="145">
        <v>55</v>
      </c>
      <c r="X29" s="503"/>
      <c r="Y29" s="145">
        <v>55</v>
      </c>
      <c r="Z29" s="503"/>
      <c r="AA29" s="145">
        <v>11</v>
      </c>
      <c r="AB29" s="504">
        <f t="shared" si="6"/>
        <v>536</v>
      </c>
      <c r="AC29" s="371">
        <f t="shared" si="13"/>
        <v>183914678.40000001</v>
      </c>
      <c r="AD29" s="165">
        <f t="shared" si="0"/>
        <v>536</v>
      </c>
      <c r="AE29" s="613">
        <f t="shared" si="7"/>
        <v>183914678.40000001</v>
      </c>
      <c r="AF29" s="164"/>
      <c r="AG29" s="164"/>
      <c r="AH29" s="164"/>
      <c r="AI29" s="164"/>
      <c r="AJ29" s="164"/>
      <c r="AK29" s="147"/>
      <c r="AL29" s="147"/>
      <c r="AM29" s="147"/>
      <c r="AN29" s="147"/>
      <c r="AO29" s="147"/>
      <c r="AP29" s="147"/>
      <c r="AQ29" s="147"/>
      <c r="AS29" s="144" t="s">
        <v>316</v>
      </c>
      <c r="AT29" s="144">
        <v>0</v>
      </c>
      <c r="AU29" s="507"/>
      <c r="AV29" s="144">
        <v>11</v>
      </c>
      <c r="AW29" s="503"/>
      <c r="AX29" s="144">
        <v>89</v>
      </c>
      <c r="AY29" s="504">
        <f t="shared" si="8"/>
        <v>100</v>
      </c>
      <c r="AZ29" s="461">
        <f t="shared" si="14"/>
        <v>34312440</v>
      </c>
      <c r="BA29" s="144">
        <v>26</v>
      </c>
      <c r="BB29" s="507"/>
      <c r="BC29" s="144">
        <v>35</v>
      </c>
      <c r="BD29" s="507"/>
      <c r="BE29" s="144">
        <v>45</v>
      </c>
      <c r="BF29" s="144">
        <f t="shared" si="9"/>
        <v>106</v>
      </c>
      <c r="BG29" s="666">
        <f t="shared" si="15"/>
        <v>36371186.400000006</v>
      </c>
      <c r="BH29" s="144">
        <v>47</v>
      </c>
      <c r="BI29" s="507"/>
      <c r="BJ29" s="714">
        <v>34</v>
      </c>
      <c r="BK29" s="145"/>
      <c r="BL29" s="145"/>
      <c r="BM29" s="145"/>
      <c r="BN29" s="145"/>
      <c r="BO29" s="145"/>
      <c r="BP29" s="145"/>
      <c r="BQ29" s="145"/>
      <c r="BR29" s="145"/>
      <c r="BS29" s="145"/>
      <c r="BT29" s="165">
        <f t="shared" si="1"/>
        <v>287</v>
      </c>
      <c r="BU29" s="614">
        <f t="shared" si="2"/>
        <v>70683626.400000006</v>
      </c>
      <c r="BV29" s="147"/>
      <c r="BW29" s="147"/>
      <c r="BX29" s="147"/>
      <c r="BY29" s="147"/>
      <c r="BZ29" s="147"/>
      <c r="CA29" s="147"/>
      <c r="CB29" s="147"/>
      <c r="CC29" s="147"/>
      <c r="CD29" s="147"/>
      <c r="CE29" s="147"/>
      <c r="CF29" s="147"/>
      <c r="CG29" s="147"/>
    </row>
    <row r="30" spans="1:85">
      <c r="A30" s="144" t="s">
        <v>317</v>
      </c>
      <c r="B30" s="144">
        <v>0</v>
      </c>
      <c r="C30" s="503"/>
      <c r="D30" s="144">
        <v>30</v>
      </c>
      <c r="E30" s="503"/>
      <c r="F30" s="144">
        <v>55</v>
      </c>
      <c r="G30" s="504">
        <f t="shared" si="3"/>
        <v>85</v>
      </c>
      <c r="H30" s="371">
        <f t="shared" si="10"/>
        <v>29165574.000000004</v>
      </c>
      <c r="I30" s="144">
        <v>55</v>
      </c>
      <c r="J30" s="503"/>
      <c r="K30" s="144">
        <v>55</v>
      </c>
      <c r="L30" s="503"/>
      <c r="M30" s="144">
        <v>55</v>
      </c>
      <c r="N30" s="504">
        <f t="shared" si="4"/>
        <v>250</v>
      </c>
      <c r="O30" s="371">
        <f t="shared" si="11"/>
        <v>85781100</v>
      </c>
      <c r="P30" s="144">
        <v>55</v>
      </c>
      <c r="Q30" s="503"/>
      <c r="R30" s="145">
        <v>55</v>
      </c>
      <c r="S30" s="503"/>
      <c r="T30" s="145">
        <v>55</v>
      </c>
      <c r="U30" s="504">
        <f t="shared" si="5"/>
        <v>415</v>
      </c>
      <c r="V30" s="371">
        <f t="shared" si="12"/>
        <v>142396626</v>
      </c>
      <c r="W30" s="145">
        <v>55</v>
      </c>
      <c r="X30" s="503"/>
      <c r="Y30" s="145">
        <v>55</v>
      </c>
      <c r="Z30" s="503"/>
      <c r="AA30" s="145">
        <v>11</v>
      </c>
      <c r="AB30" s="504">
        <f t="shared" si="6"/>
        <v>536</v>
      </c>
      <c r="AC30" s="371">
        <f t="shared" si="13"/>
        <v>183914678.40000001</v>
      </c>
      <c r="AD30" s="165">
        <f t="shared" si="0"/>
        <v>536</v>
      </c>
      <c r="AE30" s="613">
        <f t="shared" si="7"/>
        <v>183914678.40000001</v>
      </c>
      <c r="AF30" s="164"/>
      <c r="AG30" s="164"/>
      <c r="AH30" s="164"/>
      <c r="AI30" s="164"/>
      <c r="AJ30" s="164"/>
      <c r="AK30" s="147"/>
      <c r="AL30" s="147"/>
      <c r="AM30" s="147"/>
      <c r="AN30" s="147"/>
      <c r="AO30" s="147"/>
      <c r="AP30" s="147"/>
      <c r="AQ30" s="147"/>
      <c r="AS30" s="144" t="s">
        <v>317</v>
      </c>
      <c r="AT30" s="144">
        <v>0</v>
      </c>
      <c r="AU30" s="507"/>
      <c r="AV30" s="144">
        <v>69</v>
      </c>
      <c r="AW30" s="503"/>
      <c r="AX30" s="144">
        <v>96</v>
      </c>
      <c r="AY30" s="504">
        <f t="shared" si="8"/>
        <v>165</v>
      </c>
      <c r="AZ30" s="461">
        <f t="shared" si="14"/>
        <v>56615526.000000007</v>
      </c>
      <c r="BA30" s="144">
        <v>136</v>
      </c>
      <c r="BB30" s="507"/>
      <c r="BC30" s="144">
        <v>200</v>
      </c>
      <c r="BD30" s="507"/>
      <c r="BE30" s="144">
        <v>43</v>
      </c>
      <c r="BF30" s="144">
        <f t="shared" si="9"/>
        <v>379</v>
      </c>
      <c r="BG30" s="666">
        <f t="shared" si="15"/>
        <v>130044147.60000001</v>
      </c>
      <c r="BH30" s="144">
        <v>102</v>
      </c>
      <c r="BI30" s="507"/>
      <c r="BJ30" s="714">
        <v>107</v>
      </c>
      <c r="BK30" s="145"/>
      <c r="BL30" s="145"/>
      <c r="BM30" s="145"/>
      <c r="BN30" s="145"/>
      <c r="BO30" s="145"/>
      <c r="BP30" s="145"/>
      <c r="BQ30" s="145"/>
      <c r="BR30" s="145"/>
      <c r="BS30" s="145"/>
      <c r="BT30" s="165">
        <f t="shared" si="1"/>
        <v>753</v>
      </c>
      <c r="BU30" s="614">
        <f t="shared" si="2"/>
        <v>186659673.60000002</v>
      </c>
      <c r="BV30" s="147"/>
      <c r="BW30" s="147"/>
      <c r="BX30" s="147"/>
      <c r="BY30" s="147"/>
      <c r="BZ30" s="147"/>
      <c r="CA30" s="147"/>
      <c r="CB30" s="147"/>
      <c r="CC30" s="147"/>
      <c r="CD30" s="147"/>
      <c r="CE30" s="147"/>
      <c r="CF30" s="147"/>
      <c r="CG30" s="147"/>
    </row>
    <row r="31" spans="1:85">
      <c r="A31" s="144" t="s">
        <v>318</v>
      </c>
      <c r="B31" s="144">
        <v>0</v>
      </c>
      <c r="C31" s="503"/>
      <c r="D31" s="144">
        <v>0</v>
      </c>
      <c r="E31" s="503"/>
      <c r="F31" s="144">
        <v>2</v>
      </c>
      <c r="G31" s="504">
        <f t="shared" si="3"/>
        <v>2</v>
      </c>
      <c r="H31" s="371">
        <f t="shared" si="10"/>
        <v>686248.8</v>
      </c>
      <c r="I31" s="144">
        <v>2</v>
      </c>
      <c r="J31" s="503"/>
      <c r="K31" s="144">
        <v>2</v>
      </c>
      <c r="L31" s="503"/>
      <c r="M31" s="144">
        <v>2</v>
      </c>
      <c r="N31" s="504">
        <f t="shared" si="4"/>
        <v>8</v>
      </c>
      <c r="O31" s="371">
        <f t="shared" si="11"/>
        <v>2744995.2</v>
      </c>
      <c r="P31" s="144">
        <v>2</v>
      </c>
      <c r="Q31" s="503"/>
      <c r="R31" s="145">
        <v>2</v>
      </c>
      <c r="S31" s="503"/>
      <c r="T31" s="145">
        <v>2</v>
      </c>
      <c r="U31" s="504">
        <f t="shared" si="5"/>
        <v>14</v>
      </c>
      <c r="V31" s="371">
        <f t="shared" si="12"/>
        <v>4803741.6000000006</v>
      </c>
      <c r="W31" s="145">
        <v>2</v>
      </c>
      <c r="X31" s="503"/>
      <c r="Y31" s="145">
        <v>2</v>
      </c>
      <c r="Z31" s="503"/>
      <c r="AA31" s="145">
        <v>2</v>
      </c>
      <c r="AB31" s="504">
        <f t="shared" si="6"/>
        <v>20</v>
      </c>
      <c r="AC31" s="371">
        <f t="shared" si="13"/>
        <v>6862488</v>
      </c>
      <c r="AD31" s="165">
        <f t="shared" si="0"/>
        <v>20</v>
      </c>
      <c r="AE31" s="613">
        <f t="shared" si="7"/>
        <v>6862488</v>
      </c>
      <c r="AF31" s="164"/>
      <c r="AG31" s="164"/>
      <c r="AH31" s="164"/>
      <c r="AI31" s="164"/>
      <c r="AJ31" s="164"/>
      <c r="AK31" s="147"/>
      <c r="AL31" s="147"/>
      <c r="AM31" s="147"/>
      <c r="AN31" s="147"/>
      <c r="AO31" s="147"/>
      <c r="AP31" s="147"/>
      <c r="AQ31" s="147"/>
      <c r="AS31" s="144" t="s">
        <v>318</v>
      </c>
      <c r="AT31" s="144">
        <v>0</v>
      </c>
      <c r="AU31" s="507"/>
      <c r="AV31" s="144">
        <v>1</v>
      </c>
      <c r="AW31" s="503"/>
      <c r="AX31" s="144">
        <v>2</v>
      </c>
      <c r="AY31" s="504">
        <f t="shared" si="8"/>
        <v>3</v>
      </c>
      <c r="AZ31" s="461">
        <f t="shared" si="14"/>
        <v>1029373.2000000001</v>
      </c>
      <c r="BA31" s="144">
        <v>3</v>
      </c>
      <c r="BB31" s="507"/>
      <c r="BC31" s="144">
        <v>0</v>
      </c>
      <c r="BD31" s="507"/>
      <c r="BE31" s="144">
        <v>0</v>
      </c>
      <c r="BF31" s="144">
        <f t="shared" si="9"/>
        <v>3</v>
      </c>
      <c r="BG31" s="666">
        <f t="shared" si="15"/>
        <v>1029373.2000000001</v>
      </c>
      <c r="BH31" s="144">
        <v>2</v>
      </c>
      <c r="BI31" s="507"/>
      <c r="BJ31" s="714">
        <v>0</v>
      </c>
      <c r="BK31" s="145"/>
      <c r="BL31" s="145"/>
      <c r="BM31" s="145"/>
      <c r="BN31" s="145"/>
      <c r="BO31" s="145"/>
      <c r="BP31" s="145"/>
      <c r="BQ31" s="145"/>
      <c r="BR31" s="145"/>
      <c r="BS31" s="145"/>
      <c r="BT31" s="165">
        <f t="shared" si="1"/>
        <v>8</v>
      </c>
      <c r="BU31" s="614">
        <f t="shared" si="2"/>
        <v>2058746.4000000001</v>
      </c>
      <c r="BV31" s="147"/>
      <c r="BW31" s="147"/>
      <c r="BX31" s="147"/>
      <c r="BY31" s="147"/>
      <c r="BZ31" s="147"/>
      <c r="CA31" s="147"/>
      <c r="CB31" s="147"/>
      <c r="CC31" s="147"/>
      <c r="CD31" s="147"/>
      <c r="CE31" s="147"/>
      <c r="CF31" s="147"/>
      <c r="CG31" s="147"/>
    </row>
    <row r="32" spans="1:85">
      <c r="A32" s="615" t="s">
        <v>319</v>
      </c>
      <c r="B32" s="146">
        <f>SUM(B11:B31)</f>
        <v>0</v>
      </c>
      <c r="C32" s="146">
        <f t="shared" ref="C32:AQ32" si="16">SUM(C11:C31)</f>
        <v>0</v>
      </c>
      <c r="D32" s="146">
        <f t="shared" si="16"/>
        <v>500</v>
      </c>
      <c r="E32" s="616">
        <f t="shared" si="16"/>
        <v>0</v>
      </c>
      <c r="F32" s="146">
        <f t="shared" si="16"/>
        <v>700</v>
      </c>
      <c r="G32" s="617">
        <f t="shared" si="16"/>
        <v>1200</v>
      </c>
      <c r="H32" s="616">
        <f t="shared" si="16"/>
        <v>1396371000</v>
      </c>
      <c r="I32" s="146">
        <f t="shared" si="16"/>
        <v>700</v>
      </c>
      <c r="J32" s="616">
        <f t="shared" si="16"/>
        <v>0</v>
      </c>
      <c r="K32" s="146">
        <f t="shared" si="16"/>
        <v>700</v>
      </c>
      <c r="L32" s="616">
        <f t="shared" si="16"/>
        <v>0</v>
      </c>
      <c r="M32" s="146">
        <f t="shared" si="16"/>
        <v>700</v>
      </c>
      <c r="N32" s="617">
        <f t="shared" si="16"/>
        <v>3300</v>
      </c>
      <c r="O32" s="616">
        <f t="shared" si="16"/>
        <v>2048343535.1599996</v>
      </c>
      <c r="P32" s="146">
        <f t="shared" si="16"/>
        <v>700</v>
      </c>
      <c r="Q32" s="616">
        <f t="shared" si="16"/>
        <v>0</v>
      </c>
      <c r="R32" s="146">
        <f t="shared" si="16"/>
        <v>700</v>
      </c>
      <c r="S32" s="616">
        <f t="shared" si="16"/>
        <v>0</v>
      </c>
      <c r="T32" s="146">
        <f t="shared" si="16"/>
        <v>700</v>
      </c>
      <c r="U32" s="617">
        <f t="shared" si="16"/>
        <v>5400</v>
      </c>
      <c r="V32" s="616">
        <f t="shared" si="16"/>
        <v>2401870787.1599998</v>
      </c>
      <c r="W32" s="146">
        <f t="shared" si="16"/>
        <v>700</v>
      </c>
      <c r="X32" s="616">
        <f t="shared" si="16"/>
        <v>0</v>
      </c>
      <c r="Y32" s="146">
        <f t="shared" si="16"/>
        <v>700</v>
      </c>
      <c r="Z32" s="616">
        <f t="shared" si="16"/>
        <v>0</v>
      </c>
      <c r="AA32" s="146">
        <f t="shared" si="16"/>
        <v>200</v>
      </c>
      <c r="AB32" s="617">
        <f t="shared" si="16"/>
        <v>7000</v>
      </c>
      <c r="AC32" s="616">
        <f t="shared" si="16"/>
        <v>2401870787.1599998</v>
      </c>
      <c r="AD32" s="146">
        <f t="shared" si="16"/>
        <v>7000</v>
      </c>
      <c r="AE32" s="613">
        <f t="shared" si="16"/>
        <v>2401870787.1599998</v>
      </c>
      <c r="AF32" s="146">
        <f t="shared" si="16"/>
        <v>0</v>
      </c>
      <c r="AG32" s="146">
        <f t="shared" si="16"/>
        <v>0</v>
      </c>
      <c r="AH32" s="146">
        <f t="shared" si="16"/>
        <v>0</v>
      </c>
      <c r="AI32" s="146">
        <f t="shared" si="16"/>
        <v>0</v>
      </c>
      <c r="AJ32" s="146">
        <f t="shared" si="16"/>
        <v>0</v>
      </c>
      <c r="AK32" s="146">
        <f t="shared" si="16"/>
        <v>0</v>
      </c>
      <c r="AL32" s="146">
        <f t="shared" si="16"/>
        <v>0</v>
      </c>
      <c r="AM32" s="146">
        <f t="shared" si="16"/>
        <v>0</v>
      </c>
      <c r="AN32" s="146">
        <f t="shared" si="16"/>
        <v>0</v>
      </c>
      <c r="AO32" s="146">
        <f t="shared" si="16"/>
        <v>0</v>
      </c>
      <c r="AP32" s="146">
        <f t="shared" si="16"/>
        <v>0</v>
      </c>
      <c r="AQ32" s="146">
        <f t="shared" si="16"/>
        <v>0</v>
      </c>
      <c r="AS32" s="615" t="s">
        <v>319</v>
      </c>
      <c r="AT32" s="146">
        <f t="shared" ref="AT32:BU32" si="17">SUM(AT11:AT31)</f>
        <v>0</v>
      </c>
      <c r="AU32" s="146">
        <f t="shared" si="17"/>
        <v>0</v>
      </c>
      <c r="AV32" s="146">
        <f t="shared" si="17"/>
        <v>531</v>
      </c>
      <c r="AW32" s="618"/>
      <c r="AX32" s="146">
        <f t="shared" si="17"/>
        <v>950</v>
      </c>
      <c r="AY32" s="617">
        <f t="shared" si="17"/>
        <v>1481</v>
      </c>
      <c r="AZ32" s="616">
        <f t="shared" si="17"/>
        <v>1342336167</v>
      </c>
      <c r="BA32" s="146">
        <f t="shared" si="17"/>
        <v>740</v>
      </c>
      <c r="BB32" s="146">
        <f t="shared" si="17"/>
        <v>0</v>
      </c>
      <c r="BC32" s="146">
        <f t="shared" si="17"/>
        <v>922</v>
      </c>
      <c r="BD32" s="146">
        <f t="shared" si="17"/>
        <v>0</v>
      </c>
      <c r="BE32" s="146">
        <f t="shared" si="17"/>
        <v>701</v>
      </c>
      <c r="BF32" s="146">
        <f t="shared" si="17"/>
        <v>2363</v>
      </c>
      <c r="BG32" s="664">
        <f t="shared" si="17"/>
        <v>810802957.20000017</v>
      </c>
      <c r="BH32" s="716">
        <f t="shared" si="17"/>
        <v>738</v>
      </c>
      <c r="BI32" s="146">
        <f t="shared" si="17"/>
        <v>0</v>
      </c>
      <c r="BJ32" s="146">
        <f t="shared" si="17"/>
        <v>729</v>
      </c>
      <c r="BK32" s="146">
        <f t="shared" si="17"/>
        <v>0</v>
      </c>
      <c r="BL32" s="146">
        <f t="shared" si="17"/>
        <v>0</v>
      </c>
      <c r="BM32" s="146">
        <f t="shared" si="17"/>
        <v>0</v>
      </c>
      <c r="BN32" s="146">
        <f t="shared" si="17"/>
        <v>0</v>
      </c>
      <c r="BO32" s="146">
        <f t="shared" si="17"/>
        <v>0</v>
      </c>
      <c r="BP32" s="146">
        <f t="shared" si="17"/>
        <v>0</v>
      </c>
      <c r="BQ32" s="146">
        <f t="shared" si="17"/>
        <v>0</v>
      </c>
      <c r="BR32" s="146">
        <f t="shared" si="17"/>
        <v>0</v>
      </c>
      <c r="BS32" s="146">
        <f t="shared" si="17"/>
        <v>0</v>
      </c>
      <c r="BT32" s="619">
        <f t="shared" si="17"/>
        <v>5311</v>
      </c>
      <c r="BU32" s="667">
        <f t="shared" si="17"/>
        <v>2153139124.2000003</v>
      </c>
      <c r="BV32" s="146">
        <f t="shared" ref="BV32:CG32" si="18">SUM(BV11:BV31)</f>
        <v>0</v>
      </c>
      <c r="BW32" s="146">
        <f t="shared" si="18"/>
        <v>0</v>
      </c>
      <c r="BX32" s="146">
        <f t="shared" si="18"/>
        <v>0</v>
      </c>
      <c r="BY32" s="146">
        <f t="shared" si="18"/>
        <v>0</v>
      </c>
      <c r="BZ32" s="146">
        <f t="shared" si="18"/>
        <v>0</v>
      </c>
      <c r="CA32" s="146">
        <f t="shared" si="18"/>
        <v>0</v>
      </c>
      <c r="CB32" s="146">
        <f t="shared" si="18"/>
        <v>0</v>
      </c>
      <c r="CC32" s="146">
        <f t="shared" si="18"/>
        <v>0</v>
      </c>
      <c r="CD32" s="146">
        <f t="shared" si="18"/>
        <v>0</v>
      </c>
      <c r="CE32" s="146">
        <f t="shared" si="18"/>
        <v>0</v>
      </c>
      <c r="CF32" s="146">
        <f t="shared" si="18"/>
        <v>0</v>
      </c>
      <c r="CG32" s="146">
        <f t="shared" si="18"/>
        <v>0</v>
      </c>
    </row>
    <row r="33" spans="1:85" ht="89.25" hidden="1" customHeight="1">
      <c r="A33" s="426"/>
      <c r="B33" s="427"/>
      <c r="C33" s="427"/>
      <c r="D33" s="427"/>
      <c r="E33" s="508"/>
      <c r="F33" s="427"/>
      <c r="G33" s="427"/>
      <c r="H33" s="428"/>
      <c r="I33" s="427"/>
      <c r="J33" s="508"/>
      <c r="K33" s="427"/>
      <c r="L33" s="428"/>
      <c r="M33" s="427"/>
      <c r="N33" s="427"/>
      <c r="O33" s="428"/>
      <c r="P33" s="427"/>
      <c r="Q33" s="428"/>
      <c r="R33" s="427"/>
      <c r="S33" s="428"/>
      <c r="T33" s="427"/>
      <c r="U33" s="427"/>
      <c r="V33" s="428"/>
      <c r="W33" s="427"/>
      <c r="X33" s="428"/>
      <c r="Y33" s="427"/>
      <c r="Z33" s="428"/>
      <c r="AA33" s="427"/>
      <c r="AB33" s="427"/>
      <c r="AC33" s="428"/>
      <c r="AD33" s="427"/>
      <c r="AE33" s="429"/>
      <c r="AF33" s="427"/>
      <c r="AG33" s="427"/>
      <c r="AH33" s="427"/>
      <c r="AI33" s="427"/>
      <c r="AJ33" s="427"/>
      <c r="AK33" s="427"/>
      <c r="AL33" s="427"/>
      <c r="AM33" s="427"/>
      <c r="AN33" s="427"/>
      <c r="AO33" s="427"/>
      <c r="AP33" s="427"/>
      <c r="AQ33" s="427"/>
      <c r="AS33" s="426"/>
      <c r="AT33" s="427"/>
      <c r="AU33" s="427"/>
      <c r="AV33" s="590" t="s">
        <v>320</v>
      </c>
      <c r="AW33" s="591" t="s">
        <v>321</v>
      </c>
      <c r="AX33" s="590"/>
      <c r="AY33" s="590"/>
      <c r="AZ33" s="590"/>
      <c r="BA33" s="590" t="s">
        <v>320</v>
      </c>
      <c r="BB33" s="591" t="s">
        <v>321</v>
      </c>
      <c r="BC33" s="427"/>
      <c r="BD33" s="427"/>
      <c r="BE33" s="427"/>
      <c r="BF33" s="427"/>
      <c r="BG33" s="427"/>
      <c r="BH33" s="717"/>
      <c r="BI33" s="427"/>
      <c r="BJ33" s="427"/>
      <c r="BK33" s="427"/>
      <c r="BL33" s="427"/>
      <c r="BM33" s="427"/>
      <c r="BN33" s="427"/>
      <c r="BO33" s="427"/>
      <c r="BP33" s="427"/>
      <c r="BQ33" s="427"/>
      <c r="BR33" s="427"/>
      <c r="BS33" s="427"/>
      <c r="BT33" s="430"/>
      <c r="BU33" s="431"/>
      <c r="BV33" s="427"/>
      <c r="BW33" s="427"/>
      <c r="BX33" s="427"/>
      <c r="BY33" s="427"/>
      <c r="BZ33" s="427"/>
      <c r="CA33" s="427"/>
      <c r="CB33" s="427"/>
      <c r="CC33" s="427"/>
      <c r="CD33" s="427"/>
      <c r="CE33" s="427"/>
      <c r="CF33" s="427"/>
      <c r="CG33" s="427"/>
    </row>
    <row r="35" spans="1:85" ht="28.5">
      <c r="A35" s="149" t="s">
        <v>274</v>
      </c>
      <c r="B35" s="1121" t="s">
        <v>275</v>
      </c>
      <c r="C35" s="1121"/>
      <c r="D35" s="1121"/>
      <c r="E35" s="1121"/>
      <c r="F35" s="1121"/>
      <c r="G35" s="1121"/>
      <c r="H35" s="1121"/>
      <c r="I35" s="1121"/>
      <c r="J35" s="1121"/>
      <c r="K35" s="1121"/>
      <c r="L35" s="1121"/>
      <c r="M35" s="1121"/>
      <c r="N35" s="1121"/>
      <c r="O35" s="1121"/>
      <c r="P35" s="1121"/>
      <c r="Q35" s="1121"/>
      <c r="R35" s="1121"/>
      <c r="S35" s="1121"/>
      <c r="T35" s="1121"/>
      <c r="U35" s="1121"/>
      <c r="V35" s="1121"/>
      <c r="W35" s="1121"/>
      <c r="X35" s="1121"/>
      <c r="Y35" s="1121"/>
      <c r="Z35" s="1121"/>
      <c r="AA35" s="1121"/>
      <c r="AB35" s="1121"/>
      <c r="AC35" s="1121"/>
      <c r="AD35" s="1121"/>
      <c r="AE35" s="1121"/>
      <c r="AF35" s="1121"/>
      <c r="AG35" s="1121"/>
      <c r="AH35" s="1121"/>
      <c r="AI35" s="1121"/>
      <c r="AJ35" s="1121"/>
      <c r="AK35" s="1121"/>
      <c r="AL35" s="1121"/>
      <c r="AM35" s="1121"/>
      <c r="AN35" s="1121"/>
      <c r="AO35" s="1121"/>
      <c r="AP35" s="1121"/>
      <c r="AQ35" s="1121"/>
      <c r="AR35" s="1121"/>
      <c r="AS35" s="1121"/>
      <c r="AT35" s="1121"/>
      <c r="AU35" s="1121"/>
      <c r="AV35" s="1121"/>
      <c r="AW35" s="1121"/>
      <c r="AX35" s="1121"/>
      <c r="AY35" s="1121"/>
      <c r="AZ35" s="1121"/>
      <c r="BA35" s="1121"/>
      <c r="BB35" s="1121"/>
      <c r="BC35" s="1121"/>
      <c r="BD35" s="1121"/>
      <c r="BE35" s="1121"/>
      <c r="BF35" s="1121"/>
      <c r="BG35" s="1121"/>
      <c r="BH35" s="1122"/>
      <c r="BI35" s="1121"/>
      <c r="BJ35" s="1121"/>
      <c r="BK35" s="1121"/>
      <c r="BL35" s="1121"/>
      <c r="BM35" s="1121"/>
      <c r="BN35" s="1121"/>
      <c r="BO35" s="1121"/>
      <c r="BP35" s="1121"/>
      <c r="BQ35" s="1121"/>
      <c r="BR35" s="1121"/>
      <c r="BS35" s="1121"/>
      <c r="BT35" s="1121"/>
      <c r="BU35" s="1121"/>
      <c r="BV35" s="1121"/>
      <c r="BW35" s="1121"/>
      <c r="BX35" s="1121"/>
      <c r="BY35" s="1121"/>
      <c r="BZ35" s="1121"/>
      <c r="CA35" s="1121"/>
      <c r="CB35" s="1121"/>
    </row>
    <row r="36" spans="1:85" ht="29.1" customHeight="1">
      <c r="A36" s="150" t="s">
        <v>276</v>
      </c>
      <c r="B36" s="1123" t="s">
        <v>322</v>
      </c>
      <c r="C36" s="1124"/>
      <c r="D36" s="1124"/>
      <c r="E36" s="1124"/>
      <c r="F36" s="1124"/>
      <c r="G36" s="1124"/>
      <c r="H36" s="1124"/>
      <c r="I36" s="1124"/>
      <c r="J36" s="1124"/>
      <c r="K36" s="1124"/>
      <c r="L36" s="1124"/>
      <c r="M36" s="1124"/>
      <c r="N36" s="1124"/>
      <c r="O36" s="1124"/>
      <c r="P36" s="1124"/>
      <c r="Q36" s="1124"/>
      <c r="R36" s="1124"/>
      <c r="S36" s="1124"/>
      <c r="T36" s="1124"/>
      <c r="U36" s="1124"/>
      <c r="V36" s="1124"/>
      <c r="W36" s="1124"/>
      <c r="X36" s="1124"/>
      <c r="Y36" s="1124"/>
      <c r="Z36" s="1124"/>
      <c r="AA36" s="1124"/>
      <c r="AB36" s="1124"/>
      <c r="AC36" s="1124"/>
      <c r="AD36" s="1124"/>
      <c r="AE36" s="1124"/>
      <c r="AF36" s="1124"/>
      <c r="AG36" s="1124"/>
      <c r="AH36" s="1124"/>
      <c r="AI36" s="1124"/>
      <c r="AJ36" s="1124"/>
      <c r="AK36" s="1124"/>
      <c r="AL36" s="1124"/>
      <c r="AM36" s="1124"/>
      <c r="AN36" s="1124"/>
      <c r="AO36" s="1124"/>
      <c r="AP36" s="1124"/>
      <c r="AQ36" s="1124"/>
      <c r="AR36" s="1124"/>
      <c r="AS36" s="1124"/>
      <c r="AT36" s="1124"/>
      <c r="AU36" s="1124"/>
      <c r="AV36" s="1124"/>
      <c r="AW36" s="1124"/>
      <c r="AX36" s="1124"/>
      <c r="AY36" s="1124"/>
      <c r="AZ36" s="1124"/>
      <c r="BA36" s="1124"/>
      <c r="BB36" s="1124"/>
      <c r="BC36" s="1124"/>
      <c r="BD36" s="1124"/>
      <c r="BE36" s="1124"/>
      <c r="BF36" s="1124"/>
      <c r="BG36" s="1124"/>
      <c r="BH36" s="1125"/>
      <c r="BI36" s="1124"/>
      <c r="BJ36" s="1124"/>
      <c r="BK36" s="1124"/>
      <c r="BL36" s="1124"/>
      <c r="BM36" s="1124"/>
      <c r="BN36" s="1124"/>
      <c r="BO36" s="1124"/>
      <c r="BP36" s="1124"/>
      <c r="BQ36" s="1124"/>
      <c r="BR36" s="1124"/>
      <c r="BS36" s="1124"/>
      <c r="BT36" s="1124"/>
      <c r="BU36" s="1124"/>
      <c r="BV36" s="1124"/>
      <c r="BW36" s="1124"/>
      <c r="BX36" s="1124"/>
      <c r="BY36" s="1124"/>
      <c r="BZ36" s="1124"/>
      <c r="CA36" s="1124"/>
      <c r="CB36" s="1126"/>
    </row>
    <row r="37" spans="1:85" ht="6" customHeight="1" thickBot="1">
      <c r="A37" s="141"/>
      <c r="B37" s="141"/>
      <c r="C37" s="141"/>
      <c r="D37" s="141"/>
      <c r="E37" s="141"/>
      <c r="F37" s="141"/>
      <c r="G37" s="141"/>
      <c r="H37" s="141"/>
      <c r="I37" s="141"/>
      <c r="J37" s="141"/>
      <c r="K37" s="141"/>
      <c r="L37" s="141"/>
      <c r="M37" s="141"/>
      <c r="N37" s="141"/>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O37" s="141"/>
      <c r="AP37" s="142"/>
      <c r="AQ37" s="142"/>
      <c r="AR37" s="142"/>
      <c r="AS37" s="142"/>
      <c r="AT37" s="142"/>
      <c r="AU37" s="142"/>
      <c r="AV37" s="142"/>
      <c r="AW37" s="142"/>
      <c r="AX37" s="142"/>
      <c r="AY37" s="142"/>
      <c r="AZ37" s="142"/>
      <c r="BA37" s="142"/>
    </row>
    <row r="38" spans="1:85" ht="30" customHeight="1">
      <c r="A38" s="1142" t="s">
        <v>277</v>
      </c>
      <c r="B38" s="1127" t="s">
        <v>30</v>
      </c>
      <c r="C38" s="1128"/>
      <c r="D38" s="1127" t="s">
        <v>31</v>
      </c>
      <c r="E38" s="1128"/>
      <c r="F38" s="1127" t="s">
        <v>32</v>
      </c>
      <c r="G38" s="1132"/>
      <c r="H38" s="1128"/>
      <c r="I38" s="1127" t="s">
        <v>33</v>
      </c>
      <c r="J38" s="1128"/>
      <c r="K38" s="1127" t="s">
        <v>34</v>
      </c>
      <c r="L38" s="1128"/>
      <c r="M38" s="1127" t="s">
        <v>35</v>
      </c>
      <c r="N38" s="1132"/>
      <c r="O38" s="1128"/>
      <c r="P38" s="1127" t="s">
        <v>36</v>
      </c>
      <c r="Q38" s="1128"/>
      <c r="R38" s="1127" t="s">
        <v>8</v>
      </c>
      <c r="S38" s="1128"/>
      <c r="T38" s="1127" t="s">
        <v>37</v>
      </c>
      <c r="U38" s="1132"/>
      <c r="V38" s="1128"/>
      <c r="W38" s="1127" t="s">
        <v>38</v>
      </c>
      <c r="X38" s="1128"/>
      <c r="Y38" s="1127" t="s">
        <v>39</v>
      </c>
      <c r="Z38" s="1128"/>
      <c r="AA38" s="1127" t="s">
        <v>40</v>
      </c>
      <c r="AB38" s="1132"/>
      <c r="AC38" s="1128"/>
      <c r="AD38" s="1127" t="s">
        <v>278</v>
      </c>
      <c r="AE38" s="1147"/>
      <c r="AF38" s="1131" t="s">
        <v>279</v>
      </c>
      <c r="AG38" s="1131"/>
      <c r="AH38" s="1131"/>
      <c r="AI38" s="1131"/>
      <c r="AJ38" s="1131"/>
      <c r="AK38" s="1130"/>
      <c r="AL38" s="1129" t="s">
        <v>280</v>
      </c>
      <c r="AM38" s="1131"/>
      <c r="AN38" s="1131"/>
      <c r="AO38" s="1131"/>
      <c r="AP38" s="1131"/>
      <c r="AQ38" s="1130"/>
      <c r="AS38" s="1142" t="s">
        <v>277</v>
      </c>
      <c r="AT38" s="1127" t="s">
        <v>30</v>
      </c>
      <c r="AU38" s="1128"/>
      <c r="AV38" s="1127" t="s">
        <v>31</v>
      </c>
      <c r="AW38" s="1128"/>
      <c r="AX38" s="1127" t="s">
        <v>32</v>
      </c>
      <c r="AY38" s="1132"/>
      <c r="AZ38" s="1128"/>
      <c r="BA38" s="1127" t="s">
        <v>33</v>
      </c>
      <c r="BB38" s="1128"/>
      <c r="BC38" s="1127" t="s">
        <v>34</v>
      </c>
      <c r="BD38" s="1128"/>
      <c r="BE38" s="1127" t="s">
        <v>35</v>
      </c>
      <c r="BF38" s="1132"/>
      <c r="BG38" s="1128"/>
      <c r="BH38" s="1148" t="s">
        <v>36</v>
      </c>
      <c r="BI38" s="1128"/>
      <c r="BJ38" s="1127" t="s">
        <v>8</v>
      </c>
      <c r="BK38" s="1128"/>
      <c r="BL38" s="1127" t="s">
        <v>37</v>
      </c>
      <c r="BM38" s="1128"/>
      <c r="BN38" s="1127" t="s">
        <v>38</v>
      </c>
      <c r="BO38" s="1128"/>
      <c r="BP38" s="1127" t="s">
        <v>39</v>
      </c>
      <c r="BQ38" s="1128"/>
      <c r="BR38" s="1127" t="s">
        <v>40</v>
      </c>
      <c r="BS38" s="1128"/>
      <c r="BT38" s="1127" t="s">
        <v>278</v>
      </c>
      <c r="BU38" s="1147"/>
      <c r="BV38" s="1131" t="s">
        <v>279</v>
      </c>
      <c r="BW38" s="1131"/>
      <c r="BX38" s="1131"/>
      <c r="BY38" s="1131"/>
      <c r="BZ38" s="1131"/>
      <c r="CA38" s="1130"/>
      <c r="CB38" s="1129" t="s">
        <v>280</v>
      </c>
      <c r="CC38" s="1131"/>
      <c r="CD38" s="1131"/>
      <c r="CE38" s="1131"/>
      <c r="CF38" s="1131"/>
      <c r="CG38" s="1130"/>
    </row>
    <row r="39" spans="1:85" ht="51.95" customHeight="1">
      <c r="A39" s="1143"/>
      <c r="B39" s="624" t="s">
        <v>281</v>
      </c>
      <c r="C39" s="624" t="s">
        <v>282</v>
      </c>
      <c r="D39" s="624" t="s">
        <v>281</v>
      </c>
      <c r="E39" s="624" t="s">
        <v>282</v>
      </c>
      <c r="F39" s="624" t="s">
        <v>281</v>
      </c>
      <c r="G39" s="502" t="s">
        <v>283</v>
      </c>
      <c r="H39" s="624" t="s">
        <v>282</v>
      </c>
      <c r="I39" s="624" t="s">
        <v>281</v>
      </c>
      <c r="J39" s="624" t="s">
        <v>282</v>
      </c>
      <c r="K39" s="624" t="s">
        <v>281</v>
      </c>
      <c r="L39" s="624" t="s">
        <v>282</v>
      </c>
      <c r="M39" s="624" t="s">
        <v>281</v>
      </c>
      <c r="N39" s="502" t="s">
        <v>284</v>
      </c>
      <c r="O39" s="624" t="s">
        <v>282</v>
      </c>
      <c r="P39" s="624" t="s">
        <v>281</v>
      </c>
      <c r="Q39" s="624" t="s">
        <v>282</v>
      </c>
      <c r="R39" s="624" t="s">
        <v>281</v>
      </c>
      <c r="S39" s="624" t="s">
        <v>282</v>
      </c>
      <c r="T39" s="624" t="s">
        <v>281</v>
      </c>
      <c r="U39" s="502" t="s">
        <v>285</v>
      </c>
      <c r="V39" s="624" t="s">
        <v>282</v>
      </c>
      <c r="W39" s="624" t="s">
        <v>281</v>
      </c>
      <c r="X39" s="624" t="s">
        <v>282</v>
      </c>
      <c r="Y39" s="624" t="s">
        <v>281</v>
      </c>
      <c r="Z39" s="624" t="s">
        <v>282</v>
      </c>
      <c r="AA39" s="624" t="s">
        <v>281</v>
      </c>
      <c r="AB39" s="502" t="s">
        <v>323</v>
      </c>
      <c r="AC39" s="624" t="s">
        <v>282</v>
      </c>
      <c r="AD39" s="624" t="s">
        <v>281</v>
      </c>
      <c r="AE39" s="595" t="s">
        <v>282</v>
      </c>
      <c r="AF39" s="592" t="s">
        <v>286</v>
      </c>
      <c r="AG39" s="162" t="s">
        <v>287</v>
      </c>
      <c r="AH39" s="162" t="s">
        <v>288</v>
      </c>
      <c r="AI39" s="162" t="s">
        <v>289</v>
      </c>
      <c r="AJ39" s="163" t="s">
        <v>290</v>
      </c>
      <c r="AK39" s="162" t="s">
        <v>291</v>
      </c>
      <c r="AL39" s="624" t="s">
        <v>292</v>
      </c>
      <c r="AM39" s="143" t="s">
        <v>293</v>
      </c>
      <c r="AN39" s="624" t="s">
        <v>294</v>
      </c>
      <c r="AO39" s="624" t="s">
        <v>295</v>
      </c>
      <c r="AP39" s="624" t="s">
        <v>296</v>
      </c>
      <c r="AQ39" s="624" t="s">
        <v>297</v>
      </c>
      <c r="AS39" s="1143"/>
      <c r="AT39" s="624" t="s">
        <v>281</v>
      </c>
      <c r="AU39" s="624" t="s">
        <v>282</v>
      </c>
      <c r="AV39" s="624" t="s">
        <v>281</v>
      </c>
      <c r="AW39" s="624" t="s">
        <v>282</v>
      </c>
      <c r="AX39" s="624" t="s">
        <v>281</v>
      </c>
      <c r="AY39" s="502" t="s">
        <v>283</v>
      </c>
      <c r="AZ39" s="624" t="s">
        <v>282</v>
      </c>
      <c r="BA39" s="624" t="s">
        <v>281</v>
      </c>
      <c r="BB39" s="624" t="s">
        <v>282</v>
      </c>
      <c r="BC39" s="624" t="s">
        <v>281</v>
      </c>
      <c r="BD39" s="624" t="s">
        <v>282</v>
      </c>
      <c r="BE39" s="624" t="s">
        <v>281</v>
      </c>
      <c r="BF39" s="502" t="s">
        <v>284</v>
      </c>
      <c r="BG39" s="624" t="s">
        <v>282</v>
      </c>
      <c r="BH39" s="715" t="s">
        <v>281</v>
      </c>
      <c r="BI39" s="624" t="s">
        <v>282</v>
      </c>
      <c r="BJ39" s="624" t="s">
        <v>281</v>
      </c>
      <c r="BK39" s="624" t="s">
        <v>282</v>
      </c>
      <c r="BL39" s="624" t="s">
        <v>281</v>
      </c>
      <c r="BM39" s="624" t="s">
        <v>282</v>
      </c>
      <c r="BN39" s="624" t="s">
        <v>281</v>
      </c>
      <c r="BO39" s="624" t="s">
        <v>282</v>
      </c>
      <c r="BP39" s="624" t="s">
        <v>281</v>
      </c>
      <c r="BQ39" s="624" t="s">
        <v>282</v>
      </c>
      <c r="BR39" s="624" t="s">
        <v>281</v>
      </c>
      <c r="BS39" s="624" t="s">
        <v>282</v>
      </c>
      <c r="BT39" s="624" t="s">
        <v>281</v>
      </c>
      <c r="BU39" s="595" t="s">
        <v>282</v>
      </c>
      <c r="BV39" s="592" t="s">
        <v>286</v>
      </c>
      <c r="BW39" s="162" t="s">
        <v>287</v>
      </c>
      <c r="BX39" s="162" t="s">
        <v>288</v>
      </c>
      <c r="BY39" s="162" t="s">
        <v>289</v>
      </c>
      <c r="BZ39" s="163" t="s">
        <v>290</v>
      </c>
      <c r="CA39" s="162" t="s">
        <v>291</v>
      </c>
      <c r="CB39" s="624" t="s">
        <v>292</v>
      </c>
      <c r="CC39" s="143" t="s">
        <v>293</v>
      </c>
      <c r="CD39" s="624" t="s">
        <v>294</v>
      </c>
      <c r="CE39" s="624" t="s">
        <v>295</v>
      </c>
      <c r="CF39" s="624" t="s">
        <v>296</v>
      </c>
      <c r="CG39" s="624" t="s">
        <v>297</v>
      </c>
    </row>
    <row r="40" spans="1:85">
      <c r="A40" s="596" t="s">
        <v>298</v>
      </c>
      <c r="B40" s="144">
        <v>0</v>
      </c>
      <c r="C40" s="371">
        <v>20050667</v>
      </c>
      <c r="D40" s="144">
        <v>0</v>
      </c>
      <c r="E40" s="371">
        <v>54590000</v>
      </c>
      <c r="F40" s="144">
        <v>1.0400000000000003E-2</v>
      </c>
      <c r="G40" s="144">
        <f>B40+D40+F40</f>
        <v>1.0400000000000003E-2</v>
      </c>
      <c r="H40" s="371">
        <v>54590000</v>
      </c>
      <c r="I40" s="144">
        <v>2.0000000000000004E-2</v>
      </c>
      <c r="J40" s="371">
        <v>54590000</v>
      </c>
      <c r="K40" s="144">
        <v>2.0000000000000004E-2</v>
      </c>
      <c r="L40" s="371">
        <v>54590000</v>
      </c>
      <c r="M40" s="144">
        <v>2.0000000000000004E-2</v>
      </c>
      <c r="N40" s="144"/>
      <c r="O40" s="371">
        <v>54590000</v>
      </c>
      <c r="P40" s="144">
        <v>2.0000000000000004E-2</v>
      </c>
      <c r="Q40" s="370">
        <v>54590000</v>
      </c>
      <c r="R40" s="144">
        <v>2.0000000000000004E-2</v>
      </c>
      <c r="S40" s="370">
        <v>54590000</v>
      </c>
      <c r="T40" s="144">
        <v>2.0000000000000004E-2</v>
      </c>
      <c r="U40" s="144"/>
      <c r="V40" s="370">
        <v>54590000</v>
      </c>
      <c r="W40" s="144">
        <v>2.0000000000000004E-2</v>
      </c>
      <c r="X40" s="370">
        <v>54590000</v>
      </c>
      <c r="Y40" s="144">
        <v>2.0000000000000004E-2</v>
      </c>
      <c r="Z40" s="370">
        <v>54590000</v>
      </c>
      <c r="AA40" s="144">
        <v>2.0000000000000004E-2</v>
      </c>
      <c r="AB40" s="144"/>
      <c r="AC40" s="370">
        <v>34539333</v>
      </c>
      <c r="AD40" s="387">
        <f t="shared" ref="AD40:AD60" si="19">B40+D40+F40+I40+K40+M40+P40+R40+T40+W40+Y40+AA40</f>
        <v>0.19040000000000007</v>
      </c>
      <c r="AE40" s="597">
        <f t="shared" ref="AE40:AE60" si="20">C40+E40+H40+J40+L40+O40+Q40+S40+V40+X40+Z40+AC40</f>
        <v>600490000</v>
      </c>
      <c r="AF40" s="598"/>
      <c r="AG40" s="147"/>
      <c r="AH40" s="147"/>
      <c r="AI40" s="147"/>
      <c r="AJ40" s="147"/>
      <c r="AK40" s="147"/>
      <c r="AL40" s="147"/>
      <c r="AM40" s="147"/>
      <c r="AN40" s="147"/>
      <c r="AO40" s="147"/>
      <c r="AP40" s="147"/>
      <c r="AQ40" s="148"/>
      <c r="AS40" s="596" t="s">
        <v>298</v>
      </c>
      <c r="AT40" s="388">
        <f>'Meta 3'!D35</f>
        <v>0</v>
      </c>
      <c r="AU40" s="371">
        <v>0</v>
      </c>
      <c r="AV40" s="388">
        <f>'Meta 3'!E35</f>
        <v>1.0480000000000003E-2</v>
      </c>
      <c r="AW40" s="371">
        <v>19535667</v>
      </c>
      <c r="AX40" s="388">
        <f>'Meta 3'!F35</f>
        <v>1.9440000000000006E-2</v>
      </c>
      <c r="AY40" s="637">
        <f>AT40+AV40+AX40</f>
        <v>2.9920000000000009E-2</v>
      </c>
      <c r="AZ40" s="371">
        <v>54590000</v>
      </c>
      <c r="BA40" s="635">
        <f>'Meta 3'!G35</f>
        <v>1.7280000000000007E-2</v>
      </c>
      <c r="BB40" s="371">
        <v>54590000</v>
      </c>
      <c r="BC40" s="388">
        <f>'Meta 3'!H35</f>
        <v>2.0000000000000004E-2</v>
      </c>
      <c r="BD40" s="371">
        <v>49440000</v>
      </c>
      <c r="BE40" s="388">
        <f>'Meta 3'!I35</f>
        <v>2.1600000000000008E-2</v>
      </c>
      <c r="BF40" s="636">
        <f>BA40+BC40+BE40</f>
        <v>5.8880000000000016E-2</v>
      </c>
      <c r="BG40" s="371">
        <v>49440000</v>
      </c>
      <c r="BH40" s="388">
        <f>'Meta 3'!J35</f>
        <v>1.9440000000000006E-2</v>
      </c>
      <c r="BI40" s="371">
        <v>49440000</v>
      </c>
      <c r="BJ40" s="388">
        <v>0</v>
      </c>
      <c r="BK40" s="371">
        <v>49440000</v>
      </c>
      <c r="BL40" s="388">
        <v>0</v>
      </c>
      <c r="BM40" s="145"/>
      <c r="BN40" s="388">
        <v>0</v>
      </c>
      <c r="BO40" s="145"/>
      <c r="BP40" s="388">
        <v>0</v>
      </c>
      <c r="BQ40" s="145"/>
      <c r="BR40" s="388">
        <v>0</v>
      </c>
      <c r="BS40" s="145"/>
      <c r="BT40" s="638">
        <f t="shared" ref="BT40:BT60" si="21">AT40+AV40+AX40+BA40+BC40+BE40+BH40+BJ40+BL40+BN40+BP40+BR40</f>
        <v>0.10824000000000003</v>
      </c>
      <c r="BU40" s="639">
        <f>AU40+AW40+AZ40+BB40+BD40+BG40+BI40+BK40</f>
        <v>326475667</v>
      </c>
      <c r="BV40" s="593"/>
      <c r="BW40" s="164"/>
      <c r="BX40" s="164"/>
      <c r="BY40" s="164"/>
      <c r="BZ40" s="147"/>
      <c r="CA40" s="147"/>
      <c r="CB40" s="147"/>
      <c r="CC40" s="147"/>
      <c r="CD40" s="147"/>
      <c r="CE40" s="147"/>
      <c r="CF40" s="147"/>
      <c r="CG40" s="148"/>
    </row>
    <row r="41" spans="1:85">
      <c r="A41" s="596" t="s">
        <v>299</v>
      </c>
      <c r="B41" s="144"/>
      <c r="D41" s="144"/>
      <c r="F41" s="144"/>
      <c r="G41" s="599"/>
      <c r="I41" s="144"/>
      <c r="K41" s="144"/>
      <c r="M41" s="144"/>
      <c r="N41" s="144"/>
      <c r="O41" s="144"/>
      <c r="P41" s="144"/>
      <c r="R41" s="145"/>
      <c r="T41" s="145"/>
      <c r="U41" s="145"/>
      <c r="V41" s="145"/>
      <c r="W41" s="145"/>
      <c r="Y41" s="145"/>
      <c r="AA41" s="145"/>
      <c r="AB41" s="145"/>
      <c r="AD41" s="165">
        <f t="shared" si="19"/>
        <v>0</v>
      </c>
      <c r="AE41" s="597">
        <f t="shared" si="20"/>
        <v>0</v>
      </c>
      <c r="AF41" s="598"/>
      <c r="AG41" s="147"/>
      <c r="AH41" s="147"/>
      <c r="AI41" s="147"/>
      <c r="AJ41" s="147"/>
      <c r="AK41" s="147"/>
      <c r="AL41" s="147"/>
      <c r="AM41" s="147"/>
      <c r="AN41" s="147"/>
      <c r="AO41" s="147"/>
      <c r="AP41" s="147"/>
      <c r="AQ41" s="147"/>
      <c r="AS41" s="596" t="s">
        <v>299</v>
      </c>
      <c r="AT41" s="144"/>
      <c r="AU41" s="144"/>
      <c r="AV41" s="144"/>
      <c r="AW41" s="144"/>
      <c r="AX41" s="144"/>
      <c r="AY41" s="144"/>
      <c r="AZ41" s="371"/>
      <c r="BA41" s="144"/>
      <c r="BB41" s="144"/>
      <c r="BC41" s="144"/>
      <c r="BD41" s="144"/>
      <c r="BE41" s="144"/>
      <c r="BF41" s="144"/>
      <c r="BG41" s="144"/>
      <c r="BH41" s="144"/>
      <c r="BI41" s="145"/>
      <c r="BJ41" s="145"/>
      <c r="BK41" s="145"/>
      <c r="BL41" s="145"/>
      <c r="BM41" s="145"/>
      <c r="BN41" s="145"/>
      <c r="BO41" s="145"/>
      <c r="BP41" s="145"/>
      <c r="BQ41" s="145"/>
      <c r="BR41" s="145"/>
      <c r="BS41" s="145"/>
      <c r="BT41" s="165">
        <f t="shared" si="21"/>
        <v>0</v>
      </c>
      <c r="BU41" s="597">
        <f t="shared" ref="BU41:BU60" si="22">AU41+AW41+AZ41+BB41+BD41+BG41+BI41+BK41+BM41+BO41+BQ41+BS41</f>
        <v>0</v>
      </c>
      <c r="BV41" s="593"/>
      <c r="BW41" s="164"/>
      <c r="BX41" s="164"/>
      <c r="BY41" s="164"/>
      <c r="BZ41" s="147"/>
      <c r="CA41" s="147"/>
      <c r="CB41" s="147"/>
      <c r="CC41" s="147"/>
      <c r="CD41" s="147"/>
      <c r="CE41" s="147"/>
      <c r="CF41" s="147"/>
      <c r="CG41" s="147"/>
    </row>
    <row r="42" spans="1:85">
      <c r="A42" s="596" t="s">
        <v>300</v>
      </c>
      <c r="B42" s="144"/>
      <c r="C42" s="144"/>
      <c r="D42" s="144"/>
      <c r="E42" s="144"/>
      <c r="F42" s="144"/>
      <c r="G42" s="144"/>
      <c r="H42" s="144"/>
      <c r="I42" s="144"/>
      <c r="J42" s="144"/>
      <c r="K42" s="144"/>
      <c r="L42" s="144"/>
      <c r="M42" s="144"/>
      <c r="N42" s="144"/>
      <c r="O42" s="144"/>
      <c r="P42" s="144"/>
      <c r="Q42" s="145"/>
      <c r="R42" s="145"/>
      <c r="S42" s="145"/>
      <c r="T42" s="145"/>
      <c r="U42" s="145"/>
      <c r="V42" s="145"/>
      <c r="W42" s="145"/>
      <c r="X42" s="145"/>
      <c r="Y42" s="145"/>
      <c r="Z42" s="145"/>
      <c r="AA42" s="145"/>
      <c r="AB42" s="145"/>
      <c r="AC42" s="145"/>
      <c r="AD42" s="165">
        <f t="shared" si="19"/>
        <v>0</v>
      </c>
      <c r="AE42" s="597">
        <f t="shared" si="20"/>
        <v>0</v>
      </c>
      <c r="AF42" s="598"/>
      <c r="AG42" s="147"/>
      <c r="AH42" s="147"/>
      <c r="AI42" s="147"/>
      <c r="AJ42" s="147"/>
      <c r="AK42" s="147"/>
      <c r="AL42" s="147"/>
      <c r="AM42" s="147"/>
      <c r="AN42" s="147"/>
      <c r="AO42" s="147"/>
      <c r="AP42" s="147"/>
      <c r="AQ42" s="147"/>
      <c r="AS42" s="596" t="s">
        <v>300</v>
      </c>
      <c r="AT42" s="144"/>
      <c r="AU42" s="144"/>
      <c r="AV42" s="144"/>
      <c r="AW42" s="144"/>
      <c r="AX42" s="144"/>
      <c r="AY42" s="144"/>
      <c r="AZ42" s="144"/>
      <c r="BA42" s="144"/>
      <c r="BB42" s="144"/>
      <c r="BC42" s="144"/>
      <c r="BD42" s="144"/>
      <c r="BE42" s="144"/>
      <c r="BF42" s="144"/>
      <c r="BG42" s="144"/>
      <c r="BH42" s="144"/>
      <c r="BI42" s="145"/>
      <c r="BJ42" s="145"/>
      <c r="BK42" s="145"/>
      <c r="BL42" s="145"/>
      <c r="BM42" s="145"/>
      <c r="BN42" s="145"/>
      <c r="BO42" s="145"/>
      <c r="BP42" s="145"/>
      <c r="BQ42" s="145"/>
      <c r="BR42" s="145"/>
      <c r="BS42" s="145"/>
      <c r="BT42" s="165">
        <f t="shared" si="21"/>
        <v>0</v>
      </c>
      <c r="BU42" s="597">
        <f t="shared" si="22"/>
        <v>0</v>
      </c>
      <c r="BV42" s="593"/>
      <c r="BW42" s="164"/>
      <c r="BX42" s="164"/>
      <c r="BY42" s="164"/>
      <c r="BZ42" s="147"/>
      <c r="CA42" s="147"/>
      <c r="CB42" s="147"/>
      <c r="CC42" s="147"/>
      <c r="CD42" s="147"/>
      <c r="CE42" s="147"/>
      <c r="CF42" s="147"/>
      <c r="CG42" s="147"/>
    </row>
    <row r="43" spans="1:85">
      <c r="A43" s="596" t="s">
        <v>301</v>
      </c>
      <c r="B43" s="144"/>
      <c r="C43" s="144"/>
      <c r="D43" s="144"/>
      <c r="E43" s="144"/>
      <c r="F43" s="144"/>
      <c r="G43" s="144"/>
      <c r="H43" s="144"/>
      <c r="I43" s="144"/>
      <c r="J43" s="144"/>
      <c r="K43" s="144"/>
      <c r="L43" s="144"/>
      <c r="M43" s="144"/>
      <c r="N43" s="144"/>
      <c r="O43" s="144"/>
      <c r="P43" s="144"/>
      <c r="Q43" s="145"/>
      <c r="R43" s="145"/>
      <c r="S43" s="145"/>
      <c r="T43" s="145"/>
      <c r="U43" s="145"/>
      <c r="V43" s="145"/>
      <c r="W43" s="145"/>
      <c r="X43" s="145"/>
      <c r="Y43" s="145"/>
      <c r="Z43" s="145"/>
      <c r="AA43" s="145"/>
      <c r="AB43" s="145"/>
      <c r="AC43" s="145"/>
      <c r="AD43" s="165">
        <f t="shared" si="19"/>
        <v>0</v>
      </c>
      <c r="AE43" s="597">
        <f t="shared" si="20"/>
        <v>0</v>
      </c>
      <c r="AF43" s="598"/>
      <c r="AG43" s="147"/>
      <c r="AH43" s="147"/>
      <c r="AI43" s="147"/>
      <c r="AJ43" s="147"/>
      <c r="AK43" s="147"/>
      <c r="AL43" s="147"/>
      <c r="AM43" s="147"/>
      <c r="AN43" s="147"/>
      <c r="AO43" s="147"/>
      <c r="AP43" s="147"/>
      <c r="AQ43" s="147"/>
      <c r="AS43" s="596" t="s">
        <v>301</v>
      </c>
      <c r="AT43" s="144"/>
      <c r="AU43" s="144"/>
      <c r="AV43" s="144"/>
      <c r="AW43" s="144"/>
      <c r="AX43" s="144"/>
      <c r="AY43" s="144"/>
      <c r="AZ43" s="144"/>
      <c r="BA43" s="144"/>
      <c r="BB43" s="144"/>
      <c r="BC43" s="144"/>
      <c r="BD43" s="144"/>
      <c r="BE43" s="144"/>
      <c r="BF43" s="144"/>
      <c r="BG43" s="144"/>
      <c r="BH43" s="144"/>
      <c r="BI43" s="145"/>
      <c r="BJ43" s="145"/>
      <c r="BK43" s="145"/>
      <c r="BL43" s="145"/>
      <c r="BM43" s="145"/>
      <c r="BN43" s="145"/>
      <c r="BO43" s="145"/>
      <c r="BP43" s="145"/>
      <c r="BQ43" s="145"/>
      <c r="BR43" s="145"/>
      <c r="BS43" s="145"/>
      <c r="BT43" s="165">
        <f t="shared" si="21"/>
        <v>0</v>
      </c>
      <c r="BU43" s="597">
        <f t="shared" si="22"/>
        <v>0</v>
      </c>
      <c r="BV43" s="593"/>
      <c r="BW43" s="164"/>
      <c r="BX43" s="164"/>
      <c r="BY43" s="164"/>
      <c r="BZ43" s="147"/>
      <c r="CA43" s="147"/>
      <c r="CB43" s="147"/>
      <c r="CC43" s="147"/>
      <c r="CD43" s="147"/>
      <c r="CE43" s="147"/>
      <c r="CF43" s="147"/>
      <c r="CG43" s="147"/>
    </row>
    <row r="44" spans="1:85">
      <c r="A44" s="596" t="s">
        <v>302</v>
      </c>
      <c r="B44" s="144"/>
      <c r="C44" s="144"/>
      <c r="D44" s="144"/>
      <c r="E44" s="144"/>
      <c r="F44" s="144"/>
      <c r="G44" s="144"/>
      <c r="H44" s="144"/>
      <c r="I44" s="144"/>
      <c r="J44" s="144"/>
      <c r="K44" s="144"/>
      <c r="L44" s="144"/>
      <c r="M44" s="144"/>
      <c r="N44" s="144"/>
      <c r="O44" s="144"/>
      <c r="P44" s="144"/>
      <c r="Q44" s="145"/>
      <c r="R44" s="145"/>
      <c r="S44" s="145"/>
      <c r="T44" s="145"/>
      <c r="U44" s="145"/>
      <c r="V44" s="145"/>
      <c r="W44" s="145"/>
      <c r="X44" s="145"/>
      <c r="Y44" s="145"/>
      <c r="Z44" s="145"/>
      <c r="AA44" s="145"/>
      <c r="AB44" s="145"/>
      <c r="AC44" s="145"/>
      <c r="AD44" s="165">
        <f t="shared" si="19"/>
        <v>0</v>
      </c>
      <c r="AE44" s="597">
        <f t="shared" si="20"/>
        <v>0</v>
      </c>
      <c r="AF44" s="598"/>
      <c r="AG44" s="147"/>
      <c r="AH44" s="147"/>
      <c r="AI44" s="147"/>
      <c r="AJ44" s="147"/>
      <c r="AK44" s="147"/>
      <c r="AL44" s="147"/>
      <c r="AM44" s="147"/>
      <c r="AN44" s="147"/>
      <c r="AO44" s="147"/>
      <c r="AP44" s="147"/>
      <c r="AQ44" s="147"/>
      <c r="AS44" s="596" t="s">
        <v>302</v>
      </c>
      <c r="AT44" s="144"/>
      <c r="AU44" s="144"/>
      <c r="AV44" s="144"/>
      <c r="AW44" s="144"/>
      <c r="AX44" s="144"/>
      <c r="AY44" s="144"/>
      <c r="AZ44" s="144"/>
      <c r="BA44" s="144"/>
      <c r="BB44" s="144"/>
      <c r="BC44" s="144"/>
      <c r="BD44" s="144"/>
      <c r="BE44" s="144"/>
      <c r="BF44" s="144"/>
      <c r="BG44" s="144"/>
      <c r="BH44" s="144"/>
      <c r="BI44" s="145"/>
      <c r="BJ44" s="145"/>
      <c r="BK44" s="145"/>
      <c r="BL44" s="145"/>
      <c r="BM44" s="145"/>
      <c r="BN44" s="145"/>
      <c r="BO44" s="145"/>
      <c r="BP44" s="145"/>
      <c r="BQ44" s="145"/>
      <c r="BR44" s="145"/>
      <c r="BS44" s="145"/>
      <c r="BT44" s="165">
        <f t="shared" si="21"/>
        <v>0</v>
      </c>
      <c r="BU44" s="597">
        <f t="shared" si="22"/>
        <v>0</v>
      </c>
      <c r="BV44" s="593"/>
      <c r="BW44" s="164"/>
      <c r="BX44" s="164"/>
      <c r="BY44" s="164"/>
      <c r="BZ44" s="147"/>
      <c r="CA44" s="147"/>
      <c r="CB44" s="147"/>
      <c r="CC44" s="147"/>
      <c r="CD44" s="147"/>
      <c r="CE44" s="147"/>
      <c r="CF44" s="147"/>
      <c r="CG44" s="147"/>
    </row>
    <row r="45" spans="1:85">
      <c r="A45" s="596" t="s">
        <v>303</v>
      </c>
      <c r="B45" s="144"/>
      <c r="C45" s="144"/>
      <c r="D45" s="144"/>
      <c r="E45" s="144"/>
      <c r="F45" s="144"/>
      <c r="G45" s="144"/>
      <c r="H45" s="144"/>
      <c r="I45" s="144"/>
      <c r="J45" s="144"/>
      <c r="K45" s="144"/>
      <c r="L45" s="144"/>
      <c r="M45" s="144"/>
      <c r="N45" s="144"/>
      <c r="O45" s="144"/>
      <c r="P45" s="144"/>
      <c r="Q45" s="145"/>
      <c r="R45" s="145"/>
      <c r="S45" s="145"/>
      <c r="T45" s="145"/>
      <c r="U45" s="145"/>
      <c r="V45" s="145"/>
      <c r="W45" s="145"/>
      <c r="X45" s="145"/>
      <c r="Y45" s="145"/>
      <c r="Z45" s="145"/>
      <c r="AA45" s="145"/>
      <c r="AB45" s="145"/>
      <c r="AC45" s="145"/>
      <c r="AD45" s="165">
        <f t="shared" si="19"/>
        <v>0</v>
      </c>
      <c r="AE45" s="597">
        <f t="shared" si="20"/>
        <v>0</v>
      </c>
      <c r="AF45" s="598"/>
      <c r="AG45" s="147"/>
      <c r="AH45" s="147"/>
      <c r="AI45" s="147"/>
      <c r="AJ45" s="147"/>
      <c r="AK45" s="147"/>
      <c r="AL45" s="147"/>
      <c r="AM45" s="147"/>
      <c r="AN45" s="147"/>
      <c r="AO45" s="147"/>
      <c r="AP45" s="147"/>
      <c r="AQ45" s="147"/>
      <c r="AS45" s="596" t="s">
        <v>303</v>
      </c>
      <c r="AT45" s="144"/>
      <c r="AU45" s="144"/>
      <c r="AV45" s="144"/>
      <c r="AW45" s="144"/>
      <c r="AX45" s="144"/>
      <c r="AY45" s="144"/>
      <c r="AZ45" s="144"/>
      <c r="BA45" s="144"/>
      <c r="BB45" s="144"/>
      <c r="BC45" s="144"/>
      <c r="BD45" s="144"/>
      <c r="BE45" s="144"/>
      <c r="BF45" s="144"/>
      <c r="BG45" s="144"/>
      <c r="BH45" s="144"/>
      <c r="BI45" s="145"/>
      <c r="BJ45" s="145"/>
      <c r="BK45" s="145"/>
      <c r="BL45" s="145"/>
      <c r="BM45" s="145"/>
      <c r="BN45" s="145"/>
      <c r="BO45" s="145"/>
      <c r="BP45" s="145"/>
      <c r="BQ45" s="145"/>
      <c r="BR45" s="145"/>
      <c r="BS45" s="145"/>
      <c r="BT45" s="165">
        <f t="shared" si="21"/>
        <v>0</v>
      </c>
      <c r="BU45" s="597">
        <f t="shared" si="22"/>
        <v>0</v>
      </c>
      <c r="BV45" s="593"/>
      <c r="BW45" s="164"/>
      <c r="BX45" s="164"/>
      <c r="BY45" s="164"/>
      <c r="BZ45" s="147"/>
      <c r="CA45" s="147"/>
      <c r="CB45" s="147"/>
      <c r="CC45" s="147"/>
      <c r="CD45" s="147"/>
      <c r="CE45" s="147"/>
      <c r="CF45" s="147"/>
      <c r="CG45" s="147"/>
    </row>
    <row r="46" spans="1:85">
      <c r="A46" s="596" t="s">
        <v>304</v>
      </c>
      <c r="B46" s="144"/>
      <c r="C46" s="144"/>
      <c r="D46" s="144"/>
      <c r="E46" s="144"/>
      <c r="F46" s="144"/>
      <c r="G46" s="144"/>
      <c r="H46" s="144"/>
      <c r="I46" s="144"/>
      <c r="J46" s="144"/>
      <c r="K46" s="144"/>
      <c r="L46" s="144"/>
      <c r="M46" s="144"/>
      <c r="N46" s="144"/>
      <c r="O46" s="144"/>
      <c r="P46" s="144"/>
      <c r="Q46" s="145"/>
      <c r="R46" s="145"/>
      <c r="S46" s="145"/>
      <c r="T46" s="145"/>
      <c r="U46" s="145"/>
      <c r="V46" s="145"/>
      <c r="W46" s="145"/>
      <c r="X46" s="145"/>
      <c r="Y46" s="145"/>
      <c r="Z46" s="145"/>
      <c r="AA46" s="145"/>
      <c r="AB46" s="145"/>
      <c r="AC46" s="145"/>
      <c r="AD46" s="165">
        <f t="shared" si="19"/>
        <v>0</v>
      </c>
      <c r="AE46" s="597">
        <f t="shared" si="20"/>
        <v>0</v>
      </c>
      <c r="AF46" s="598"/>
      <c r="AG46" s="147"/>
      <c r="AH46" s="147"/>
      <c r="AI46" s="147"/>
      <c r="AJ46" s="147"/>
      <c r="AK46" s="147"/>
      <c r="AL46" s="147"/>
      <c r="AM46" s="147"/>
      <c r="AN46" s="147"/>
      <c r="AO46" s="147"/>
      <c r="AP46" s="147"/>
      <c r="AQ46" s="147"/>
      <c r="AS46" s="596" t="s">
        <v>304</v>
      </c>
      <c r="AT46" s="144"/>
      <c r="AU46" s="144"/>
      <c r="AV46" s="144"/>
      <c r="AW46" s="144"/>
      <c r="AX46" s="144"/>
      <c r="AY46" s="144"/>
      <c r="AZ46" s="144"/>
      <c r="BA46" s="144"/>
      <c r="BB46" s="144"/>
      <c r="BC46" s="144"/>
      <c r="BD46" s="144"/>
      <c r="BE46" s="144"/>
      <c r="BF46" s="144"/>
      <c r="BG46" s="144"/>
      <c r="BH46" s="144"/>
      <c r="BI46" s="145"/>
      <c r="BJ46" s="145"/>
      <c r="BK46" s="145"/>
      <c r="BL46" s="145"/>
      <c r="BM46" s="145"/>
      <c r="BN46" s="145"/>
      <c r="BO46" s="145"/>
      <c r="BP46" s="145"/>
      <c r="BQ46" s="145"/>
      <c r="BR46" s="145"/>
      <c r="BS46" s="145"/>
      <c r="BT46" s="165">
        <f t="shared" si="21"/>
        <v>0</v>
      </c>
      <c r="BU46" s="597">
        <f t="shared" si="22"/>
        <v>0</v>
      </c>
      <c r="BV46" s="593"/>
      <c r="BW46" s="164"/>
      <c r="BX46" s="164"/>
      <c r="BY46" s="164"/>
      <c r="BZ46" s="147"/>
      <c r="CA46" s="147"/>
      <c r="CB46" s="147"/>
      <c r="CC46" s="147"/>
      <c r="CD46" s="147"/>
      <c r="CE46" s="147"/>
      <c r="CF46" s="147"/>
      <c r="CG46" s="147"/>
    </row>
    <row r="47" spans="1:85">
      <c r="A47" s="596" t="s">
        <v>305</v>
      </c>
      <c r="B47" s="144"/>
      <c r="C47" s="144"/>
      <c r="D47" s="144"/>
      <c r="E47" s="144"/>
      <c r="F47" s="144"/>
      <c r="G47" s="144"/>
      <c r="H47" s="144"/>
      <c r="I47" s="144"/>
      <c r="J47" s="144"/>
      <c r="K47" s="144"/>
      <c r="L47" s="144"/>
      <c r="M47" s="144"/>
      <c r="N47" s="144"/>
      <c r="O47" s="144"/>
      <c r="P47" s="144"/>
      <c r="Q47" s="145"/>
      <c r="R47" s="145"/>
      <c r="S47" s="145"/>
      <c r="T47" s="145"/>
      <c r="U47" s="145"/>
      <c r="V47" s="145"/>
      <c r="W47" s="145"/>
      <c r="X47" s="145"/>
      <c r="Y47" s="145"/>
      <c r="Z47" s="145"/>
      <c r="AA47" s="145"/>
      <c r="AB47" s="145"/>
      <c r="AC47" s="145"/>
      <c r="AD47" s="165">
        <f t="shared" si="19"/>
        <v>0</v>
      </c>
      <c r="AE47" s="597">
        <f t="shared" si="20"/>
        <v>0</v>
      </c>
      <c r="AF47" s="598"/>
      <c r="AG47" s="147"/>
      <c r="AH47" s="147"/>
      <c r="AI47" s="147"/>
      <c r="AJ47" s="147"/>
      <c r="AK47" s="147"/>
      <c r="AL47" s="147"/>
      <c r="AM47" s="147"/>
      <c r="AN47" s="147"/>
      <c r="AO47" s="147"/>
      <c r="AP47" s="147"/>
      <c r="AQ47" s="147"/>
      <c r="AS47" s="596" t="s">
        <v>305</v>
      </c>
      <c r="AT47" s="144"/>
      <c r="AU47" s="144"/>
      <c r="AV47" s="144"/>
      <c r="AW47" s="144"/>
      <c r="AX47" s="144"/>
      <c r="AY47" s="144"/>
      <c r="AZ47" s="144"/>
      <c r="BA47" s="144"/>
      <c r="BB47" s="144"/>
      <c r="BC47" s="144"/>
      <c r="BD47" s="144"/>
      <c r="BE47" s="144"/>
      <c r="BF47" s="144"/>
      <c r="BG47" s="144"/>
      <c r="BH47" s="144"/>
      <c r="BI47" s="145"/>
      <c r="BJ47" s="145"/>
      <c r="BK47" s="145"/>
      <c r="BL47" s="145"/>
      <c r="BM47" s="145"/>
      <c r="BN47" s="145"/>
      <c r="BO47" s="145"/>
      <c r="BP47" s="145"/>
      <c r="BQ47" s="145"/>
      <c r="BR47" s="145"/>
      <c r="BS47" s="145"/>
      <c r="BT47" s="165">
        <f t="shared" si="21"/>
        <v>0</v>
      </c>
      <c r="BU47" s="597">
        <f t="shared" si="22"/>
        <v>0</v>
      </c>
      <c r="BV47" s="593"/>
      <c r="BW47" s="164"/>
      <c r="BX47" s="164"/>
      <c r="BY47" s="164"/>
      <c r="BZ47" s="147"/>
      <c r="CA47" s="147"/>
      <c r="CB47" s="147"/>
      <c r="CC47" s="147"/>
      <c r="CD47" s="147"/>
      <c r="CE47" s="147"/>
      <c r="CF47" s="147"/>
      <c r="CG47" s="147"/>
    </row>
    <row r="48" spans="1:85">
      <c r="A48" s="596" t="s">
        <v>306</v>
      </c>
      <c r="B48" s="144"/>
      <c r="C48" s="144"/>
      <c r="D48" s="144"/>
      <c r="E48" s="144"/>
      <c r="F48" s="144"/>
      <c r="G48" s="144"/>
      <c r="H48" s="144"/>
      <c r="I48" s="144"/>
      <c r="J48" s="144"/>
      <c r="K48" s="144"/>
      <c r="L48" s="144"/>
      <c r="M48" s="144"/>
      <c r="N48" s="144"/>
      <c r="O48" s="144"/>
      <c r="P48" s="144"/>
      <c r="Q48" s="145"/>
      <c r="R48" s="145"/>
      <c r="S48" s="145"/>
      <c r="T48" s="145"/>
      <c r="U48" s="145"/>
      <c r="V48" s="145"/>
      <c r="W48" s="145"/>
      <c r="X48" s="145"/>
      <c r="Y48" s="145"/>
      <c r="Z48" s="145"/>
      <c r="AA48" s="145"/>
      <c r="AB48" s="145"/>
      <c r="AC48" s="145"/>
      <c r="AD48" s="165">
        <f t="shared" si="19"/>
        <v>0</v>
      </c>
      <c r="AE48" s="597">
        <f t="shared" si="20"/>
        <v>0</v>
      </c>
      <c r="AF48" s="598"/>
      <c r="AG48" s="147"/>
      <c r="AH48" s="147"/>
      <c r="AI48" s="147"/>
      <c r="AJ48" s="147"/>
      <c r="AK48" s="147"/>
      <c r="AL48" s="147"/>
      <c r="AM48" s="147"/>
      <c r="AN48" s="147"/>
      <c r="AO48" s="147"/>
      <c r="AP48" s="147"/>
      <c r="AQ48" s="147"/>
      <c r="AS48" s="596" t="s">
        <v>306</v>
      </c>
      <c r="AT48" s="144"/>
      <c r="AU48" s="144"/>
      <c r="AV48" s="144"/>
      <c r="AW48" s="144"/>
      <c r="AX48" s="144"/>
      <c r="AY48" s="144"/>
      <c r="AZ48" s="144"/>
      <c r="BA48" s="144"/>
      <c r="BB48" s="144"/>
      <c r="BC48" s="144"/>
      <c r="BD48" s="144"/>
      <c r="BE48" s="144"/>
      <c r="BF48" s="144"/>
      <c r="BG48" s="144"/>
      <c r="BH48" s="144"/>
      <c r="BI48" s="145"/>
      <c r="BJ48" s="145"/>
      <c r="BK48" s="145"/>
      <c r="BL48" s="145"/>
      <c r="BM48" s="145"/>
      <c r="BN48" s="145"/>
      <c r="BO48" s="145"/>
      <c r="BP48" s="145"/>
      <c r="BQ48" s="145"/>
      <c r="BR48" s="145"/>
      <c r="BS48" s="145"/>
      <c r="BT48" s="165">
        <f t="shared" si="21"/>
        <v>0</v>
      </c>
      <c r="BU48" s="597">
        <f t="shared" si="22"/>
        <v>0</v>
      </c>
      <c r="BV48" s="593"/>
      <c r="BW48" s="164"/>
      <c r="BX48" s="164"/>
      <c r="BY48" s="164"/>
      <c r="BZ48" s="147"/>
      <c r="CA48" s="147"/>
      <c r="CB48" s="147"/>
      <c r="CC48" s="147"/>
      <c r="CD48" s="147"/>
      <c r="CE48" s="147"/>
      <c r="CF48" s="147"/>
      <c r="CG48" s="147"/>
    </row>
    <row r="49" spans="1:85">
      <c r="A49" s="596" t="s">
        <v>307</v>
      </c>
      <c r="B49" s="144"/>
      <c r="C49" s="144"/>
      <c r="D49" s="144"/>
      <c r="E49" s="144"/>
      <c r="F49" s="144"/>
      <c r="G49" s="144"/>
      <c r="H49" s="144"/>
      <c r="I49" s="144"/>
      <c r="J49" s="144"/>
      <c r="K49" s="144"/>
      <c r="L49" s="144"/>
      <c r="M49" s="144"/>
      <c r="N49" s="144"/>
      <c r="O49" s="144"/>
      <c r="P49" s="144"/>
      <c r="Q49" s="145"/>
      <c r="R49" s="145"/>
      <c r="S49" s="145"/>
      <c r="T49" s="145"/>
      <c r="U49" s="145"/>
      <c r="V49" s="145"/>
      <c r="W49" s="145"/>
      <c r="X49" s="145"/>
      <c r="Y49" s="145"/>
      <c r="Z49" s="145"/>
      <c r="AA49" s="145"/>
      <c r="AB49" s="145"/>
      <c r="AC49" s="145"/>
      <c r="AD49" s="165">
        <f t="shared" si="19"/>
        <v>0</v>
      </c>
      <c r="AE49" s="597">
        <f t="shared" si="20"/>
        <v>0</v>
      </c>
      <c r="AF49" s="598"/>
      <c r="AG49" s="147"/>
      <c r="AH49" s="147"/>
      <c r="AI49" s="147"/>
      <c r="AJ49" s="147"/>
      <c r="AK49" s="147"/>
      <c r="AL49" s="147"/>
      <c r="AM49" s="147"/>
      <c r="AN49" s="147"/>
      <c r="AO49" s="147"/>
      <c r="AP49" s="147"/>
      <c r="AQ49" s="147"/>
      <c r="AS49" s="596" t="s">
        <v>307</v>
      </c>
      <c r="AT49" s="144"/>
      <c r="AU49" s="144"/>
      <c r="AV49" s="144"/>
      <c r="AW49" s="144"/>
      <c r="AX49" s="144"/>
      <c r="AY49" s="144"/>
      <c r="AZ49" s="144"/>
      <c r="BA49" s="144"/>
      <c r="BB49" s="144"/>
      <c r="BC49" s="144"/>
      <c r="BD49" s="144"/>
      <c r="BE49" s="144"/>
      <c r="BF49" s="144"/>
      <c r="BG49" s="144"/>
      <c r="BH49" s="144"/>
      <c r="BI49" s="145"/>
      <c r="BJ49" s="145"/>
      <c r="BK49" s="145"/>
      <c r="BL49" s="145"/>
      <c r="BM49" s="145"/>
      <c r="BN49" s="145"/>
      <c r="BO49" s="145"/>
      <c r="BP49" s="145"/>
      <c r="BQ49" s="145"/>
      <c r="BR49" s="145"/>
      <c r="BS49" s="145"/>
      <c r="BT49" s="165">
        <f t="shared" si="21"/>
        <v>0</v>
      </c>
      <c r="BU49" s="597">
        <f t="shared" si="22"/>
        <v>0</v>
      </c>
      <c r="BV49" s="593"/>
      <c r="BW49" s="164"/>
      <c r="BX49" s="164"/>
      <c r="BY49" s="164"/>
      <c r="BZ49" s="147"/>
      <c r="CA49" s="147"/>
      <c r="CB49" s="147"/>
      <c r="CC49" s="147"/>
      <c r="CD49" s="147"/>
      <c r="CE49" s="147"/>
      <c r="CF49" s="147"/>
      <c r="CG49" s="147"/>
    </row>
    <row r="50" spans="1:85">
      <c r="A50" s="596" t="s">
        <v>308</v>
      </c>
      <c r="B50" s="144"/>
      <c r="C50" s="144"/>
      <c r="D50" s="144"/>
      <c r="E50" s="144"/>
      <c r="F50" s="144"/>
      <c r="G50" s="144"/>
      <c r="H50" s="144"/>
      <c r="I50" s="144"/>
      <c r="J50" s="144"/>
      <c r="K50" s="144"/>
      <c r="L50" s="144"/>
      <c r="M50" s="144"/>
      <c r="N50" s="144"/>
      <c r="O50" s="144"/>
      <c r="P50" s="144"/>
      <c r="Q50" s="145"/>
      <c r="R50" s="145"/>
      <c r="S50" s="145"/>
      <c r="T50" s="145"/>
      <c r="U50" s="145"/>
      <c r="V50" s="145"/>
      <c r="W50" s="145"/>
      <c r="X50" s="145"/>
      <c r="Y50" s="145"/>
      <c r="Z50" s="145"/>
      <c r="AA50" s="145"/>
      <c r="AB50" s="145"/>
      <c r="AC50" s="145"/>
      <c r="AD50" s="165">
        <f t="shared" si="19"/>
        <v>0</v>
      </c>
      <c r="AE50" s="597">
        <f t="shared" si="20"/>
        <v>0</v>
      </c>
      <c r="AF50" s="598"/>
      <c r="AG50" s="147"/>
      <c r="AH50" s="147"/>
      <c r="AI50" s="147"/>
      <c r="AJ50" s="147"/>
      <c r="AK50" s="147"/>
      <c r="AL50" s="147"/>
      <c r="AM50" s="147"/>
      <c r="AN50" s="147"/>
      <c r="AO50" s="147"/>
      <c r="AP50" s="147"/>
      <c r="AQ50" s="147"/>
      <c r="AS50" s="596" t="s">
        <v>308</v>
      </c>
      <c r="AT50" s="144"/>
      <c r="AU50" s="144"/>
      <c r="AV50" s="144"/>
      <c r="AW50" s="144"/>
      <c r="AX50" s="144"/>
      <c r="AY50" s="144"/>
      <c r="AZ50" s="144"/>
      <c r="BA50" s="144"/>
      <c r="BB50" s="144"/>
      <c r="BC50" s="144"/>
      <c r="BD50" s="144"/>
      <c r="BE50" s="144"/>
      <c r="BF50" s="144"/>
      <c r="BG50" s="144"/>
      <c r="BH50" s="144"/>
      <c r="BI50" s="145"/>
      <c r="BJ50" s="145"/>
      <c r="BK50" s="145"/>
      <c r="BL50" s="145"/>
      <c r="BM50" s="145"/>
      <c r="BN50" s="145"/>
      <c r="BO50" s="145"/>
      <c r="BP50" s="145"/>
      <c r="BQ50" s="145"/>
      <c r="BR50" s="145"/>
      <c r="BS50" s="145"/>
      <c r="BT50" s="165">
        <f t="shared" si="21"/>
        <v>0</v>
      </c>
      <c r="BU50" s="597">
        <f t="shared" si="22"/>
        <v>0</v>
      </c>
      <c r="BV50" s="593"/>
      <c r="BW50" s="164"/>
      <c r="BX50" s="164"/>
      <c r="BY50" s="164"/>
      <c r="BZ50" s="147"/>
      <c r="CA50" s="147"/>
      <c r="CB50" s="147"/>
      <c r="CC50" s="147"/>
      <c r="CD50" s="147"/>
      <c r="CE50" s="147"/>
      <c r="CF50" s="147"/>
      <c r="CG50" s="147"/>
    </row>
    <row r="51" spans="1:85">
      <c r="A51" s="596" t="s">
        <v>309</v>
      </c>
      <c r="B51" s="144"/>
      <c r="C51" s="144"/>
      <c r="D51" s="144"/>
      <c r="E51" s="144"/>
      <c r="F51" s="144"/>
      <c r="G51" s="144"/>
      <c r="H51" s="144"/>
      <c r="I51" s="144"/>
      <c r="J51" s="144"/>
      <c r="K51" s="144"/>
      <c r="L51" s="144"/>
      <c r="M51" s="144"/>
      <c r="N51" s="144"/>
      <c r="O51" s="144"/>
      <c r="P51" s="144"/>
      <c r="Q51" s="145"/>
      <c r="R51" s="145"/>
      <c r="S51" s="145"/>
      <c r="T51" s="145"/>
      <c r="U51" s="145"/>
      <c r="V51" s="145"/>
      <c r="W51" s="145"/>
      <c r="X51" s="145"/>
      <c r="Y51" s="145"/>
      <c r="Z51" s="145"/>
      <c r="AA51" s="145"/>
      <c r="AB51" s="145"/>
      <c r="AC51" s="145"/>
      <c r="AD51" s="165">
        <f t="shared" si="19"/>
        <v>0</v>
      </c>
      <c r="AE51" s="597">
        <f t="shared" si="20"/>
        <v>0</v>
      </c>
      <c r="AF51" s="598"/>
      <c r="AG51" s="147"/>
      <c r="AH51" s="147"/>
      <c r="AI51" s="147"/>
      <c r="AJ51" s="147"/>
      <c r="AK51" s="147"/>
      <c r="AL51" s="147"/>
      <c r="AM51" s="147"/>
      <c r="AN51" s="147"/>
      <c r="AO51" s="147"/>
      <c r="AP51" s="147"/>
      <c r="AQ51" s="147"/>
      <c r="AS51" s="596" t="s">
        <v>309</v>
      </c>
      <c r="AT51" s="144"/>
      <c r="AU51" s="144"/>
      <c r="AV51" s="144"/>
      <c r="AW51" s="144"/>
      <c r="AX51" s="144"/>
      <c r="AY51" s="144"/>
      <c r="AZ51" s="144"/>
      <c r="BA51" s="144"/>
      <c r="BB51" s="144"/>
      <c r="BC51" s="144"/>
      <c r="BD51" s="144"/>
      <c r="BE51" s="144"/>
      <c r="BF51" s="144"/>
      <c r="BG51" s="144"/>
      <c r="BH51" s="144"/>
      <c r="BI51" s="145"/>
      <c r="BJ51" s="145"/>
      <c r="BK51" s="145"/>
      <c r="BL51" s="145"/>
      <c r="BM51" s="145"/>
      <c r="BN51" s="145"/>
      <c r="BO51" s="145"/>
      <c r="BP51" s="145"/>
      <c r="BQ51" s="145"/>
      <c r="BR51" s="145"/>
      <c r="BS51" s="145"/>
      <c r="BT51" s="165">
        <f t="shared" si="21"/>
        <v>0</v>
      </c>
      <c r="BU51" s="597">
        <f t="shared" si="22"/>
        <v>0</v>
      </c>
      <c r="BV51" s="593"/>
      <c r="BW51" s="164"/>
      <c r="BX51" s="164"/>
      <c r="BY51" s="164"/>
      <c r="BZ51" s="147"/>
      <c r="CA51" s="147"/>
      <c r="CB51" s="147"/>
      <c r="CC51" s="147"/>
      <c r="CD51" s="147"/>
      <c r="CE51" s="147"/>
      <c r="CF51" s="147"/>
      <c r="CG51" s="147"/>
    </row>
    <row r="52" spans="1:85">
      <c r="A52" s="596" t="s">
        <v>310</v>
      </c>
      <c r="B52" s="144"/>
      <c r="C52" s="144"/>
      <c r="D52" s="144"/>
      <c r="E52" s="144"/>
      <c r="F52" s="144"/>
      <c r="G52" s="144"/>
      <c r="H52" s="144"/>
      <c r="I52" s="144"/>
      <c r="J52" s="144"/>
      <c r="K52" s="144"/>
      <c r="L52" s="144"/>
      <c r="M52" s="144"/>
      <c r="N52" s="144"/>
      <c r="O52" s="144"/>
      <c r="P52" s="144"/>
      <c r="Q52" s="145"/>
      <c r="R52" s="145"/>
      <c r="S52" s="145"/>
      <c r="T52" s="145"/>
      <c r="U52" s="145"/>
      <c r="V52" s="145"/>
      <c r="W52" s="145"/>
      <c r="X52" s="145"/>
      <c r="Y52" s="145"/>
      <c r="Z52" s="145"/>
      <c r="AA52" s="145"/>
      <c r="AB52" s="145"/>
      <c r="AC52" s="145"/>
      <c r="AD52" s="165">
        <f t="shared" si="19"/>
        <v>0</v>
      </c>
      <c r="AE52" s="597">
        <f t="shared" si="20"/>
        <v>0</v>
      </c>
      <c r="AF52" s="598"/>
      <c r="AG52" s="147"/>
      <c r="AH52" s="147"/>
      <c r="AI52" s="147"/>
      <c r="AJ52" s="147"/>
      <c r="AK52" s="147"/>
      <c r="AL52" s="147"/>
      <c r="AM52" s="147"/>
      <c r="AN52" s="147"/>
      <c r="AO52" s="147"/>
      <c r="AP52" s="147"/>
      <c r="AQ52" s="147"/>
      <c r="AS52" s="596" t="s">
        <v>310</v>
      </c>
      <c r="AT52" s="144"/>
      <c r="AU52" s="144"/>
      <c r="AV52" s="144"/>
      <c r="AW52" s="144"/>
      <c r="AX52" s="144"/>
      <c r="AY52" s="144"/>
      <c r="AZ52" s="144"/>
      <c r="BA52" s="144"/>
      <c r="BB52" s="144"/>
      <c r="BC52" s="144"/>
      <c r="BD52" s="144"/>
      <c r="BE52" s="144"/>
      <c r="BF52" s="144"/>
      <c r="BG52" s="144"/>
      <c r="BH52" s="144"/>
      <c r="BI52" s="145"/>
      <c r="BJ52" s="145"/>
      <c r="BK52" s="145"/>
      <c r="BL52" s="145"/>
      <c r="BM52" s="145"/>
      <c r="BN52" s="145"/>
      <c r="BO52" s="145"/>
      <c r="BP52" s="145"/>
      <c r="BQ52" s="145"/>
      <c r="BR52" s="145"/>
      <c r="BS52" s="145"/>
      <c r="BT52" s="165">
        <f t="shared" si="21"/>
        <v>0</v>
      </c>
      <c r="BU52" s="597">
        <f t="shared" si="22"/>
        <v>0</v>
      </c>
      <c r="BV52" s="593"/>
      <c r="BW52" s="164"/>
      <c r="BX52" s="164"/>
      <c r="BY52" s="164"/>
      <c r="BZ52" s="147"/>
      <c r="CA52" s="147"/>
      <c r="CB52" s="147"/>
      <c r="CC52" s="147"/>
      <c r="CD52" s="147"/>
      <c r="CE52" s="147"/>
      <c r="CF52" s="147"/>
      <c r="CG52" s="147"/>
    </row>
    <row r="53" spans="1:85">
      <c r="A53" s="596" t="s">
        <v>311</v>
      </c>
      <c r="B53" s="144"/>
      <c r="C53" s="144"/>
      <c r="D53" s="144"/>
      <c r="E53" s="144"/>
      <c r="F53" s="144"/>
      <c r="G53" s="144"/>
      <c r="H53" s="144"/>
      <c r="I53" s="144"/>
      <c r="J53" s="144"/>
      <c r="K53" s="144"/>
      <c r="L53" s="144"/>
      <c r="M53" s="144"/>
      <c r="N53" s="144"/>
      <c r="O53" s="144"/>
      <c r="P53" s="144"/>
      <c r="Q53" s="145"/>
      <c r="R53" s="145"/>
      <c r="S53" s="145"/>
      <c r="T53" s="145"/>
      <c r="U53" s="145"/>
      <c r="V53" s="145"/>
      <c r="W53" s="145"/>
      <c r="X53" s="145"/>
      <c r="Y53" s="145"/>
      <c r="Z53" s="145"/>
      <c r="AA53" s="145"/>
      <c r="AB53" s="145"/>
      <c r="AC53" s="145"/>
      <c r="AD53" s="165">
        <f t="shared" si="19"/>
        <v>0</v>
      </c>
      <c r="AE53" s="597">
        <f t="shared" si="20"/>
        <v>0</v>
      </c>
      <c r="AF53" s="598"/>
      <c r="AG53" s="147"/>
      <c r="AH53" s="147"/>
      <c r="AI53" s="147"/>
      <c r="AJ53" s="147"/>
      <c r="AK53" s="147"/>
      <c r="AL53" s="147"/>
      <c r="AM53" s="147"/>
      <c r="AN53" s="147"/>
      <c r="AO53" s="147"/>
      <c r="AP53" s="147"/>
      <c r="AQ53" s="147"/>
      <c r="AS53" s="596" t="s">
        <v>311</v>
      </c>
      <c r="AT53" s="144"/>
      <c r="AU53" s="144"/>
      <c r="AV53" s="144"/>
      <c r="AW53" s="144"/>
      <c r="AX53" s="144"/>
      <c r="AY53" s="144"/>
      <c r="AZ53" s="144"/>
      <c r="BA53" s="144"/>
      <c r="BB53" s="144"/>
      <c r="BC53" s="144"/>
      <c r="BD53" s="144"/>
      <c r="BE53" s="144"/>
      <c r="BF53" s="144"/>
      <c r="BG53" s="144"/>
      <c r="BH53" s="144"/>
      <c r="BI53" s="145"/>
      <c r="BJ53" s="145"/>
      <c r="BK53" s="145"/>
      <c r="BL53" s="145"/>
      <c r="BM53" s="145"/>
      <c r="BN53" s="145"/>
      <c r="BO53" s="145"/>
      <c r="BP53" s="145"/>
      <c r="BQ53" s="145"/>
      <c r="BR53" s="145"/>
      <c r="BS53" s="145"/>
      <c r="BT53" s="165">
        <f t="shared" si="21"/>
        <v>0</v>
      </c>
      <c r="BU53" s="597">
        <f t="shared" si="22"/>
        <v>0</v>
      </c>
      <c r="BV53" s="593"/>
      <c r="BW53" s="164"/>
      <c r="BX53" s="164"/>
      <c r="BY53" s="164"/>
      <c r="BZ53" s="147"/>
      <c r="CA53" s="147"/>
      <c r="CB53" s="147"/>
      <c r="CC53" s="147"/>
      <c r="CD53" s="147"/>
      <c r="CE53" s="147"/>
      <c r="CF53" s="147"/>
      <c r="CG53" s="147"/>
    </row>
    <row r="54" spans="1:85">
      <c r="A54" s="596" t="s">
        <v>312</v>
      </c>
      <c r="B54" s="144"/>
      <c r="C54" s="144"/>
      <c r="D54" s="144"/>
      <c r="E54" s="144"/>
      <c r="F54" s="144"/>
      <c r="G54" s="144"/>
      <c r="H54" s="144"/>
      <c r="I54" s="144"/>
      <c r="J54" s="144"/>
      <c r="K54" s="144"/>
      <c r="L54" s="144"/>
      <c r="M54" s="144"/>
      <c r="N54" s="144"/>
      <c r="O54" s="144"/>
      <c r="P54" s="144"/>
      <c r="Q54" s="145"/>
      <c r="R54" s="145"/>
      <c r="S54" s="145"/>
      <c r="T54" s="145"/>
      <c r="U54" s="145"/>
      <c r="V54" s="145"/>
      <c r="W54" s="145"/>
      <c r="X54" s="145"/>
      <c r="Y54" s="145"/>
      <c r="Z54" s="145"/>
      <c r="AA54" s="145"/>
      <c r="AB54" s="145"/>
      <c r="AC54" s="145"/>
      <c r="AD54" s="165">
        <f t="shared" si="19"/>
        <v>0</v>
      </c>
      <c r="AE54" s="597">
        <f t="shared" si="20"/>
        <v>0</v>
      </c>
      <c r="AF54" s="598"/>
      <c r="AG54" s="147"/>
      <c r="AH54" s="147"/>
      <c r="AI54" s="147"/>
      <c r="AJ54" s="147"/>
      <c r="AK54" s="147"/>
      <c r="AL54" s="147"/>
      <c r="AM54" s="147"/>
      <c r="AN54" s="147"/>
      <c r="AO54" s="147"/>
      <c r="AP54" s="147"/>
      <c r="AQ54" s="147"/>
      <c r="AS54" s="596" t="s">
        <v>312</v>
      </c>
      <c r="AT54" s="144"/>
      <c r="AU54" s="144"/>
      <c r="AV54" s="144"/>
      <c r="AW54" s="144"/>
      <c r="AX54" s="144"/>
      <c r="AY54" s="144"/>
      <c r="AZ54" s="144"/>
      <c r="BA54" s="144"/>
      <c r="BB54" s="144"/>
      <c r="BC54" s="144"/>
      <c r="BD54" s="144"/>
      <c r="BE54" s="144"/>
      <c r="BF54" s="144"/>
      <c r="BG54" s="144"/>
      <c r="BH54" s="144"/>
      <c r="BI54" s="145"/>
      <c r="BJ54" s="145"/>
      <c r="BK54" s="145"/>
      <c r="BL54" s="145"/>
      <c r="BM54" s="145"/>
      <c r="BN54" s="145"/>
      <c r="BO54" s="145"/>
      <c r="BP54" s="145"/>
      <c r="BQ54" s="145"/>
      <c r="BR54" s="145"/>
      <c r="BS54" s="145"/>
      <c r="BT54" s="165">
        <f t="shared" si="21"/>
        <v>0</v>
      </c>
      <c r="BU54" s="597">
        <f t="shared" si="22"/>
        <v>0</v>
      </c>
      <c r="BV54" s="593"/>
      <c r="BW54" s="164"/>
      <c r="BX54" s="164"/>
      <c r="BY54" s="164"/>
      <c r="BZ54" s="147"/>
      <c r="CA54" s="147"/>
      <c r="CB54" s="147"/>
      <c r="CC54" s="147"/>
      <c r="CD54" s="147"/>
      <c r="CE54" s="147"/>
      <c r="CF54" s="147"/>
      <c r="CG54" s="147"/>
    </row>
    <row r="55" spans="1:85">
      <c r="A55" s="596" t="s">
        <v>313</v>
      </c>
      <c r="B55" s="144"/>
      <c r="C55" s="144"/>
      <c r="D55" s="144"/>
      <c r="E55" s="144"/>
      <c r="F55" s="144"/>
      <c r="G55" s="144"/>
      <c r="H55" s="144"/>
      <c r="I55" s="144"/>
      <c r="J55" s="144"/>
      <c r="K55" s="144"/>
      <c r="L55" s="144"/>
      <c r="M55" s="144"/>
      <c r="N55" s="144"/>
      <c r="O55" s="144"/>
      <c r="P55" s="144"/>
      <c r="Q55" s="145"/>
      <c r="R55" s="145"/>
      <c r="S55" s="145"/>
      <c r="T55" s="145"/>
      <c r="U55" s="145"/>
      <c r="V55" s="145"/>
      <c r="W55" s="145"/>
      <c r="X55" s="145"/>
      <c r="Y55" s="145"/>
      <c r="Z55" s="145"/>
      <c r="AA55" s="145"/>
      <c r="AB55" s="145"/>
      <c r="AC55" s="145"/>
      <c r="AD55" s="165">
        <f t="shared" si="19"/>
        <v>0</v>
      </c>
      <c r="AE55" s="597">
        <f t="shared" si="20"/>
        <v>0</v>
      </c>
      <c r="AF55" s="598"/>
      <c r="AG55" s="147"/>
      <c r="AH55" s="147"/>
      <c r="AI55" s="147"/>
      <c r="AJ55" s="147"/>
      <c r="AK55" s="147"/>
      <c r="AL55" s="147"/>
      <c r="AM55" s="147"/>
      <c r="AN55" s="147"/>
      <c r="AO55" s="147"/>
      <c r="AP55" s="147"/>
      <c r="AQ55" s="147"/>
      <c r="AS55" s="596" t="s">
        <v>313</v>
      </c>
      <c r="AT55" s="144"/>
      <c r="AU55" s="144"/>
      <c r="AV55" s="144"/>
      <c r="AW55" s="144"/>
      <c r="AX55" s="144"/>
      <c r="AY55" s="144"/>
      <c r="AZ55" s="144"/>
      <c r="BA55" s="144"/>
      <c r="BB55" s="144"/>
      <c r="BC55" s="144"/>
      <c r="BD55" s="144"/>
      <c r="BE55" s="144"/>
      <c r="BF55" s="144"/>
      <c r="BG55" s="144"/>
      <c r="BH55" s="144"/>
      <c r="BI55" s="145"/>
      <c r="BJ55" s="145"/>
      <c r="BK55" s="145"/>
      <c r="BL55" s="145"/>
      <c r="BM55" s="145"/>
      <c r="BN55" s="145"/>
      <c r="BO55" s="145"/>
      <c r="BP55" s="145"/>
      <c r="BQ55" s="145"/>
      <c r="BR55" s="145"/>
      <c r="BS55" s="145"/>
      <c r="BT55" s="165">
        <f t="shared" si="21"/>
        <v>0</v>
      </c>
      <c r="BU55" s="597">
        <f t="shared" si="22"/>
        <v>0</v>
      </c>
      <c r="BV55" s="593"/>
      <c r="BW55" s="164"/>
      <c r="BX55" s="164"/>
      <c r="BY55" s="164"/>
      <c r="BZ55" s="147"/>
      <c r="CA55" s="147"/>
      <c r="CB55" s="147"/>
      <c r="CC55" s="147"/>
      <c r="CD55" s="147"/>
      <c r="CE55" s="147"/>
      <c r="CF55" s="147"/>
      <c r="CG55" s="147"/>
    </row>
    <row r="56" spans="1:85">
      <c r="A56" s="596" t="s">
        <v>314</v>
      </c>
      <c r="B56" s="144"/>
      <c r="C56" s="144"/>
      <c r="D56" s="144"/>
      <c r="E56" s="144"/>
      <c r="F56" s="144"/>
      <c r="G56" s="144"/>
      <c r="H56" s="144"/>
      <c r="I56" s="144"/>
      <c r="J56" s="144"/>
      <c r="K56" s="144"/>
      <c r="L56" s="144"/>
      <c r="M56" s="144"/>
      <c r="N56" s="144"/>
      <c r="O56" s="144"/>
      <c r="P56" s="144"/>
      <c r="Q56" s="145"/>
      <c r="R56" s="145"/>
      <c r="S56" s="145"/>
      <c r="T56" s="145"/>
      <c r="U56" s="145"/>
      <c r="V56" s="145"/>
      <c r="W56" s="145"/>
      <c r="X56" s="145"/>
      <c r="Y56" s="145"/>
      <c r="Z56" s="145"/>
      <c r="AA56" s="145"/>
      <c r="AB56" s="145"/>
      <c r="AC56" s="145"/>
      <c r="AD56" s="165">
        <f t="shared" si="19"/>
        <v>0</v>
      </c>
      <c r="AE56" s="597">
        <f t="shared" si="20"/>
        <v>0</v>
      </c>
      <c r="AF56" s="598"/>
      <c r="AG56" s="147"/>
      <c r="AH56" s="147"/>
      <c r="AI56" s="147"/>
      <c r="AJ56" s="147"/>
      <c r="AK56" s="147"/>
      <c r="AL56" s="147"/>
      <c r="AM56" s="147"/>
      <c r="AN56" s="147"/>
      <c r="AO56" s="147"/>
      <c r="AP56" s="147"/>
      <c r="AQ56" s="147"/>
      <c r="AS56" s="596" t="s">
        <v>314</v>
      </c>
      <c r="AT56" s="144"/>
      <c r="AU56" s="144"/>
      <c r="AV56" s="144"/>
      <c r="AW56" s="144"/>
      <c r="AX56" s="144"/>
      <c r="AY56" s="144"/>
      <c r="AZ56" s="144"/>
      <c r="BA56" s="144"/>
      <c r="BB56" s="144"/>
      <c r="BC56" s="144"/>
      <c r="BD56" s="144"/>
      <c r="BE56" s="144"/>
      <c r="BF56" s="144"/>
      <c r="BG56" s="144"/>
      <c r="BH56" s="144"/>
      <c r="BI56" s="145"/>
      <c r="BJ56" s="145"/>
      <c r="BK56" s="145"/>
      <c r="BL56" s="145"/>
      <c r="BM56" s="145"/>
      <c r="BN56" s="145"/>
      <c r="BO56" s="145"/>
      <c r="BP56" s="145"/>
      <c r="BQ56" s="145"/>
      <c r="BR56" s="145"/>
      <c r="BS56" s="145"/>
      <c r="BT56" s="165">
        <f t="shared" si="21"/>
        <v>0</v>
      </c>
      <c r="BU56" s="597">
        <f t="shared" si="22"/>
        <v>0</v>
      </c>
      <c r="BV56" s="593"/>
      <c r="BW56" s="164"/>
      <c r="BX56" s="164"/>
      <c r="BY56" s="164"/>
      <c r="BZ56" s="147"/>
      <c r="CA56" s="147"/>
      <c r="CB56" s="147"/>
      <c r="CC56" s="147"/>
      <c r="CD56" s="147"/>
      <c r="CE56" s="147"/>
      <c r="CF56" s="147"/>
      <c r="CG56" s="147"/>
    </row>
    <row r="57" spans="1:85">
      <c r="A57" s="596" t="s">
        <v>315</v>
      </c>
      <c r="B57" s="144"/>
      <c r="C57" s="144"/>
      <c r="D57" s="144"/>
      <c r="E57" s="144"/>
      <c r="F57" s="144"/>
      <c r="G57" s="144"/>
      <c r="H57" s="144"/>
      <c r="I57" s="144"/>
      <c r="J57" s="144"/>
      <c r="K57" s="144"/>
      <c r="L57" s="144"/>
      <c r="M57" s="144"/>
      <c r="N57" s="144"/>
      <c r="O57" s="144"/>
      <c r="P57" s="144"/>
      <c r="Q57" s="145"/>
      <c r="R57" s="145"/>
      <c r="S57" s="145"/>
      <c r="T57" s="145"/>
      <c r="U57" s="145"/>
      <c r="V57" s="145"/>
      <c r="W57" s="145"/>
      <c r="X57" s="145"/>
      <c r="Y57" s="145"/>
      <c r="Z57" s="145"/>
      <c r="AA57" s="145"/>
      <c r="AB57" s="145"/>
      <c r="AC57" s="145"/>
      <c r="AD57" s="165">
        <f t="shared" si="19"/>
        <v>0</v>
      </c>
      <c r="AE57" s="597">
        <f t="shared" si="20"/>
        <v>0</v>
      </c>
      <c r="AF57" s="598"/>
      <c r="AG57" s="147"/>
      <c r="AH57" s="147"/>
      <c r="AI57" s="147"/>
      <c r="AJ57" s="147"/>
      <c r="AK57" s="147"/>
      <c r="AL57" s="147"/>
      <c r="AM57" s="147"/>
      <c r="AN57" s="147"/>
      <c r="AO57" s="147"/>
      <c r="AP57" s="147"/>
      <c r="AQ57" s="147"/>
      <c r="AS57" s="596" t="s">
        <v>315</v>
      </c>
      <c r="AT57" s="144"/>
      <c r="AU57" s="144"/>
      <c r="AV57" s="144"/>
      <c r="AW57" s="144"/>
      <c r="AX57" s="144"/>
      <c r="AY57" s="144"/>
      <c r="AZ57" s="144"/>
      <c r="BA57" s="144"/>
      <c r="BB57" s="144"/>
      <c r="BC57" s="144"/>
      <c r="BD57" s="144"/>
      <c r="BE57" s="144"/>
      <c r="BF57" s="144"/>
      <c r="BG57" s="144"/>
      <c r="BH57" s="144"/>
      <c r="BI57" s="145"/>
      <c r="BJ57" s="145"/>
      <c r="BK57" s="145"/>
      <c r="BL57" s="145"/>
      <c r="BM57" s="145"/>
      <c r="BN57" s="145"/>
      <c r="BO57" s="145"/>
      <c r="BP57" s="145"/>
      <c r="BQ57" s="145"/>
      <c r="BR57" s="145"/>
      <c r="BS57" s="145"/>
      <c r="BT57" s="165">
        <f t="shared" si="21"/>
        <v>0</v>
      </c>
      <c r="BU57" s="597">
        <f t="shared" si="22"/>
        <v>0</v>
      </c>
      <c r="BV57" s="593"/>
      <c r="BW57" s="164"/>
      <c r="BX57" s="164"/>
      <c r="BY57" s="164"/>
      <c r="BZ57" s="147"/>
      <c r="CA57" s="147"/>
      <c r="CB57" s="147"/>
      <c r="CC57" s="147"/>
      <c r="CD57" s="147"/>
      <c r="CE57" s="147"/>
      <c r="CF57" s="147"/>
      <c r="CG57" s="147"/>
    </row>
    <row r="58" spans="1:85">
      <c r="A58" s="596" t="s">
        <v>316</v>
      </c>
      <c r="B58" s="144"/>
      <c r="C58" s="144"/>
      <c r="D58" s="144"/>
      <c r="E58" s="144"/>
      <c r="F58" s="144"/>
      <c r="G58" s="144"/>
      <c r="H58" s="144"/>
      <c r="I58" s="144"/>
      <c r="J58" s="144"/>
      <c r="K58" s="144"/>
      <c r="L58" s="144"/>
      <c r="M58" s="144"/>
      <c r="N58" s="144"/>
      <c r="O58" s="144"/>
      <c r="P58" s="144"/>
      <c r="Q58" s="145"/>
      <c r="R58" s="145"/>
      <c r="S58" s="145"/>
      <c r="T58" s="145"/>
      <c r="U58" s="145"/>
      <c r="V58" s="145"/>
      <c r="W58" s="145"/>
      <c r="X58" s="145"/>
      <c r="Y58" s="145"/>
      <c r="Z58" s="145"/>
      <c r="AA58" s="145"/>
      <c r="AB58" s="145"/>
      <c r="AC58" s="145"/>
      <c r="AD58" s="165">
        <f t="shared" si="19"/>
        <v>0</v>
      </c>
      <c r="AE58" s="597">
        <f t="shared" si="20"/>
        <v>0</v>
      </c>
      <c r="AF58" s="598"/>
      <c r="AG58" s="147"/>
      <c r="AH58" s="147"/>
      <c r="AI58" s="147"/>
      <c r="AJ58" s="147"/>
      <c r="AK58" s="147"/>
      <c r="AL58" s="147"/>
      <c r="AM58" s="147"/>
      <c r="AN58" s="147"/>
      <c r="AO58" s="147"/>
      <c r="AP58" s="147"/>
      <c r="AQ58" s="147"/>
      <c r="AS58" s="596" t="s">
        <v>316</v>
      </c>
      <c r="AT58" s="144"/>
      <c r="AU58" s="144"/>
      <c r="AV58" s="144"/>
      <c r="AW58" s="144"/>
      <c r="AX58" s="144"/>
      <c r="AY58" s="144"/>
      <c r="AZ58" s="144"/>
      <c r="BA58" s="144"/>
      <c r="BB58" s="144"/>
      <c r="BC58" s="144"/>
      <c r="BD58" s="144"/>
      <c r="BE58" s="144"/>
      <c r="BF58" s="144"/>
      <c r="BG58" s="144"/>
      <c r="BH58" s="144"/>
      <c r="BI58" s="145"/>
      <c r="BJ58" s="145"/>
      <c r="BK58" s="145"/>
      <c r="BL58" s="145"/>
      <c r="BM58" s="145"/>
      <c r="BN58" s="145"/>
      <c r="BO58" s="145"/>
      <c r="BP58" s="145"/>
      <c r="BQ58" s="145"/>
      <c r="BR58" s="145"/>
      <c r="BS58" s="145"/>
      <c r="BT58" s="165">
        <f t="shared" si="21"/>
        <v>0</v>
      </c>
      <c r="BU58" s="597">
        <f t="shared" si="22"/>
        <v>0</v>
      </c>
      <c r="BV58" s="593"/>
      <c r="BW58" s="164"/>
      <c r="BX58" s="164"/>
      <c r="BY58" s="164"/>
      <c r="BZ58" s="147"/>
      <c r="CA58" s="147"/>
      <c r="CB58" s="147"/>
      <c r="CC58" s="147"/>
      <c r="CD58" s="147"/>
      <c r="CE58" s="147"/>
      <c r="CF58" s="147"/>
      <c r="CG58" s="147"/>
    </row>
    <row r="59" spans="1:85">
      <c r="A59" s="596" t="s">
        <v>317</v>
      </c>
      <c r="B59" s="144"/>
      <c r="C59" s="144"/>
      <c r="D59" s="144"/>
      <c r="E59" s="144"/>
      <c r="F59" s="144"/>
      <c r="G59" s="144"/>
      <c r="H59" s="144"/>
      <c r="I59" s="144"/>
      <c r="J59" s="144"/>
      <c r="K59" s="144"/>
      <c r="L59" s="144"/>
      <c r="M59" s="144"/>
      <c r="N59" s="144"/>
      <c r="O59" s="144"/>
      <c r="P59" s="144"/>
      <c r="Q59" s="145"/>
      <c r="R59" s="145"/>
      <c r="S59" s="145"/>
      <c r="T59" s="145"/>
      <c r="U59" s="145"/>
      <c r="V59" s="145"/>
      <c r="W59" s="145"/>
      <c r="X59" s="145"/>
      <c r="Y59" s="145"/>
      <c r="Z59" s="145"/>
      <c r="AA59" s="145"/>
      <c r="AB59" s="145"/>
      <c r="AC59" s="145"/>
      <c r="AD59" s="165">
        <f t="shared" si="19"/>
        <v>0</v>
      </c>
      <c r="AE59" s="597">
        <f t="shared" si="20"/>
        <v>0</v>
      </c>
      <c r="AF59" s="598"/>
      <c r="AG59" s="147"/>
      <c r="AH59" s="147"/>
      <c r="AI59" s="147"/>
      <c r="AJ59" s="147"/>
      <c r="AK59" s="147"/>
      <c r="AL59" s="147"/>
      <c r="AM59" s="147"/>
      <c r="AN59" s="147"/>
      <c r="AO59" s="147"/>
      <c r="AP59" s="147"/>
      <c r="AQ59" s="147"/>
      <c r="AS59" s="596" t="s">
        <v>317</v>
      </c>
      <c r="AT59" s="144"/>
      <c r="AU59" s="144"/>
      <c r="AV59" s="144"/>
      <c r="AW59" s="144"/>
      <c r="AX59" s="144"/>
      <c r="AY59" s="144"/>
      <c r="AZ59" s="144"/>
      <c r="BA59" s="144"/>
      <c r="BB59" s="144"/>
      <c r="BC59" s="144"/>
      <c r="BD59" s="144"/>
      <c r="BE59" s="144"/>
      <c r="BF59" s="144"/>
      <c r="BG59" s="144"/>
      <c r="BH59" s="144"/>
      <c r="BI59" s="145"/>
      <c r="BJ59" s="145"/>
      <c r="BK59" s="145"/>
      <c r="BL59" s="145"/>
      <c r="BM59" s="145"/>
      <c r="BN59" s="145"/>
      <c r="BO59" s="145"/>
      <c r="BP59" s="145"/>
      <c r="BQ59" s="145"/>
      <c r="BR59" s="145"/>
      <c r="BS59" s="145"/>
      <c r="BT59" s="165">
        <f t="shared" si="21"/>
        <v>0</v>
      </c>
      <c r="BU59" s="597">
        <f t="shared" si="22"/>
        <v>0</v>
      </c>
      <c r="BV59" s="593"/>
      <c r="BW59" s="164"/>
      <c r="BX59" s="164"/>
      <c r="BY59" s="164"/>
      <c r="BZ59" s="147"/>
      <c r="CA59" s="147"/>
      <c r="CB59" s="147"/>
      <c r="CC59" s="147"/>
      <c r="CD59" s="147"/>
      <c r="CE59" s="147"/>
      <c r="CF59" s="147"/>
      <c r="CG59" s="147"/>
    </row>
    <row r="60" spans="1:85" ht="15.75" thickBot="1">
      <c r="A60" s="600" t="s">
        <v>318</v>
      </c>
      <c r="B60" s="601"/>
      <c r="C60" s="601"/>
      <c r="D60" s="601"/>
      <c r="E60" s="601"/>
      <c r="F60" s="601"/>
      <c r="G60" s="601"/>
      <c r="H60" s="601"/>
      <c r="I60" s="601"/>
      <c r="J60" s="601"/>
      <c r="K60" s="601"/>
      <c r="L60" s="601"/>
      <c r="M60" s="601"/>
      <c r="N60" s="601"/>
      <c r="O60" s="601"/>
      <c r="P60" s="601"/>
      <c r="Q60" s="602"/>
      <c r="R60" s="602"/>
      <c r="S60" s="602"/>
      <c r="T60" s="602"/>
      <c r="U60" s="602"/>
      <c r="V60" s="602"/>
      <c r="W60" s="602"/>
      <c r="X60" s="602"/>
      <c r="Y60" s="602"/>
      <c r="Z60" s="602"/>
      <c r="AA60" s="602"/>
      <c r="AB60" s="602"/>
      <c r="AC60" s="602"/>
      <c r="AD60" s="603">
        <f t="shared" si="19"/>
        <v>0</v>
      </c>
      <c r="AE60" s="607">
        <f t="shared" si="20"/>
        <v>0</v>
      </c>
      <c r="AF60" s="598"/>
      <c r="AG60" s="147"/>
      <c r="AH60" s="147"/>
      <c r="AI60" s="147"/>
      <c r="AJ60" s="147"/>
      <c r="AK60" s="147"/>
      <c r="AL60" s="147"/>
      <c r="AM60" s="147"/>
      <c r="AN60" s="147"/>
      <c r="AO60" s="147"/>
      <c r="AP60" s="147"/>
      <c r="AQ60" s="147"/>
      <c r="AS60" s="600" t="s">
        <v>318</v>
      </c>
      <c r="AT60" s="601"/>
      <c r="AU60" s="601"/>
      <c r="AV60" s="601"/>
      <c r="AW60" s="601"/>
      <c r="AX60" s="601"/>
      <c r="AY60" s="601"/>
      <c r="AZ60" s="601"/>
      <c r="BA60" s="601"/>
      <c r="BB60" s="601"/>
      <c r="BC60" s="601"/>
      <c r="BD60" s="601"/>
      <c r="BE60" s="601"/>
      <c r="BF60" s="601"/>
      <c r="BG60" s="601"/>
      <c r="BH60" s="601"/>
      <c r="BI60" s="602"/>
      <c r="BJ60" s="602"/>
      <c r="BK60" s="602"/>
      <c r="BL60" s="602"/>
      <c r="BM60" s="602"/>
      <c r="BN60" s="602"/>
      <c r="BO60" s="602"/>
      <c r="BP60" s="602"/>
      <c r="BQ60" s="602"/>
      <c r="BR60" s="602"/>
      <c r="BS60" s="602"/>
      <c r="BT60" s="603">
        <f t="shared" si="21"/>
        <v>0</v>
      </c>
      <c r="BU60" s="607">
        <f t="shared" si="22"/>
        <v>0</v>
      </c>
      <c r="BV60" s="593"/>
      <c r="BW60" s="164"/>
      <c r="BX60" s="164"/>
      <c r="BY60" s="164"/>
      <c r="BZ60" s="147"/>
      <c r="CA60" s="147"/>
      <c r="CB60" s="147"/>
      <c r="CC60" s="147"/>
      <c r="CD60" s="147"/>
      <c r="CE60" s="147"/>
      <c r="CF60" s="147"/>
      <c r="CG60" s="147"/>
    </row>
    <row r="61" spans="1:85" ht="15.75" thickBot="1">
      <c r="A61" s="604" t="s">
        <v>319</v>
      </c>
      <c r="B61" s="605">
        <f t="shared" ref="B61:AQ61" si="23">SUM(B40:B60)</f>
        <v>0</v>
      </c>
      <c r="C61" s="606">
        <f>SUM(C40:C60)</f>
        <v>20050667</v>
      </c>
      <c r="D61" s="605">
        <f t="shared" si="23"/>
        <v>0</v>
      </c>
      <c r="E61" s="606">
        <f>SUM(E40:E60)</f>
        <v>54590000</v>
      </c>
      <c r="F61" s="605">
        <f t="shared" si="23"/>
        <v>1.0400000000000003E-2</v>
      </c>
      <c r="G61" s="605"/>
      <c r="H61" s="606">
        <f>SUM(H40:H60)</f>
        <v>54590000</v>
      </c>
      <c r="I61" s="605">
        <f t="shared" si="23"/>
        <v>2.0000000000000004E-2</v>
      </c>
      <c r="J61" s="606">
        <f>SUM(J40:J60)</f>
        <v>54590000</v>
      </c>
      <c r="K61" s="605">
        <f t="shared" si="23"/>
        <v>2.0000000000000004E-2</v>
      </c>
      <c r="L61" s="606">
        <f>SUM(L40:L60)</f>
        <v>54590000</v>
      </c>
      <c r="M61" s="605">
        <f t="shared" si="23"/>
        <v>2.0000000000000004E-2</v>
      </c>
      <c r="N61" s="605"/>
      <c r="O61" s="606">
        <f>SUM(O40:O60)</f>
        <v>54590000</v>
      </c>
      <c r="P61" s="605">
        <f t="shared" si="23"/>
        <v>2.0000000000000004E-2</v>
      </c>
      <c r="Q61" s="606">
        <f>SUM(Q40:Q60)</f>
        <v>54590000</v>
      </c>
      <c r="R61" s="605">
        <f t="shared" si="23"/>
        <v>2.0000000000000004E-2</v>
      </c>
      <c r="S61" s="606">
        <f>SUM(S40:S60)</f>
        <v>54590000</v>
      </c>
      <c r="T61" s="605">
        <f t="shared" si="23"/>
        <v>2.0000000000000004E-2</v>
      </c>
      <c r="U61" s="605"/>
      <c r="V61" s="606">
        <f>SUM(V40:V60)</f>
        <v>54590000</v>
      </c>
      <c r="W61" s="605">
        <f t="shared" si="23"/>
        <v>2.0000000000000004E-2</v>
      </c>
      <c r="X61" s="606">
        <f>SUM(X40:X60)</f>
        <v>54590000</v>
      </c>
      <c r="Y61" s="605">
        <f t="shared" si="23"/>
        <v>2.0000000000000004E-2</v>
      </c>
      <c r="Z61" s="606">
        <f>SUM(Z40:Z60)</f>
        <v>54590000</v>
      </c>
      <c r="AA61" s="605">
        <f t="shared" si="23"/>
        <v>2.0000000000000004E-2</v>
      </c>
      <c r="AB61" s="605"/>
      <c r="AC61" s="606">
        <f>SUM(AC40:AC60)</f>
        <v>34539333</v>
      </c>
      <c r="AD61" s="610">
        <f t="shared" si="23"/>
        <v>0.19040000000000007</v>
      </c>
      <c r="AE61" s="611">
        <f t="shared" si="23"/>
        <v>600490000</v>
      </c>
      <c r="AF61" s="594">
        <f t="shared" si="23"/>
        <v>0</v>
      </c>
      <c r="AG61" s="146">
        <f t="shared" si="23"/>
        <v>0</v>
      </c>
      <c r="AH61" s="146">
        <f t="shared" si="23"/>
        <v>0</v>
      </c>
      <c r="AI61" s="146">
        <f t="shared" si="23"/>
        <v>0</v>
      </c>
      <c r="AJ61" s="146">
        <f t="shared" si="23"/>
        <v>0</v>
      </c>
      <c r="AK61" s="146">
        <f t="shared" si="23"/>
        <v>0</v>
      </c>
      <c r="AL61" s="146">
        <f t="shared" si="23"/>
        <v>0</v>
      </c>
      <c r="AM61" s="146">
        <f t="shared" si="23"/>
        <v>0</v>
      </c>
      <c r="AN61" s="146">
        <f t="shared" si="23"/>
        <v>0</v>
      </c>
      <c r="AO61" s="146">
        <f t="shared" si="23"/>
        <v>0</v>
      </c>
      <c r="AP61" s="146">
        <f t="shared" si="23"/>
        <v>0</v>
      </c>
      <c r="AQ61" s="146">
        <f t="shared" si="23"/>
        <v>0</v>
      </c>
      <c r="AS61" s="604" t="s">
        <v>319</v>
      </c>
      <c r="AT61" s="605">
        <f t="shared" ref="AT61:BH61" si="24">SUM(AT40:AT60)</f>
        <v>0</v>
      </c>
      <c r="AU61" s="605">
        <f t="shared" si="24"/>
        <v>0</v>
      </c>
      <c r="AV61" s="605">
        <f t="shared" si="24"/>
        <v>1.0480000000000003E-2</v>
      </c>
      <c r="AW61" s="606">
        <f t="shared" si="24"/>
        <v>19535667</v>
      </c>
      <c r="AX61" s="605">
        <f t="shared" si="24"/>
        <v>1.9440000000000006E-2</v>
      </c>
      <c r="AY61" s="605"/>
      <c r="AZ61" s="606">
        <f t="shared" si="24"/>
        <v>54590000</v>
      </c>
      <c r="BA61" s="634">
        <f>SUM(BA40:BA60)</f>
        <v>1.7280000000000007E-2</v>
      </c>
      <c r="BB61" s="606">
        <f t="shared" si="24"/>
        <v>54590000</v>
      </c>
      <c r="BC61" s="605">
        <f t="shared" si="24"/>
        <v>2.0000000000000004E-2</v>
      </c>
      <c r="BD61" s="606">
        <f t="shared" si="24"/>
        <v>49440000</v>
      </c>
      <c r="BE61" s="605">
        <f t="shared" si="24"/>
        <v>2.1600000000000008E-2</v>
      </c>
      <c r="BF61" s="606">
        <f t="shared" si="24"/>
        <v>5.8880000000000016E-2</v>
      </c>
      <c r="BG61" s="605">
        <f>SUM(BG40:BG60)</f>
        <v>49440000</v>
      </c>
      <c r="BH61" s="718">
        <f t="shared" si="24"/>
        <v>1.9440000000000006E-2</v>
      </c>
      <c r="BI61" s="605">
        <f>SUM(BI40:BI60)</f>
        <v>49440000</v>
      </c>
      <c r="BJ61" s="605">
        <f t="shared" ref="BJ61:CG61" si="25">SUM(BJ40:BJ60)</f>
        <v>0</v>
      </c>
      <c r="BK61" s="605">
        <f t="shared" si="25"/>
        <v>49440000</v>
      </c>
      <c r="BL61" s="605">
        <f t="shared" si="25"/>
        <v>0</v>
      </c>
      <c r="BM61" s="605">
        <f t="shared" si="25"/>
        <v>0</v>
      </c>
      <c r="BN61" s="605">
        <f t="shared" si="25"/>
        <v>0</v>
      </c>
      <c r="BO61" s="605">
        <f t="shared" si="25"/>
        <v>0</v>
      </c>
      <c r="BP61" s="605">
        <f t="shared" si="25"/>
        <v>0</v>
      </c>
      <c r="BQ61" s="605">
        <f t="shared" si="25"/>
        <v>0</v>
      </c>
      <c r="BR61" s="605">
        <f t="shared" si="25"/>
        <v>0</v>
      </c>
      <c r="BS61" s="605">
        <f t="shared" si="25"/>
        <v>0</v>
      </c>
      <c r="BT61" s="608">
        <f t="shared" si="25"/>
        <v>0.10824000000000003</v>
      </c>
      <c r="BU61" s="609">
        <f t="shared" si="25"/>
        <v>326475667</v>
      </c>
      <c r="BV61" s="594">
        <f t="shared" si="25"/>
        <v>0</v>
      </c>
      <c r="BW61" s="146">
        <f t="shared" si="25"/>
        <v>0</v>
      </c>
      <c r="BX61" s="146">
        <f t="shared" si="25"/>
        <v>0</v>
      </c>
      <c r="BY61" s="146">
        <f t="shared" si="25"/>
        <v>0</v>
      </c>
      <c r="BZ61" s="146">
        <f t="shared" si="25"/>
        <v>0</v>
      </c>
      <c r="CA61" s="146">
        <f t="shared" si="25"/>
        <v>0</v>
      </c>
      <c r="CB61" s="146">
        <f>SUM(CB40:CB60)</f>
        <v>0</v>
      </c>
      <c r="CC61" s="146">
        <f t="shared" si="25"/>
        <v>0</v>
      </c>
      <c r="CD61" s="146">
        <f t="shared" si="25"/>
        <v>0</v>
      </c>
      <c r="CE61" s="146">
        <f t="shared" si="25"/>
        <v>0</v>
      </c>
      <c r="CF61" s="146">
        <f t="shared" si="25"/>
        <v>0</v>
      </c>
      <c r="CG61" s="146">
        <f t="shared" si="25"/>
        <v>0</v>
      </c>
    </row>
    <row r="66" spans="1:45">
      <c r="D66" s="267"/>
      <c r="F66" s="267"/>
      <c r="G66" s="267"/>
      <c r="H66" s="267"/>
      <c r="I66" s="267"/>
      <c r="J66" s="267"/>
      <c r="K66" s="267"/>
      <c r="L66" s="267"/>
      <c r="M66" s="267"/>
      <c r="N66" s="267"/>
      <c r="O66" s="267"/>
      <c r="P66" s="267"/>
      <c r="Q66" s="267"/>
      <c r="R66" s="267"/>
      <c r="S66" s="267"/>
      <c r="T66" s="267"/>
      <c r="U66" s="267"/>
      <c r="V66" s="267"/>
      <c r="W66" s="267"/>
      <c r="X66" s="267"/>
      <c r="AS66" s="425">
        <v>1351177000</v>
      </c>
    </row>
    <row r="67" spans="1:45">
      <c r="AS67" s="108">
        <v>182216361</v>
      </c>
    </row>
    <row r="68" spans="1:45">
      <c r="AS68" s="425">
        <f>AS66-AS67</f>
        <v>1168960639</v>
      </c>
    </row>
    <row r="69" spans="1:45">
      <c r="E69" s="369"/>
      <c r="F69" s="369"/>
      <c r="G69" s="369"/>
      <c r="H69" s="369"/>
      <c r="I69" s="369"/>
      <c r="J69" s="369"/>
      <c r="K69" s="369"/>
      <c r="L69" s="369"/>
      <c r="M69" s="369"/>
      <c r="N69" s="369"/>
      <c r="O69" s="369"/>
      <c r="P69" s="369"/>
      <c r="Q69" s="369"/>
      <c r="R69" s="369"/>
      <c r="S69" s="369"/>
      <c r="T69" s="369"/>
      <c r="U69" s="369"/>
      <c r="V69" s="369"/>
      <c r="W69" s="369"/>
      <c r="X69" s="369"/>
      <c r="Y69" s="369"/>
      <c r="Z69" s="369"/>
      <c r="AA69" s="369"/>
    </row>
    <row r="79" spans="1:45">
      <c r="A79" s="465" t="s">
        <v>324</v>
      </c>
      <c r="B79" s="465" t="s">
        <v>325</v>
      </c>
      <c r="C79" s="465" t="s">
        <v>326</v>
      </c>
    </row>
    <row r="80" spans="1:45" ht="60">
      <c r="A80" s="462">
        <v>33990000</v>
      </c>
      <c r="B80" s="305" t="s">
        <v>327</v>
      </c>
      <c r="C80" s="463">
        <v>4429000</v>
      </c>
    </row>
    <row r="81" spans="1:3" ht="45">
      <c r="A81" s="462">
        <v>56650000</v>
      </c>
      <c r="B81" s="305" t="s">
        <v>328</v>
      </c>
      <c r="C81" s="463">
        <v>7381667</v>
      </c>
    </row>
    <row r="82" spans="1:3" ht="45">
      <c r="A82" s="462">
        <v>56650000</v>
      </c>
      <c r="B82" s="305" t="s">
        <v>329</v>
      </c>
      <c r="C82" s="463">
        <v>7038333</v>
      </c>
    </row>
    <row r="83" spans="1:3" ht="60">
      <c r="A83" s="462">
        <v>56650000</v>
      </c>
      <c r="B83" s="305" t="s">
        <v>330</v>
      </c>
      <c r="C83" s="463">
        <v>6866667</v>
      </c>
    </row>
    <row r="84" spans="1:3" ht="60">
      <c r="A84" s="462">
        <v>56650000</v>
      </c>
      <c r="B84" s="305" t="s">
        <v>331</v>
      </c>
      <c r="C84" s="463">
        <v>7381667</v>
      </c>
    </row>
    <row r="85" spans="1:3" ht="60">
      <c r="A85" s="462">
        <v>56650000</v>
      </c>
      <c r="B85" s="305" t="s">
        <v>332</v>
      </c>
      <c r="C85" s="463">
        <v>8068333</v>
      </c>
    </row>
    <row r="86" spans="1:3" ht="45">
      <c r="A86" s="462">
        <v>56650000</v>
      </c>
      <c r="B86" s="305" t="s">
        <v>333</v>
      </c>
      <c r="C86" s="463">
        <v>6351667</v>
      </c>
    </row>
    <row r="87" spans="1:3" ht="60">
      <c r="A87" s="462">
        <v>56650000</v>
      </c>
      <c r="B87" s="305" t="s">
        <v>334</v>
      </c>
      <c r="C87" s="463">
        <v>7038333</v>
      </c>
    </row>
    <row r="88" spans="1:3" ht="45">
      <c r="A88" s="462">
        <v>56650000</v>
      </c>
      <c r="B88" s="305" t="s">
        <v>335</v>
      </c>
      <c r="C88" s="463">
        <v>7210000</v>
      </c>
    </row>
    <row r="89" spans="1:3" ht="60">
      <c r="A89" s="462">
        <v>56650000</v>
      </c>
      <c r="B89" s="305" t="s">
        <v>336</v>
      </c>
      <c r="C89" s="463">
        <v>5150000</v>
      </c>
    </row>
    <row r="90" spans="1:3" ht="45">
      <c r="A90" s="462">
        <v>56650000</v>
      </c>
      <c r="B90" s="305" t="s">
        <v>337</v>
      </c>
      <c r="C90" s="463">
        <v>7210000</v>
      </c>
    </row>
    <row r="91" spans="1:3">
      <c r="A91" s="464">
        <f>SUM(A80:A90)</f>
        <v>600490000</v>
      </c>
    </row>
    <row r="92" spans="1:3">
      <c r="A92" s="464"/>
      <c r="C92" s="464"/>
    </row>
    <row r="93" spans="1:3">
      <c r="A93" s="1116" t="s">
        <v>338</v>
      </c>
      <c r="B93" s="1116"/>
      <c r="C93" s="464">
        <f>SUM(C80:C90)</f>
        <v>74125667</v>
      </c>
    </row>
    <row r="94" spans="1:3">
      <c r="B94" s="108" t="s">
        <v>339</v>
      </c>
      <c r="C94" s="464">
        <v>19535667</v>
      </c>
    </row>
    <row r="95" spans="1:3">
      <c r="B95" s="108" t="s">
        <v>340</v>
      </c>
      <c r="C95" s="464">
        <f>C93-C94</f>
        <v>54590000</v>
      </c>
    </row>
    <row r="97" spans="1:4">
      <c r="A97" s="1116" t="s">
        <v>341</v>
      </c>
      <c r="B97" s="1116"/>
      <c r="C97" s="464">
        <v>128715667</v>
      </c>
    </row>
    <row r="98" spans="1:4">
      <c r="A98" s="1117" t="s">
        <v>339</v>
      </c>
      <c r="B98" s="1117"/>
      <c r="C98" s="464">
        <v>19535667</v>
      </c>
    </row>
    <row r="99" spans="1:4">
      <c r="A99" s="1117" t="s">
        <v>340</v>
      </c>
      <c r="B99" s="1117"/>
      <c r="C99" s="464">
        <v>54590000</v>
      </c>
    </row>
    <row r="100" spans="1:4">
      <c r="A100" s="1117" t="s">
        <v>342</v>
      </c>
      <c r="B100" s="1117"/>
      <c r="C100" s="464">
        <f>C97-C98-C99</f>
        <v>54590000</v>
      </c>
    </row>
    <row r="102" spans="1:4">
      <c r="A102" s="1116" t="s">
        <v>343</v>
      </c>
      <c r="B102" s="1116"/>
      <c r="C102" s="464">
        <v>178155667</v>
      </c>
    </row>
    <row r="103" spans="1:4">
      <c r="A103" s="1117" t="s">
        <v>339</v>
      </c>
      <c r="B103" s="1117"/>
      <c r="C103" s="464">
        <v>19535667</v>
      </c>
    </row>
    <row r="104" spans="1:4">
      <c r="A104" s="1117" t="s">
        <v>340</v>
      </c>
      <c r="B104" s="1117"/>
      <c r="C104" s="464">
        <v>54590000</v>
      </c>
    </row>
    <row r="105" spans="1:4">
      <c r="A105" s="1117" t="s">
        <v>342</v>
      </c>
      <c r="B105" s="1117"/>
      <c r="C105" s="464">
        <v>54590000</v>
      </c>
    </row>
    <row r="106" spans="1:4">
      <c r="A106" s="1117" t="s">
        <v>344</v>
      </c>
      <c r="B106" s="1117"/>
      <c r="C106" s="464">
        <f>C102-C103-C104-C105</f>
        <v>49440000</v>
      </c>
      <c r="D106" s="464"/>
    </row>
    <row r="107" spans="1:4">
      <c r="A107" s="1117"/>
      <c r="B107" s="1117"/>
      <c r="C107" s="464"/>
    </row>
    <row r="108" spans="1:4">
      <c r="A108" s="1116" t="s">
        <v>345</v>
      </c>
      <c r="B108" s="1116"/>
      <c r="C108" s="464">
        <v>227595667</v>
      </c>
    </row>
    <row r="109" spans="1:4">
      <c r="A109" s="1117" t="s">
        <v>339</v>
      </c>
      <c r="B109" s="1117"/>
      <c r="C109" s="464">
        <v>19535667</v>
      </c>
    </row>
    <row r="110" spans="1:4">
      <c r="A110" s="1117" t="s">
        <v>340</v>
      </c>
      <c r="B110" s="1117"/>
      <c r="C110" s="464">
        <v>54590000</v>
      </c>
    </row>
    <row r="111" spans="1:4">
      <c r="A111" s="1117" t="s">
        <v>342</v>
      </c>
      <c r="B111" s="1117"/>
      <c r="C111" s="464">
        <v>54590000</v>
      </c>
    </row>
    <row r="112" spans="1:4">
      <c r="A112" s="1117" t="s">
        <v>344</v>
      </c>
      <c r="B112" s="1117"/>
      <c r="C112" s="464">
        <v>49440000</v>
      </c>
    </row>
    <row r="113" spans="1:5">
      <c r="A113" s="1117" t="s">
        <v>346</v>
      </c>
      <c r="B113" s="1117"/>
      <c r="C113" s="464">
        <f>C108-C109-C110-C111-C112</f>
        <v>49440000</v>
      </c>
    </row>
    <row r="116" spans="1:5">
      <c r="A116" s="1116" t="s">
        <v>347</v>
      </c>
      <c r="B116" s="1116"/>
      <c r="C116" s="668">
        <v>277035667</v>
      </c>
    </row>
    <row r="117" spans="1:5">
      <c r="A117" s="1117" t="s">
        <v>339</v>
      </c>
      <c r="B117" s="1117"/>
      <c r="C117" s="464">
        <v>19535667</v>
      </c>
      <c r="E117" s="464"/>
    </row>
    <row r="118" spans="1:5">
      <c r="A118" s="1117" t="s">
        <v>340</v>
      </c>
      <c r="B118" s="1117"/>
      <c r="C118" s="464">
        <v>54590000</v>
      </c>
    </row>
    <row r="119" spans="1:5">
      <c r="A119" s="1117" t="s">
        <v>342</v>
      </c>
      <c r="B119" s="1117"/>
      <c r="C119" s="464">
        <v>54590000</v>
      </c>
    </row>
    <row r="120" spans="1:5">
      <c r="A120" s="1117" t="s">
        <v>344</v>
      </c>
      <c r="B120" s="1117"/>
      <c r="C120" s="464">
        <v>49440000</v>
      </c>
    </row>
    <row r="121" spans="1:5">
      <c r="A121" s="1117" t="s">
        <v>346</v>
      </c>
      <c r="B121" s="1117"/>
      <c r="C121" s="464">
        <v>49440000</v>
      </c>
    </row>
    <row r="122" spans="1:5" ht="14.1" customHeight="1">
      <c r="A122" s="1117" t="s">
        <v>348</v>
      </c>
      <c r="B122" s="1117"/>
      <c r="C122" s="464">
        <f>C116-C117-C118-C119-C120-C121</f>
        <v>49440000</v>
      </c>
    </row>
    <row r="125" spans="1:5">
      <c r="A125" s="1116" t="s">
        <v>349</v>
      </c>
      <c r="B125" s="1116"/>
      <c r="C125" s="668">
        <v>326475667</v>
      </c>
    </row>
    <row r="126" spans="1:5">
      <c r="A126" s="1117" t="s">
        <v>339</v>
      </c>
      <c r="B126" s="1117"/>
      <c r="C126" s="464">
        <v>19535667</v>
      </c>
    </row>
    <row r="127" spans="1:5">
      <c r="A127" s="1117" t="s">
        <v>340</v>
      </c>
      <c r="B127" s="1117"/>
      <c r="C127" s="464">
        <v>54590000</v>
      </c>
    </row>
    <row r="128" spans="1:5">
      <c r="A128" s="1117" t="s">
        <v>342</v>
      </c>
      <c r="B128" s="1117"/>
      <c r="C128" s="464">
        <v>54590000</v>
      </c>
    </row>
    <row r="129" spans="1:3">
      <c r="A129" s="1117" t="s">
        <v>344</v>
      </c>
      <c r="B129" s="1117"/>
      <c r="C129" s="464">
        <v>49440000</v>
      </c>
    </row>
    <row r="130" spans="1:3">
      <c r="A130" s="1117" t="s">
        <v>346</v>
      </c>
      <c r="B130" s="1117"/>
      <c r="C130" s="464">
        <v>49440000</v>
      </c>
    </row>
    <row r="131" spans="1:3">
      <c r="A131" s="1117" t="s">
        <v>348</v>
      </c>
      <c r="B131" s="1117"/>
      <c r="C131" s="464">
        <v>49440000</v>
      </c>
    </row>
    <row r="132" spans="1:3">
      <c r="A132" s="1117" t="s">
        <v>350</v>
      </c>
      <c r="B132" s="1117" t="s">
        <v>350</v>
      </c>
      <c r="C132" s="464">
        <f>C125-C126-C127-C128-C129-C130-C131</f>
        <v>49440000</v>
      </c>
    </row>
  </sheetData>
  <mergeCells count="110">
    <mergeCell ref="A121:B121"/>
    <mergeCell ref="A122:B122"/>
    <mergeCell ref="A116:B116"/>
    <mergeCell ref="A117:B117"/>
    <mergeCell ref="A118:B118"/>
    <mergeCell ref="A119:B119"/>
    <mergeCell ref="A120:B120"/>
    <mergeCell ref="A100:B100"/>
    <mergeCell ref="A102:B102"/>
    <mergeCell ref="A103:B103"/>
    <mergeCell ref="A104:B104"/>
    <mergeCell ref="A105:B105"/>
    <mergeCell ref="A106:B106"/>
    <mergeCell ref="A112:B112"/>
    <mergeCell ref="A113:B113"/>
    <mergeCell ref="A107:B107"/>
    <mergeCell ref="A108:B108"/>
    <mergeCell ref="A109:B109"/>
    <mergeCell ref="A110:B110"/>
    <mergeCell ref="A111:B111"/>
    <mergeCell ref="BT38:BU38"/>
    <mergeCell ref="AV38:AW38"/>
    <mergeCell ref="AX38:AZ38"/>
    <mergeCell ref="BA38:BB38"/>
    <mergeCell ref="BC38:BD38"/>
    <mergeCell ref="BE38:BG38"/>
    <mergeCell ref="BH38:BI38"/>
    <mergeCell ref="AA38:AC38"/>
    <mergeCell ref="AD38:AE38"/>
    <mergeCell ref="AF38:AK38"/>
    <mergeCell ref="AL38:AQ38"/>
    <mergeCell ref="AS38:AS39"/>
    <mergeCell ref="AT38:AU38"/>
    <mergeCell ref="BN38:BO38"/>
    <mergeCell ref="BP38:BQ38"/>
    <mergeCell ref="BR38:BS38"/>
    <mergeCell ref="M38:O38"/>
    <mergeCell ref="P38:Q38"/>
    <mergeCell ref="R38:S38"/>
    <mergeCell ref="T38:V38"/>
    <mergeCell ref="W38:X38"/>
    <mergeCell ref="Y38:Z38"/>
    <mergeCell ref="I38:J38"/>
    <mergeCell ref="BE9:BG9"/>
    <mergeCell ref="BH9:BI9"/>
    <mergeCell ref="T9:V9"/>
    <mergeCell ref="A93:B93"/>
    <mergeCell ref="A97:B97"/>
    <mergeCell ref="A98:B98"/>
    <mergeCell ref="A99:B99"/>
    <mergeCell ref="BJ38:BK38"/>
    <mergeCell ref="BL38:BM38"/>
    <mergeCell ref="A38:A39"/>
    <mergeCell ref="B6:CB6"/>
    <mergeCell ref="AA9:AC9"/>
    <mergeCell ref="AD9:AE9"/>
    <mergeCell ref="AF9:AK9"/>
    <mergeCell ref="AL9:AQ9"/>
    <mergeCell ref="AS9:AS10"/>
    <mergeCell ref="AT9:AU9"/>
    <mergeCell ref="Y9:Z9"/>
    <mergeCell ref="A9:A10"/>
    <mergeCell ref="B9:C9"/>
    <mergeCell ref="D9:E9"/>
    <mergeCell ref="F9:H9"/>
    <mergeCell ref="I9:J9"/>
    <mergeCell ref="K9:L9"/>
    <mergeCell ref="M9:O9"/>
    <mergeCell ref="P9:Q9"/>
    <mergeCell ref="R9:S9"/>
    <mergeCell ref="BV9:CA9"/>
    <mergeCell ref="CB9:CG9"/>
    <mergeCell ref="BJ9:BK9"/>
    <mergeCell ref="BL9:BM9"/>
    <mergeCell ref="BN9:BO9"/>
    <mergeCell ref="BP9:BQ9"/>
    <mergeCell ref="A1:BY1"/>
    <mergeCell ref="BZ1:CB1"/>
    <mergeCell ref="A2:BY2"/>
    <mergeCell ref="BZ2:CB2"/>
    <mergeCell ref="A3:BY3"/>
    <mergeCell ref="BZ3:CB3"/>
    <mergeCell ref="A4:BY4"/>
    <mergeCell ref="BZ4:CB4"/>
    <mergeCell ref="A5:AM5"/>
    <mergeCell ref="AO5:CB5"/>
    <mergeCell ref="A125:B125"/>
    <mergeCell ref="A126:B126"/>
    <mergeCell ref="A127:B127"/>
    <mergeCell ref="A128:B128"/>
    <mergeCell ref="A129:B129"/>
    <mergeCell ref="A130:B130"/>
    <mergeCell ref="A131:B131"/>
    <mergeCell ref="A132:B132"/>
    <mergeCell ref="B7:CB7"/>
    <mergeCell ref="B35:CB35"/>
    <mergeCell ref="B36:CB36"/>
    <mergeCell ref="K38:L38"/>
    <mergeCell ref="BR9:BS9"/>
    <mergeCell ref="BT9:BU9"/>
    <mergeCell ref="AV9:AW9"/>
    <mergeCell ref="AX9:AZ9"/>
    <mergeCell ref="BA9:BB9"/>
    <mergeCell ref="BC9:BD9"/>
    <mergeCell ref="W9:X9"/>
    <mergeCell ref="BV38:CA38"/>
    <mergeCell ref="CB38:CG38"/>
    <mergeCell ref="B38:C38"/>
    <mergeCell ref="D38:E38"/>
    <mergeCell ref="F38:H38"/>
  </mergeCells>
  <printOptions horizontalCentered="1"/>
  <pageMargins left="0.19685039370078741" right="0.19685039370078741" top="0.19685039370078741" bottom="0.19685039370078741" header="0" footer="0"/>
  <pageSetup scale="25"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AX30"/>
  <sheetViews>
    <sheetView view="pageBreakPreview" zoomScale="75" zoomScaleNormal="75" zoomScaleSheetLayoutView="75" workbookViewId="0">
      <selection activeCell="H26" sqref="A25:H26"/>
    </sheetView>
  </sheetViews>
  <sheetFormatPr baseColWidth="10" defaultColWidth="10.85546875" defaultRowHeight="15"/>
  <cols>
    <col min="1" max="1" width="10.140625" style="108" customWidth="1"/>
    <col min="2" max="2" width="10" style="108" customWidth="1"/>
    <col min="3" max="3" width="17.28515625" style="108" customWidth="1"/>
    <col min="4" max="6" width="8.28515625" style="108" customWidth="1"/>
    <col min="7" max="7" width="14.7109375" style="108" customWidth="1"/>
    <col min="8" max="8" width="20.140625" style="108" customWidth="1"/>
    <col min="9" max="9" width="22.42578125" style="108" customWidth="1"/>
    <col min="10" max="10" width="26.5703125" style="108" customWidth="1"/>
    <col min="11" max="13" width="11" style="108" customWidth="1"/>
    <col min="14" max="14" width="11.7109375" style="108" customWidth="1"/>
    <col min="15" max="19" width="8.140625" style="108" customWidth="1"/>
    <col min="20" max="20" width="8.5703125" style="108" customWidth="1"/>
    <col min="21" max="21" width="14" style="126" customWidth="1"/>
    <col min="22" max="24" width="9.85546875" style="267" bestFit="1" customWidth="1"/>
    <col min="25" max="33" width="9.85546875" style="267" customWidth="1"/>
    <col min="34" max="34" width="5.85546875" style="267" customWidth="1"/>
    <col min="35" max="35" width="8.140625" style="267" bestFit="1" customWidth="1"/>
    <col min="36" max="36" width="6.5703125" style="267" customWidth="1"/>
    <col min="37" max="38" width="5.85546875" style="267" customWidth="1"/>
    <col min="39" max="39" width="5.85546875" style="640" customWidth="1"/>
    <col min="40" max="45" width="5.85546875" style="267" customWidth="1"/>
    <col min="46" max="46" width="9.5703125" style="267" customWidth="1"/>
    <col min="47" max="47" width="9.5703125" style="108" customWidth="1"/>
    <col min="48" max="48" width="145.5703125" style="126" customWidth="1"/>
    <col min="49" max="50" width="34.5703125" style="108" customWidth="1"/>
    <col min="51" max="16384" width="10.85546875" style="108"/>
  </cols>
  <sheetData>
    <row r="1" spans="1:50" ht="18.75" customHeight="1">
      <c r="A1" s="1162" t="s">
        <v>0</v>
      </c>
      <c r="B1" s="1163"/>
      <c r="C1" s="1163"/>
      <c r="D1" s="1163"/>
      <c r="E1" s="1163"/>
      <c r="F1" s="1163"/>
      <c r="G1" s="1163"/>
      <c r="H1" s="1163"/>
      <c r="I1" s="1163"/>
      <c r="J1" s="1163"/>
      <c r="K1" s="1163"/>
      <c r="L1" s="1163"/>
      <c r="M1" s="1163"/>
      <c r="N1" s="1163"/>
      <c r="O1" s="1163"/>
      <c r="P1" s="1163"/>
      <c r="Q1" s="1163"/>
      <c r="R1" s="1163"/>
      <c r="S1" s="1163"/>
      <c r="T1" s="1163"/>
      <c r="U1" s="1163"/>
      <c r="V1" s="1163"/>
      <c r="W1" s="1163"/>
      <c r="X1" s="1163"/>
      <c r="Y1" s="1163"/>
      <c r="Z1" s="1163"/>
      <c r="AA1" s="1163"/>
      <c r="AB1" s="1163"/>
      <c r="AC1" s="1163"/>
      <c r="AD1" s="1163"/>
      <c r="AE1" s="1163"/>
      <c r="AF1" s="1163"/>
      <c r="AG1" s="1163"/>
      <c r="AH1" s="1163"/>
      <c r="AI1" s="1163"/>
      <c r="AJ1" s="1163"/>
      <c r="AK1" s="1163"/>
      <c r="AL1" s="1163"/>
      <c r="AM1" s="1163"/>
      <c r="AN1" s="1163"/>
      <c r="AO1" s="1163"/>
      <c r="AP1" s="1163"/>
      <c r="AQ1" s="1163"/>
      <c r="AR1" s="1163"/>
      <c r="AS1" s="1163"/>
      <c r="AT1" s="1163"/>
      <c r="AU1" s="1163"/>
      <c r="AV1" s="1164"/>
      <c r="AW1" s="787" t="s">
        <v>1</v>
      </c>
      <c r="AX1" s="789"/>
    </row>
    <row r="2" spans="1:50" ht="18.75" customHeight="1">
      <c r="A2" s="1149" t="s">
        <v>2</v>
      </c>
      <c r="B2" s="1150"/>
      <c r="C2" s="1150"/>
      <c r="D2" s="1150"/>
      <c r="E2" s="1150"/>
      <c r="F2" s="1150"/>
      <c r="G2" s="1150"/>
      <c r="H2" s="1150"/>
      <c r="I2" s="1150"/>
      <c r="J2" s="1150"/>
      <c r="K2" s="1150"/>
      <c r="L2" s="1150"/>
      <c r="M2" s="1150"/>
      <c r="N2" s="1150"/>
      <c r="O2" s="1150"/>
      <c r="P2" s="1150"/>
      <c r="Q2" s="1150"/>
      <c r="R2" s="1150"/>
      <c r="S2" s="1150"/>
      <c r="T2" s="1150"/>
      <c r="U2" s="1150"/>
      <c r="V2" s="1150"/>
      <c r="W2" s="1150"/>
      <c r="X2" s="1150"/>
      <c r="Y2" s="1150"/>
      <c r="Z2" s="1150"/>
      <c r="AA2" s="1150"/>
      <c r="AB2" s="1150"/>
      <c r="AC2" s="1150"/>
      <c r="AD2" s="1150"/>
      <c r="AE2" s="1150"/>
      <c r="AF2" s="1150"/>
      <c r="AG2" s="1150"/>
      <c r="AH2" s="1150"/>
      <c r="AI2" s="1150"/>
      <c r="AJ2" s="1150"/>
      <c r="AK2" s="1150"/>
      <c r="AL2" s="1150"/>
      <c r="AM2" s="1150"/>
      <c r="AN2" s="1150"/>
      <c r="AO2" s="1150"/>
      <c r="AP2" s="1150"/>
      <c r="AQ2" s="1150"/>
      <c r="AR2" s="1150"/>
      <c r="AS2" s="1150"/>
      <c r="AT2" s="1150"/>
      <c r="AU2" s="1150"/>
      <c r="AV2" s="1151"/>
      <c r="AW2" s="793" t="s">
        <v>3</v>
      </c>
      <c r="AX2" s="795"/>
    </row>
    <row r="3" spans="1:50" ht="18" customHeight="1">
      <c r="A3" s="1152" t="s">
        <v>351</v>
      </c>
      <c r="B3" s="1153"/>
      <c r="C3" s="1153"/>
      <c r="D3" s="1153"/>
      <c r="E3" s="1153"/>
      <c r="F3" s="1153"/>
      <c r="G3" s="1153"/>
      <c r="H3" s="1153"/>
      <c r="I3" s="1153"/>
      <c r="J3" s="1153"/>
      <c r="K3" s="1153"/>
      <c r="L3" s="1153"/>
      <c r="M3" s="1153"/>
      <c r="N3" s="1153"/>
      <c r="O3" s="1153"/>
      <c r="P3" s="1153"/>
      <c r="Q3" s="1153"/>
      <c r="R3" s="1153"/>
      <c r="S3" s="1153"/>
      <c r="T3" s="1153"/>
      <c r="U3" s="1153"/>
      <c r="V3" s="1153"/>
      <c r="W3" s="1153"/>
      <c r="X3" s="1153"/>
      <c r="Y3" s="1153"/>
      <c r="Z3" s="1153"/>
      <c r="AA3" s="1153"/>
      <c r="AB3" s="1153"/>
      <c r="AC3" s="1153"/>
      <c r="AD3" s="1153"/>
      <c r="AE3" s="1153"/>
      <c r="AF3" s="1153"/>
      <c r="AG3" s="1153"/>
      <c r="AH3" s="1153"/>
      <c r="AI3" s="1153"/>
      <c r="AJ3" s="1153"/>
      <c r="AK3" s="1153"/>
      <c r="AL3" s="1153"/>
      <c r="AM3" s="1153"/>
      <c r="AN3" s="1153"/>
      <c r="AO3" s="1153"/>
      <c r="AP3" s="1153"/>
      <c r="AQ3" s="1153"/>
      <c r="AR3" s="1153"/>
      <c r="AS3" s="1153"/>
      <c r="AT3" s="1153"/>
      <c r="AU3" s="1153"/>
      <c r="AV3" s="1154"/>
      <c r="AW3" s="793" t="s">
        <v>5</v>
      </c>
      <c r="AX3" s="795"/>
    </row>
    <row r="4" spans="1:50" ht="18" customHeight="1">
      <c r="A4" s="1155"/>
      <c r="B4" s="1156"/>
      <c r="C4" s="1156"/>
      <c r="D4" s="1156"/>
      <c r="E4" s="1156"/>
      <c r="F4" s="1156"/>
      <c r="G4" s="1156"/>
      <c r="H4" s="1156"/>
      <c r="I4" s="1156"/>
      <c r="J4" s="1156"/>
      <c r="K4" s="1156"/>
      <c r="L4" s="1156"/>
      <c r="M4" s="1156"/>
      <c r="N4" s="1156"/>
      <c r="O4" s="1156"/>
      <c r="P4" s="1156"/>
      <c r="Q4" s="1156"/>
      <c r="R4" s="1156"/>
      <c r="S4" s="1156"/>
      <c r="T4" s="1156"/>
      <c r="U4" s="1156"/>
      <c r="V4" s="1156"/>
      <c r="W4" s="1156"/>
      <c r="X4" s="1156"/>
      <c r="Y4" s="1156"/>
      <c r="Z4" s="1156"/>
      <c r="AA4" s="1156"/>
      <c r="AB4" s="1156"/>
      <c r="AC4" s="1156"/>
      <c r="AD4" s="1156"/>
      <c r="AE4" s="1156"/>
      <c r="AF4" s="1156"/>
      <c r="AG4" s="1156"/>
      <c r="AH4" s="1156"/>
      <c r="AI4" s="1156"/>
      <c r="AJ4" s="1156"/>
      <c r="AK4" s="1156"/>
      <c r="AL4" s="1156"/>
      <c r="AM4" s="1156"/>
      <c r="AN4" s="1156"/>
      <c r="AO4" s="1156"/>
      <c r="AP4" s="1156"/>
      <c r="AQ4" s="1156"/>
      <c r="AR4" s="1156"/>
      <c r="AS4" s="1156"/>
      <c r="AT4" s="1156"/>
      <c r="AU4" s="1156"/>
      <c r="AV4" s="1157"/>
      <c r="AW4" s="1160" t="s">
        <v>352</v>
      </c>
      <c r="AX4" s="1161"/>
    </row>
    <row r="5" spans="1:50" ht="15" customHeight="1">
      <c r="A5" s="1251" t="s">
        <v>272</v>
      </c>
      <c r="B5" s="1252"/>
      <c r="C5" s="1252"/>
      <c r="D5" s="1252"/>
      <c r="E5" s="1252"/>
      <c r="F5" s="1252"/>
      <c r="G5" s="1252"/>
      <c r="H5" s="1252"/>
      <c r="I5" s="1252"/>
      <c r="J5" s="1252"/>
      <c r="K5" s="1252"/>
      <c r="L5" s="1252"/>
      <c r="M5" s="1252"/>
      <c r="N5" s="1252"/>
      <c r="O5" s="1252"/>
      <c r="P5" s="1252"/>
      <c r="Q5" s="1252"/>
      <c r="R5" s="1252"/>
      <c r="S5" s="1252"/>
      <c r="T5" s="1252"/>
      <c r="U5" s="1252"/>
      <c r="V5" s="1252"/>
      <c r="W5" s="1252"/>
      <c r="X5" s="1252"/>
      <c r="Y5" s="1252"/>
      <c r="Z5" s="1252"/>
      <c r="AA5" s="1252"/>
      <c r="AB5" s="1252"/>
      <c r="AC5" s="1252"/>
      <c r="AD5" s="1252"/>
      <c r="AE5" s="1252"/>
      <c r="AF5" s="1252"/>
      <c r="AG5" s="1253"/>
      <c r="AH5" s="1173" t="s">
        <v>13</v>
      </c>
      <c r="AI5" s="1174"/>
      <c r="AJ5" s="1174"/>
      <c r="AK5" s="1174"/>
      <c r="AL5" s="1174"/>
      <c r="AM5" s="1174"/>
      <c r="AN5" s="1174"/>
      <c r="AO5" s="1174"/>
      <c r="AP5" s="1174"/>
      <c r="AQ5" s="1174"/>
      <c r="AR5" s="1174"/>
      <c r="AS5" s="1174"/>
      <c r="AT5" s="1174"/>
      <c r="AU5" s="1175"/>
      <c r="AV5" s="1169" t="s">
        <v>353</v>
      </c>
      <c r="AW5" s="1169" t="s">
        <v>354</v>
      </c>
      <c r="AX5" s="1165" t="s">
        <v>355</v>
      </c>
    </row>
    <row r="6" spans="1:50" ht="15" customHeight="1">
      <c r="A6" s="1254" t="s">
        <v>9</v>
      </c>
      <c r="B6" s="1255"/>
      <c r="C6" s="1255"/>
      <c r="D6" s="1256">
        <v>44806</v>
      </c>
      <c r="E6" s="1257"/>
      <c r="F6" s="1255" t="s">
        <v>10</v>
      </c>
      <c r="G6" s="1255"/>
      <c r="H6" s="1168" t="s">
        <v>11</v>
      </c>
      <c r="I6" s="1168"/>
      <c r="J6" s="110"/>
      <c r="K6" s="1173"/>
      <c r="L6" s="1174"/>
      <c r="M6" s="1174"/>
      <c r="N6" s="1174"/>
      <c r="O6" s="1174"/>
      <c r="P6" s="1174"/>
      <c r="Q6" s="1174"/>
      <c r="R6" s="1174"/>
      <c r="S6" s="1174"/>
      <c r="T6" s="1174"/>
      <c r="U6" s="1174"/>
      <c r="V6" s="448"/>
      <c r="W6" s="448"/>
      <c r="X6" s="448"/>
      <c r="Y6" s="448"/>
      <c r="Z6" s="448"/>
      <c r="AA6" s="448"/>
      <c r="AB6" s="448"/>
      <c r="AC6" s="778"/>
      <c r="AD6" s="448"/>
      <c r="AE6" s="448"/>
      <c r="AF6" s="448"/>
      <c r="AG6" s="449"/>
      <c r="AH6" s="1176"/>
      <c r="AI6" s="1177"/>
      <c r="AJ6" s="1177"/>
      <c r="AK6" s="1177"/>
      <c r="AL6" s="1177"/>
      <c r="AM6" s="1177"/>
      <c r="AN6" s="1177"/>
      <c r="AO6" s="1177"/>
      <c r="AP6" s="1177"/>
      <c r="AQ6" s="1177"/>
      <c r="AR6" s="1177"/>
      <c r="AS6" s="1177"/>
      <c r="AT6" s="1177"/>
      <c r="AU6" s="1178"/>
      <c r="AV6" s="1170"/>
      <c r="AW6" s="1170"/>
      <c r="AX6" s="1166"/>
    </row>
    <row r="7" spans="1:50" ht="15" customHeight="1">
      <c r="A7" s="1254"/>
      <c r="B7" s="1255"/>
      <c r="C7" s="1255"/>
      <c r="D7" s="1257"/>
      <c r="E7" s="1257"/>
      <c r="F7" s="1255"/>
      <c r="G7" s="1255"/>
      <c r="H7" s="1168" t="s">
        <v>12</v>
      </c>
      <c r="I7" s="1168"/>
      <c r="J7" s="110"/>
      <c r="K7" s="1176"/>
      <c r="L7" s="1177"/>
      <c r="M7" s="1177"/>
      <c r="N7" s="1177"/>
      <c r="O7" s="1177"/>
      <c r="P7" s="1177"/>
      <c r="Q7" s="1177"/>
      <c r="R7" s="1177"/>
      <c r="S7" s="1177"/>
      <c r="T7" s="1177"/>
      <c r="U7" s="1177"/>
      <c r="V7" s="487"/>
      <c r="W7" s="487"/>
      <c r="X7" s="487"/>
      <c r="Y7" s="487"/>
      <c r="Z7" s="487"/>
      <c r="AA7" s="487"/>
      <c r="AB7" s="487"/>
      <c r="AC7" s="779"/>
      <c r="AD7" s="487"/>
      <c r="AE7" s="487"/>
      <c r="AF7" s="487"/>
      <c r="AG7" s="450"/>
      <c r="AH7" s="1176"/>
      <c r="AI7" s="1177"/>
      <c r="AJ7" s="1177"/>
      <c r="AK7" s="1177"/>
      <c r="AL7" s="1177"/>
      <c r="AM7" s="1177"/>
      <c r="AN7" s="1177"/>
      <c r="AO7" s="1177"/>
      <c r="AP7" s="1177"/>
      <c r="AQ7" s="1177"/>
      <c r="AR7" s="1177"/>
      <c r="AS7" s="1177"/>
      <c r="AT7" s="1177"/>
      <c r="AU7" s="1178"/>
      <c r="AV7" s="1170"/>
      <c r="AW7" s="1170"/>
      <c r="AX7" s="1166"/>
    </row>
    <row r="8" spans="1:50" ht="15" customHeight="1">
      <c r="A8" s="1254"/>
      <c r="B8" s="1255"/>
      <c r="C8" s="1255"/>
      <c r="D8" s="1257"/>
      <c r="E8" s="1257"/>
      <c r="F8" s="1255"/>
      <c r="G8" s="1255"/>
      <c r="H8" s="1168" t="s">
        <v>13</v>
      </c>
      <c r="I8" s="1168"/>
      <c r="J8" s="110" t="s">
        <v>14</v>
      </c>
      <c r="K8" s="1179"/>
      <c r="L8" s="1180"/>
      <c r="M8" s="1180"/>
      <c r="N8" s="1180"/>
      <c r="O8" s="1180"/>
      <c r="P8" s="1180"/>
      <c r="Q8" s="1180"/>
      <c r="R8" s="1180"/>
      <c r="S8" s="1180"/>
      <c r="T8" s="1180"/>
      <c r="U8" s="1180"/>
      <c r="V8" s="451"/>
      <c r="W8" s="451"/>
      <c r="X8" s="451"/>
      <c r="Y8" s="451"/>
      <c r="Z8" s="451"/>
      <c r="AA8" s="451"/>
      <c r="AB8" s="451"/>
      <c r="AC8" s="780"/>
      <c r="AD8" s="451"/>
      <c r="AE8" s="451"/>
      <c r="AF8" s="451"/>
      <c r="AG8" s="452"/>
      <c r="AH8" s="1176"/>
      <c r="AI8" s="1177"/>
      <c r="AJ8" s="1177"/>
      <c r="AK8" s="1177"/>
      <c r="AL8" s="1177"/>
      <c r="AM8" s="1177"/>
      <c r="AN8" s="1177"/>
      <c r="AO8" s="1177"/>
      <c r="AP8" s="1177"/>
      <c r="AQ8" s="1177"/>
      <c r="AR8" s="1177"/>
      <c r="AS8" s="1177"/>
      <c r="AT8" s="1177"/>
      <c r="AU8" s="1178"/>
      <c r="AV8" s="1170"/>
      <c r="AW8" s="1170"/>
      <c r="AX8" s="1166"/>
    </row>
    <row r="9" spans="1:50" ht="15" customHeight="1">
      <c r="A9" s="1248" t="s">
        <v>356</v>
      </c>
      <c r="B9" s="1249"/>
      <c r="C9" s="1250"/>
      <c r="D9" s="1181" t="s">
        <v>357</v>
      </c>
      <c r="E9" s="1182"/>
      <c r="F9" s="1182"/>
      <c r="G9" s="1182"/>
      <c r="H9" s="1182"/>
      <c r="I9" s="1182"/>
      <c r="J9" s="1182"/>
      <c r="K9" s="1183"/>
      <c r="L9" s="1183"/>
      <c r="M9" s="1183"/>
      <c r="N9" s="1183"/>
      <c r="O9" s="1183"/>
      <c r="P9" s="1183"/>
      <c r="Q9" s="1183"/>
      <c r="R9" s="1183"/>
      <c r="S9" s="1183"/>
      <c r="T9" s="1183"/>
      <c r="U9" s="1183"/>
      <c r="V9" s="1183"/>
      <c r="W9" s="1183"/>
      <c r="X9" s="1183"/>
      <c r="Y9" s="1183"/>
      <c r="Z9" s="1183"/>
      <c r="AA9" s="1183"/>
      <c r="AB9" s="1183"/>
      <c r="AC9" s="1183"/>
      <c r="AD9" s="1183"/>
      <c r="AE9" s="1183"/>
      <c r="AF9" s="1183"/>
      <c r="AG9" s="1184"/>
      <c r="AH9" s="1176"/>
      <c r="AI9" s="1177"/>
      <c r="AJ9" s="1177"/>
      <c r="AK9" s="1177"/>
      <c r="AL9" s="1177"/>
      <c r="AM9" s="1177"/>
      <c r="AN9" s="1177"/>
      <c r="AO9" s="1177"/>
      <c r="AP9" s="1177"/>
      <c r="AQ9" s="1177"/>
      <c r="AR9" s="1177"/>
      <c r="AS9" s="1177"/>
      <c r="AT9" s="1177"/>
      <c r="AU9" s="1178"/>
      <c r="AV9" s="1170"/>
      <c r="AW9" s="1170"/>
      <c r="AX9" s="1166"/>
    </row>
    <row r="10" spans="1:50" ht="15" customHeight="1" thickBot="1">
      <c r="A10" s="1219" t="s">
        <v>358</v>
      </c>
      <c r="B10" s="1220"/>
      <c r="C10" s="1221"/>
      <c r="D10" s="1222" t="s">
        <v>359</v>
      </c>
      <c r="E10" s="1183"/>
      <c r="F10" s="1183"/>
      <c r="G10" s="1183"/>
      <c r="H10" s="1183"/>
      <c r="I10" s="1183"/>
      <c r="J10" s="1183"/>
      <c r="K10" s="1183"/>
      <c r="L10" s="1183"/>
      <c r="M10" s="1183"/>
      <c r="N10" s="1183"/>
      <c r="O10" s="1183"/>
      <c r="P10" s="1183"/>
      <c r="Q10" s="1183"/>
      <c r="R10" s="1183"/>
      <c r="S10" s="1183"/>
      <c r="T10" s="1183"/>
      <c r="U10" s="1183"/>
      <c r="V10" s="1223"/>
      <c r="W10" s="1223"/>
      <c r="X10" s="1223"/>
      <c r="Y10" s="1223"/>
      <c r="Z10" s="1223"/>
      <c r="AA10" s="1223"/>
      <c r="AB10" s="1223"/>
      <c r="AC10" s="1223"/>
      <c r="AD10" s="1223"/>
      <c r="AE10" s="1223"/>
      <c r="AF10" s="1223"/>
      <c r="AG10" s="1224"/>
      <c r="AH10" s="1179"/>
      <c r="AI10" s="1180"/>
      <c r="AJ10" s="1180"/>
      <c r="AK10" s="1180"/>
      <c r="AL10" s="1180"/>
      <c r="AM10" s="1180"/>
      <c r="AN10" s="1180"/>
      <c r="AO10" s="1180"/>
      <c r="AP10" s="1180"/>
      <c r="AQ10" s="1180"/>
      <c r="AR10" s="1180"/>
      <c r="AS10" s="1180"/>
      <c r="AT10" s="1177"/>
      <c r="AU10" s="1178"/>
      <c r="AV10" s="1170"/>
      <c r="AW10" s="1170"/>
      <c r="AX10" s="1166"/>
    </row>
    <row r="11" spans="1:50" ht="39.950000000000003" customHeight="1">
      <c r="A11" s="1246" t="s">
        <v>360</v>
      </c>
      <c r="B11" s="1245"/>
      <c r="C11" s="1245"/>
      <c r="D11" s="1245"/>
      <c r="E11" s="1245"/>
      <c r="F11" s="1186"/>
      <c r="G11" s="1185" t="s">
        <v>361</v>
      </c>
      <c r="H11" s="1186"/>
      <c r="I11" s="1169" t="s">
        <v>362</v>
      </c>
      <c r="J11" s="1169" t="s">
        <v>363</v>
      </c>
      <c r="K11" s="1169" t="s">
        <v>364</v>
      </c>
      <c r="L11" s="1169" t="s">
        <v>365</v>
      </c>
      <c r="M11" s="1169" t="s">
        <v>366</v>
      </c>
      <c r="N11" s="1169" t="s">
        <v>367</v>
      </c>
      <c r="O11" s="1185" t="s">
        <v>368</v>
      </c>
      <c r="P11" s="1245"/>
      <c r="Q11" s="1245"/>
      <c r="R11" s="1245"/>
      <c r="S11" s="1186"/>
      <c r="T11" s="1169" t="s">
        <v>369</v>
      </c>
      <c r="U11" s="1243" t="s">
        <v>370</v>
      </c>
      <c r="V11" s="1197" t="s">
        <v>371</v>
      </c>
      <c r="W11" s="1198"/>
      <c r="X11" s="1198"/>
      <c r="Y11" s="1198"/>
      <c r="Z11" s="1198"/>
      <c r="AA11" s="1198"/>
      <c r="AB11" s="1198"/>
      <c r="AC11" s="1198"/>
      <c r="AD11" s="1198"/>
      <c r="AE11" s="1198"/>
      <c r="AF11" s="1198"/>
      <c r="AG11" s="1199"/>
      <c r="AH11" s="1190" t="s">
        <v>372</v>
      </c>
      <c r="AI11" s="1191"/>
      <c r="AJ11" s="1191"/>
      <c r="AK11" s="1191"/>
      <c r="AL11" s="1191"/>
      <c r="AM11" s="1191"/>
      <c r="AN11" s="1191"/>
      <c r="AO11" s="1191"/>
      <c r="AP11" s="1191"/>
      <c r="AQ11" s="1191"/>
      <c r="AR11" s="1191"/>
      <c r="AS11" s="1192"/>
      <c r="AT11" s="1158" t="s">
        <v>41</v>
      </c>
      <c r="AU11" s="1159"/>
      <c r="AV11" s="1171"/>
      <c r="AW11" s="1170"/>
      <c r="AX11" s="1166"/>
    </row>
    <row r="12" spans="1:50" ht="42.75">
      <c r="A12" s="381" t="s">
        <v>373</v>
      </c>
      <c r="B12" s="109" t="s">
        <v>374</v>
      </c>
      <c r="C12" s="109" t="s">
        <v>375</v>
      </c>
      <c r="D12" s="109" t="s">
        <v>376</v>
      </c>
      <c r="E12" s="109" t="s">
        <v>377</v>
      </c>
      <c r="F12" s="109" t="s">
        <v>378</v>
      </c>
      <c r="G12" s="109" t="s">
        <v>379</v>
      </c>
      <c r="H12" s="109" t="s">
        <v>380</v>
      </c>
      <c r="I12" s="1170"/>
      <c r="J12" s="1170"/>
      <c r="K12" s="1196"/>
      <c r="L12" s="1196"/>
      <c r="M12" s="1196"/>
      <c r="N12" s="1196"/>
      <c r="O12" s="109">
        <v>2020</v>
      </c>
      <c r="P12" s="109">
        <v>2021</v>
      </c>
      <c r="Q12" s="109">
        <v>2022</v>
      </c>
      <c r="R12" s="109">
        <v>2023</v>
      </c>
      <c r="S12" s="109">
        <v>2024</v>
      </c>
      <c r="T12" s="1196"/>
      <c r="U12" s="1244"/>
      <c r="V12" s="453" t="s">
        <v>30</v>
      </c>
      <c r="W12" s="454" t="s">
        <v>31</v>
      </c>
      <c r="X12" s="454" t="s">
        <v>32</v>
      </c>
      <c r="Y12" s="454" t="s">
        <v>33</v>
      </c>
      <c r="Z12" s="454" t="s">
        <v>34</v>
      </c>
      <c r="AA12" s="454" t="s">
        <v>35</v>
      </c>
      <c r="AB12" s="454" t="s">
        <v>36</v>
      </c>
      <c r="AC12" s="454" t="s">
        <v>8</v>
      </c>
      <c r="AD12" s="454" t="s">
        <v>37</v>
      </c>
      <c r="AE12" s="454" t="s">
        <v>38</v>
      </c>
      <c r="AF12" s="454" t="s">
        <v>39</v>
      </c>
      <c r="AG12" s="455" t="s">
        <v>40</v>
      </c>
      <c r="AH12" s="456" t="s">
        <v>30</v>
      </c>
      <c r="AI12" s="457" t="s">
        <v>31</v>
      </c>
      <c r="AJ12" s="457" t="s">
        <v>32</v>
      </c>
      <c r="AK12" s="457" t="s">
        <v>33</v>
      </c>
      <c r="AL12" s="457" t="s">
        <v>34</v>
      </c>
      <c r="AM12" s="457" t="s">
        <v>35</v>
      </c>
      <c r="AN12" s="457" t="s">
        <v>36</v>
      </c>
      <c r="AO12" s="457" t="s">
        <v>8</v>
      </c>
      <c r="AP12" s="457" t="s">
        <v>37</v>
      </c>
      <c r="AQ12" s="457" t="s">
        <v>38</v>
      </c>
      <c r="AR12" s="457" t="s">
        <v>39</v>
      </c>
      <c r="AS12" s="458" t="s">
        <v>40</v>
      </c>
      <c r="AT12" s="485" t="s">
        <v>381</v>
      </c>
      <c r="AU12" s="486" t="s">
        <v>382</v>
      </c>
      <c r="AV12" s="1172"/>
      <c r="AW12" s="1196"/>
      <c r="AX12" s="1167"/>
    </row>
    <row r="13" spans="1:50" s="692" customFormat="1" ht="50.1" customHeight="1">
      <c r="A13" s="679">
        <v>9</v>
      </c>
      <c r="B13" s="680"/>
      <c r="C13" s="680"/>
      <c r="D13" s="680">
        <v>29</v>
      </c>
      <c r="E13" s="680"/>
      <c r="F13" s="680"/>
      <c r="G13" s="681"/>
      <c r="H13" s="681"/>
      <c r="I13" s="681" t="s">
        <v>383</v>
      </c>
      <c r="J13" s="682" t="s">
        <v>384</v>
      </c>
      <c r="K13" s="683" t="s">
        <v>385</v>
      </c>
      <c r="L13" s="680">
        <v>26100</v>
      </c>
      <c r="M13" s="683" t="s">
        <v>386</v>
      </c>
      <c r="N13" s="683" t="s">
        <v>387</v>
      </c>
      <c r="O13" s="684">
        <v>2000</v>
      </c>
      <c r="P13" s="684">
        <v>7000</v>
      </c>
      <c r="Q13" s="684">
        <v>7000</v>
      </c>
      <c r="R13" s="684">
        <v>7000</v>
      </c>
      <c r="S13" s="684">
        <v>3100</v>
      </c>
      <c r="T13" s="685" t="s">
        <v>388</v>
      </c>
      <c r="U13" s="686" t="s">
        <v>389</v>
      </c>
      <c r="V13" s="687">
        <v>0</v>
      </c>
      <c r="W13" s="660">
        <v>500</v>
      </c>
      <c r="X13" s="660">
        <v>700</v>
      </c>
      <c r="Y13" s="660">
        <v>700</v>
      </c>
      <c r="Z13" s="660">
        <v>700</v>
      </c>
      <c r="AA13" s="660">
        <v>700</v>
      </c>
      <c r="AB13" s="660">
        <v>700</v>
      </c>
      <c r="AC13" s="660">
        <v>700</v>
      </c>
      <c r="AD13" s="660">
        <v>700</v>
      </c>
      <c r="AE13" s="660">
        <v>700</v>
      </c>
      <c r="AF13" s="660">
        <v>700</v>
      </c>
      <c r="AG13" s="688">
        <v>200</v>
      </c>
      <c r="AH13" s="687">
        <v>0</v>
      </c>
      <c r="AI13" s="689">
        <v>531</v>
      </c>
      <c r="AJ13" s="660">
        <v>950</v>
      </c>
      <c r="AK13" s="660">
        <v>740</v>
      </c>
      <c r="AL13" s="660">
        <v>922</v>
      </c>
      <c r="AM13" s="660">
        <v>701</v>
      </c>
      <c r="AN13" s="660">
        <v>738</v>
      </c>
      <c r="AO13" s="720">
        <v>729</v>
      </c>
      <c r="AP13" s="660">
        <v>0</v>
      </c>
      <c r="AQ13" s="660">
        <v>0</v>
      </c>
      <c r="AR13" s="660">
        <v>0</v>
      </c>
      <c r="AS13" s="688">
        <v>0</v>
      </c>
      <c r="AT13" s="687">
        <f>SUM(AH13:AR13)</f>
        <v>5311</v>
      </c>
      <c r="AU13" s="690">
        <f>AT13/Q13</f>
        <v>0.75871428571428567</v>
      </c>
      <c r="AV13" s="776" t="s">
        <v>390</v>
      </c>
      <c r="AW13" s="564" t="s">
        <v>391</v>
      </c>
      <c r="AX13" s="691" t="s">
        <v>391</v>
      </c>
    </row>
    <row r="14" spans="1:50" s="557" customFormat="1" ht="50.1" customHeight="1">
      <c r="A14" s="544">
        <v>10</v>
      </c>
      <c r="B14" s="545"/>
      <c r="C14" s="545"/>
      <c r="D14" s="545"/>
      <c r="E14" s="545"/>
      <c r="F14" s="545"/>
      <c r="G14" s="546"/>
      <c r="H14" s="558"/>
      <c r="I14" s="546" t="s">
        <v>392</v>
      </c>
      <c r="J14" s="559" t="s">
        <v>393</v>
      </c>
      <c r="K14" s="547" t="s">
        <v>385</v>
      </c>
      <c r="L14" s="545">
        <v>100</v>
      </c>
      <c r="M14" s="547" t="s">
        <v>394</v>
      </c>
      <c r="N14" s="547" t="s">
        <v>395</v>
      </c>
      <c r="O14" s="548">
        <v>18</v>
      </c>
      <c r="P14" s="548">
        <v>25</v>
      </c>
      <c r="Q14" s="548">
        <v>25</v>
      </c>
      <c r="R14" s="548">
        <v>22</v>
      </c>
      <c r="S14" s="548">
        <v>10</v>
      </c>
      <c r="T14" s="549" t="s">
        <v>388</v>
      </c>
      <c r="U14" s="550" t="s">
        <v>396</v>
      </c>
      <c r="V14" s="661">
        <v>0</v>
      </c>
      <c r="W14" s="662">
        <v>0.5</v>
      </c>
      <c r="X14" s="662">
        <v>1</v>
      </c>
      <c r="Y14" s="662">
        <v>1</v>
      </c>
      <c r="Z14" s="662">
        <v>1</v>
      </c>
      <c r="AA14" s="662">
        <v>1</v>
      </c>
      <c r="AB14" s="662">
        <v>1</v>
      </c>
      <c r="AC14" s="662">
        <v>4.8</v>
      </c>
      <c r="AD14" s="662">
        <v>1</v>
      </c>
      <c r="AE14" s="662">
        <v>8.6</v>
      </c>
      <c r="AF14" s="662">
        <v>1</v>
      </c>
      <c r="AG14" s="663">
        <v>4.0999999999999996</v>
      </c>
      <c r="AH14" s="551">
        <f>'Avance PDD'!O5</f>
        <v>0</v>
      </c>
      <c r="AI14" s="560">
        <f>'Avance PDD'!P5</f>
        <v>0.52400000000000013</v>
      </c>
      <c r="AJ14" s="560">
        <f>'Avance PDD'!Q5</f>
        <v>0.97200000000000031</v>
      </c>
      <c r="AK14" s="560">
        <f>'Avance PDD'!R5</f>
        <v>0.86400000000000032</v>
      </c>
      <c r="AL14" s="560">
        <f>'Avance PDD'!S5</f>
        <v>1.0000000000000002</v>
      </c>
      <c r="AM14" s="560">
        <f>'Avance PDD'!T5</f>
        <v>1.0800000000000003</v>
      </c>
      <c r="AN14" s="568">
        <f>'Avance PDD'!U5</f>
        <v>0.97200000000000031</v>
      </c>
      <c r="AO14" s="757">
        <f>'Avance PDD'!AA5</f>
        <v>6.4120000000000017</v>
      </c>
      <c r="AP14" s="552"/>
      <c r="AQ14" s="552"/>
      <c r="AR14" s="552"/>
      <c r="AS14" s="553"/>
      <c r="AT14" s="561">
        <f>SUM(AH14:AS14)</f>
        <v>11.824000000000003</v>
      </c>
      <c r="AU14" s="555">
        <f t="shared" ref="AU14:AU25" si="0">AT14/Q14</f>
        <v>0.47296000000000016</v>
      </c>
      <c r="AV14" s="730" t="s">
        <v>397</v>
      </c>
      <c r="AW14" s="556"/>
      <c r="AX14" s="562"/>
    </row>
    <row r="15" spans="1:50" s="557" customFormat="1" ht="50.1" customHeight="1">
      <c r="A15" s="544">
        <v>10</v>
      </c>
      <c r="B15" s="545"/>
      <c r="C15" s="545"/>
      <c r="D15" s="545">
        <v>42</v>
      </c>
      <c r="E15" s="545"/>
      <c r="F15" s="545"/>
      <c r="G15" s="546"/>
      <c r="H15" s="558"/>
      <c r="I15" s="546" t="s">
        <v>117</v>
      </c>
      <c r="J15" s="559" t="s">
        <v>398</v>
      </c>
      <c r="K15" s="547" t="s">
        <v>385</v>
      </c>
      <c r="L15" s="545">
        <v>13</v>
      </c>
      <c r="M15" s="547" t="s">
        <v>399</v>
      </c>
      <c r="N15" s="547" t="s">
        <v>400</v>
      </c>
      <c r="O15" s="548">
        <v>1</v>
      </c>
      <c r="P15" s="548">
        <v>4</v>
      </c>
      <c r="Q15" s="548">
        <v>4</v>
      </c>
      <c r="R15" s="548">
        <v>4</v>
      </c>
      <c r="S15" s="548">
        <v>0</v>
      </c>
      <c r="T15" s="549" t="s">
        <v>388</v>
      </c>
      <c r="U15" s="550" t="s">
        <v>401</v>
      </c>
      <c r="V15" s="551">
        <v>0</v>
      </c>
      <c r="W15" s="552">
        <v>0</v>
      </c>
      <c r="X15" s="552">
        <v>0</v>
      </c>
      <c r="Y15" s="552">
        <v>0</v>
      </c>
      <c r="Z15" s="552">
        <v>0</v>
      </c>
      <c r="AA15" s="552">
        <v>0</v>
      </c>
      <c r="AB15" s="552">
        <v>0</v>
      </c>
      <c r="AC15" s="552">
        <v>1</v>
      </c>
      <c r="AD15" s="552">
        <v>0</v>
      </c>
      <c r="AE15" s="552">
        <v>2</v>
      </c>
      <c r="AF15" s="552">
        <v>0</v>
      </c>
      <c r="AG15" s="553">
        <v>1</v>
      </c>
      <c r="AH15" s="551">
        <v>0</v>
      </c>
      <c r="AI15" s="552">
        <v>0</v>
      </c>
      <c r="AJ15" s="552">
        <v>0</v>
      </c>
      <c r="AK15" s="552">
        <v>0</v>
      </c>
      <c r="AL15" s="552">
        <v>0</v>
      </c>
      <c r="AM15" s="660">
        <v>0</v>
      </c>
      <c r="AN15" s="552">
        <v>0</v>
      </c>
      <c r="AO15" s="721">
        <v>0</v>
      </c>
      <c r="AP15" s="552"/>
      <c r="AQ15" s="552"/>
      <c r="AR15" s="552"/>
      <c r="AS15" s="553"/>
      <c r="AT15" s="551">
        <f t="shared" ref="AT15:AT25" si="1">SUM(AH15:AS15)</f>
        <v>0</v>
      </c>
      <c r="AU15" s="563">
        <f t="shared" si="0"/>
        <v>0</v>
      </c>
      <c r="AV15" s="777" t="s">
        <v>119</v>
      </c>
      <c r="AW15" s="728" t="s">
        <v>402</v>
      </c>
      <c r="AX15" s="729" t="s">
        <v>403</v>
      </c>
    </row>
    <row r="16" spans="1:50" s="557" customFormat="1" ht="50.1" customHeight="1">
      <c r="A16" s="544"/>
      <c r="B16" s="545"/>
      <c r="C16" s="545"/>
      <c r="D16" s="545"/>
      <c r="E16" s="545"/>
      <c r="F16" s="545" t="s">
        <v>14</v>
      </c>
      <c r="G16" s="546"/>
      <c r="H16" s="558"/>
      <c r="I16" s="546" t="s">
        <v>404</v>
      </c>
      <c r="J16" s="559" t="s">
        <v>405</v>
      </c>
      <c r="K16" s="547" t="s">
        <v>385</v>
      </c>
      <c r="L16" s="545" t="s">
        <v>406</v>
      </c>
      <c r="M16" s="547" t="s">
        <v>407</v>
      </c>
      <c r="N16" s="547" t="s">
        <v>395</v>
      </c>
      <c r="O16" s="548"/>
      <c r="P16" s="548"/>
      <c r="Q16" s="548">
        <v>10000</v>
      </c>
      <c r="R16" s="548"/>
      <c r="S16" s="548"/>
      <c r="T16" s="549" t="s">
        <v>388</v>
      </c>
      <c r="U16" s="550" t="s">
        <v>408</v>
      </c>
      <c r="V16" s="551">
        <v>0</v>
      </c>
      <c r="W16" s="552">
        <v>800</v>
      </c>
      <c r="X16" s="552">
        <v>932</v>
      </c>
      <c r="Y16" s="552">
        <v>934</v>
      </c>
      <c r="Z16" s="552">
        <v>934</v>
      </c>
      <c r="AA16" s="552">
        <v>932</v>
      </c>
      <c r="AB16" s="552">
        <v>934</v>
      </c>
      <c r="AC16" s="552">
        <v>934</v>
      </c>
      <c r="AD16" s="552">
        <v>932</v>
      </c>
      <c r="AE16" s="552">
        <v>934</v>
      </c>
      <c r="AF16" s="552">
        <v>934</v>
      </c>
      <c r="AG16" s="553">
        <v>800</v>
      </c>
      <c r="AH16" s="551">
        <v>0</v>
      </c>
      <c r="AI16" s="552">
        <v>422</v>
      </c>
      <c r="AJ16" s="552">
        <v>1172</v>
      </c>
      <c r="AK16" s="552">
        <v>869</v>
      </c>
      <c r="AL16" s="552">
        <v>1113</v>
      </c>
      <c r="AM16" s="660">
        <v>1936</v>
      </c>
      <c r="AN16" s="552">
        <v>1272</v>
      </c>
      <c r="AO16" s="721">
        <v>1277</v>
      </c>
      <c r="AP16" s="552"/>
      <c r="AQ16" s="552"/>
      <c r="AR16" s="552"/>
      <c r="AS16" s="553"/>
      <c r="AT16" s="551">
        <f t="shared" si="1"/>
        <v>8061</v>
      </c>
      <c r="AU16" s="563">
        <f>AT16/Q16</f>
        <v>0.80610000000000004</v>
      </c>
      <c r="AV16" s="731" t="s">
        <v>409</v>
      </c>
      <c r="AW16" s="564" t="s">
        <v>410</v>
      </c>
      <c r="AX16" s="565" t="s">
        <v>411</v>
      </c>
    </row>
    <row r="17" spans="1:50" s="557" customFormat="1" ht="50.1" customHeight="1">
      <c r="A17" s="544"/>
      <c r="B17" s="545"/>
      <c r="C17" s="545"/>
      <c r="D17" s="545"/>
      <c r="E17" s="545"/>
      <c r="F17" s="545" t="s">
        <v>14</v>
      </c>
      <c r="G17" s="546"/>
      <c r="H17" s="558"/>
      <c r="I17" s="546" t="s">
        <v>404</v>
      </c>
      <c r="J17" s="559" t="s">
        <v>322</v>
      </c>
      <c r="K17" s="547" t="s">
        <v>385</v>
      </c>
      <c r="L17" s="545" t="s">
        <v>406</v>
      </c>
      <c r="M17" s="547" t="s">
        <v>412</v>
      </c>
      <c r="N17" s="547" t="s">
        <v>395</v>
      </c>
      <c r="O17" s="548"/>
      <c r="P17" s="548"/>
      <c r="Q17" s="548">
        <v>4000</v>
      </c>
      <c r="R17" s="548"/>
      <c r="S17" s="548"/>
      <c r="T17" s="549" t="s">
        <v>388</v>
      </c>
      <c r="U17" s="550" t="s">
        <v>413</v>
      </c>
      <c r="V17" s="551">
        <v>0</v>
      </c>
      <c r="W17" s="552">
        <v>250</v>
      </c>
      <c r="X17" s="552">
        <v>388</v>
      </c>
      <c r="Y17" s="552">
        <v>389</v>
      </c>
      <c r="Z17" s="552">
        <v>389</v>
      </c>
      <c r="AA17" s="552">
        <v>389</v>
      </c>
      <c r="AB17" s="552">
        <v>389</v>
      </c>
      <c r="AC17" s="552">
        <v>389</v>
      </c>
      <c r="AD17" s="552">
        <v>389</v>
      </c>
      <c r="AE17" s="552">
        <v>389</v>
      </c>
      <c r="AF17" s="552">
        <v>389</v>
      </c>
      <c r="AG17" s="553">
        <v>250</v>
      </c>
      <c r="AH17" s="551">
        <v>0</v>
      </c>
      <c r="AI17" s="552">
        <v>165</v>
      </c>
      <c r="AJ17" s="552">
        <v>370</v>
      </c>
      <c r="AK17" s="552">
        <v>279</v>
      </c>
      <c r="AL17" s="552">
        <v>456</v>
      </c>
      <c r="AM17" s="660">
        <f>439-46</f>
        <v>393</v>
      </c>
      <c r="AN17" s="552">
        <v>374</v>
      </c>
      <c r="AO17" s="721">
        <v>484</v>
      </c>
      <c r="AP17" s="552"/>
      <c r="AQ17" s="552"/>
      <c r="AR17" s="552"/>
      <c r="AS17" s="553"/>
      <c r="AT17" s="551">
        <f t="shared" si="1"/>
        <v>2521</v>
      </c>
      <c r="AU17" s="563">
        <f>AT17/Q17</f>
        <v>0.63024999999999998</v>
      </c>
      <c r="AV17" s="731" t="s">
        <v>414</v>
      </c>
      <c r="AW17" s="564" t="s">
        <v>415</v>
      </c>
      <c r="AX17" s="565" t="s">
        <v>416</v>
      </c>
    </row>
    <row r="18" spans="1:50" s="557" customFormat="1" ht="50.1" customHeight="1">
      <c r="A18" s="544"/>
      <c r="B18" s="545"/>
      <c r="C18" s="545"/>
      <c r="D18" s="545"/>
      <c r="E18" s="545"/>
      <c r="F18" s="545" t="s">
        <v>14</v>
      </c>
      <c r="G18" s="546"/>
      <c r="H18" s="558"/>
      <c r="I18" s="546" t="s">
        <v>404</v>
      </c>
      <c r="J18" s="559" t="s">
        <v>417</v>
      </c>
      <c r="K18" s="547" t="s">
        <v>385</v>
      </c>
      <c r="L18" s="545" t="s">
        <v>406</v>
      </c>
      <c r="M18" s="547" t="s">
        <v>418</v>
      </c>
      <c r="N18" s="547" t="s">
        <v>419</v>
      </c>
      <c r="O18" s="548"/>
      <c r="P18" s="548"/>
      <c r="Q18" s="548">
        <v>2</v>
      </c>
      <c r="R18" s="548"/>
      <c r="S18" s="548"/>
      <c r="T18" s="549" t="s">
        <v>420</v>
      </c>
      <c r="U18" s="550" t="s">
        <v>421</v>
      </c>
      <c r="V18" s="551">
        <v>0</v>
      </c>
      <c r="W18" s="552">
        <v>1</v>
      </c>
      <c r="X18" s="552">
        <v>0</v>
      </c>
      <c r="Y18" s="552">
        <v>0</v>
      </c>
      <c r="Z18" s="552">
        <v>0</v>
      </c>
      <c r="AA18" s="552">
        <v>0</v>
      </c>
      <c r="AB18" s="552">
        <v>0</v>
      </c>
      <c r="AC18" s="552">
        <v>1</v>
      </c>
      <c r="AD18" s="552">
        <v>0</v>
      </c>
      <c r="AE18" s="552">
        <v>0</v>
      </c>
      <c r="AF18" s="552">
        <v>0</v>
      </c>
      <c r="AG18" s="553">
        <v>0</v>
      </c>
      <c r="AH18" s="551">
        <v>0</v>
      </c>
      <c r="AI18" s="552">
        <v>1</v>
      </c>
      <c r="AJ18" s="552">
        <v>0</v>
      </c>
      <c r="AK18" s="552">
        <v>0</v>
      </c>
      <c r="AL18" s="552">
        <v>0</v>
      </c>
      <c r="AM18" s="660">
        <v>0</v>
      </c>
      <c r="AN18" s="552">
        <v>0</v>
      </c>
      <c r="AO18" s="721">
        <v>1</v>
      </c>
      <c r="AP18" s="552"/>
      <c r="AQ18" s="552"/>
      <c r="AR18" s="552"/>
      <c r="AS18" s="553"/>
      <c r="AT18" s="551">
        <f t="shared" si="1"/>
        <v>2</v>
      </c>
      <c r="AU18" s="563">
        <f t="shared" si="0"/>
        <v>1</v>
      </c>
      <c r="AV18" s="723" t="s">
        <v>422</v>
      </c>
      <c r="AW18" s="556"/>
      <c r="AX18" s="562"/>
    </row>
    <row r="19" spans="1:50" s="557" customFormat="1" ht="50.1" customHeight="1">
      <c r="A19" s="544"/>
      <c r="B19" s="545"/>
      <c r="C19" s="545"/>
      <c r="D19" s="545"/>
      <c r="E19" s="545"/>
      <c r="F19" s="545" t="s">
        <v>14</v>
      </c>
      <c r="G19" s="546"/>
      <c r="H19" s="558"/>
      <c r="I19" s="546" t="s">
        <v>404</v>
      </c>
      <c r="J19" s="559" t="s">
        <v>423</v>
      </c>
      <c r="K19" s="547" t="s">
        <v>385</v>
      </c>
      <c r="L19" s="545" t="s">
        <v>406</v>
      </c>
      <c r="M19" s="547" t="s">
        <v>424</v>
      </c>
      <c r="N19" s="547" t="s">
        <v>425</v>
      </c>
      <c r="O19" s="548"/>
      <c r="P19" s="548"/>
      <c r="Q19" s="548">
        <v>2</v>
      </c>
      <c r="R19" s="548"/>
      <c r="S19" s="548"/>
      <c r="T19" s="549" t="s">
        <v>420</v>
      </c>
      <c r="U19" s="550" t="s">
        <v>426</v>
      </c>
      <c r="V19" s="551">
        <v>0</v>
      </c>
      <c r="W19" s="552">
        <v>0</v>
      </c>
      <c r="X19" s="552">
        <v>0</v>
      </c>
      <c r="Y19" s="552">
        <v>0</v>
      </c>
      <c r="Z19" s="552">
        <v>0</v>
      </c>
      <c r="AA19" s="552">
        <v>1</v>
      </c>
      <c r="AB19" s="552">
        <v>0</v>
      </c>
      <c r="AC19" s="552">
        <v>0</v>
      </c>
      <c r="AD19" s="552">
        <v>0</v>
      </c>
      <c r="AE19" s="552">
        <v>0</v>
      </c>
      <c r="AF19" s="552">
        <v>0</v>
      </c>
      <c r="AG19" s="553">
        <v>1</v>
      </c>
      <c r="AH19" s="551">
        <v>0</v>
      </c>
      <c r="AI19" s="554">
        <v>0</v>
      </c>
      <c r="AJ19" s="552">
        <v>0</v>
      </c>
      <c r="AK19" s="552">
        <v>0</v>
      </c>
      <c r="AL19" s="552">
        <v>1</v>
      </c>
      <c r="AM19" s="660">
        <v>0</v>
      </c>
      <c r="AN19" s="552">
        <v>0</v>
      </c>
      <c r="AO19" s="721">
        <v>0</v>
      </c>
      <c r="AP19" s="552"/>
      <c r="AQ19" s="552"/>
      <c r="AR19" s="552"/>
      <c r="AS19" s="553"/>
      <c r="AT19" s="551">
        <f t="shared" si="1"/>
        <v>1</v>
      </c>
      <c r="AU19" s="563">
        <f t="shared" si="0"/>
        <v>0.5</v>
      </c>
      <c r="AV19" s="723" t="s">
        <v>427</v>
      </c>
      <c r="AW19" s="669" t="s">
        <v>391</v>
      </c>
      <c r="AX19" s="562"/>
    </row>
    <row r="20" spans="1:50" s="557" customFormat="1" ht="50.1" customHeight="1">
      <c r="A20" s="544"/>
      <c r="B20" s="545"/>
      <c r="C20" s="545"/>
      <c r="D20" s="545"/>
      <c r="E20" s="545"/>
      <c r="F20" s="545" t="s">
        <v>14</v>
      </c>
      <c r="G20" s="546"/>
      <c r="H20" s="558"/>
      <c r="I20" s="546" t="s">
        <v>221</v>
      </c>
      <c r="J20" s="559" t="s">
        <v>428</v>
      </c>
      <c r="K20" s="547" t="s">
        <v>385</v>
      </c>
      <c r="L20" s="545" t="s">
        <v>406</v>
      </c>
      <c r="M20" s="547" t="s">
        <v>418</v>
      </c>
      <c r="N20" s="547" t="s">
        <v>429</v>
      </c>
      <c r="O20" s="548"/>
      <c r="P20" s="548"/>
      <c r="Q20" s="548">
        <v>4</v>
      </c>
      <c r="R20" s="548"/>
      <c r="S20" s="548"/>
      <c r="T20" s="549" t="s">
        <v>430</v>
      </c>
      <c r="U20" s="550" t="s">
        <v>431</v>
      </c>
      <c r="V20" s="551">
        <v>0</v>
      </c>
      <c r="W20" s="552">
        <v>0</v>
      </c>
      <c r="X20" s="552">
        <v>1</v>
      </c>
      <c r="Y20" s="552">
        <v>0</v>
      </c>
      <c r="Z20" s="552">
        <v>0</v>
      </c>
      <c r="AA20" s="552">
        <v>1</v>
      </c>
      <c r="AB20" s="552">
        <v>0</v>
      </c>
      <c r="AC20" s="552">
        <v>0</v>
      </c>
      <c r="AD20" s="552">
        <v>1</v>
      </c>
      <c r="AE20" s="552">
        <v>0</v>
      </c>
      <c r="AF20" s="552">
        <v>0</v>
      </c>
      <c r="AG20" s="553">
        <v>1</v>
      </c>
      <c r="AH20" s="551">
        <v>0</v>
      </c>
      <c r="AI20" s="552">
        <v>0</v>
      </c>
      <c r="AJ20" s="552">
        <v>1</v>
      </c>
      <c r="AK20" s="552">
        <v>0</v>
      </c>
      <c r="AL20" s="552">
        <v>0</v>
      </c>
      <c r="AM20" s="660">
        <v>1</v>
      </c>
      <c r="AN20" s="552">
        <v>0</v>
      </c>
      <c r="AO20" s="721">
        <v>0</v>
      </c>
      <c r="AP20" s="552"/>
      <c r="AQ20" s="552"/>
      <c r="AR20" s="552"/>
      <c r="AS20" s="553"/>
      <c r="AT20" s="551">
        <f t="shared" si="1"/>
        <v>2</v>
      </c>
      <c r="AU20" s="563">
        <f t="shared" si="0"/>
        <v>0.5</v>
      </c>
      <c r="AV20" s="724" t="s">
        <v>432</v>
      </c>
      <c r="AW20" s="669" t="s">
        <v>433</v>
      </c>
      <c r="AX20" s="670" t="s">
        <v>434</v>
      </c>
    </row>
    <row r="21" spans="1:50" s="557" customFormat="1" ht="50.1" customHeight="1">
      <c r="A21" s="544"/>
      <c r="B21" s="545"/>
      <c r="C21" s="545"/>
      <c r="D21" s="545"/>
      <c r="E21" s="545"/>
      <c r="F21" s="545" t="s">
        <v>14</v>
      </c>
      <c r="G21" s="546"/>
      <c r="H21" s="558"/>
      <c r="I21" s="546" t="s">
        <v>221</v>
      </c>
      <c r="J21" s="559" t="s">
        <v>435</v>
      </c>
      <c r="K21" s="547" t="s">
        <v>436</v>
      </c>
      <c r="L21" s="545" t="s">
        <v>406</v>
      </c>
      <c r="M21" s="547" t="s">
        <v>437</v>
      </c>
      <c r="N21" s="547" t="s">
        <v>438</v>
      </c>
      <c r="O21" s="548"/>
      <c r="P21" s="548"/>
      <c r="Q21" s="548">
        <v>1</v>
      </c>
      <c r="R21" s="548"/>
      <c r="S21" s="548"/>
      <c r="T21" s="549" t="s">
        <v>439</v>
      </c>
      <c r="U21" s="566" t="s">
        <v>440</v>
      </c>
      <c r="V21" s="551">
        <v>0</v>
      </c>
      <c r="W21" s="552">
        <v>0</v>
      </c>
      <c r="X21" s="552">
        <v>0</v>
      </c>
      <c r="Y21" s="552">
        <v>0</v>
      </c>
      <c r="Z21" s="552">
        <v>0</v>
      </c>
      <c r="AA21" s="552">
        <v>0</v>
      </c>
      <c r="AB21" s="552">
        <v>0</v>
      </c>
      <c r="AC21" s="552">
        <v>0</v>
      </c>
      <c r="AD21" s="552">
        <v>1</v>
      </c>
      <c r="AE21" s="552">
        <v>0</v>
      </c>
      <c r="AF21" s="552">
        <v>0</v>
      </c>
      <c r="AG21" s="553">
        <v>0</v>
      </c>
      <c r="AH21" s="551">
        <v>0</v>
      </c>
      <c r="AI21" s="552">
        <v>0</v>
      </c>
      <c r="AJ21" s="552">
        <v>0</v>
      </c>
      <c r="AK21" s="552">
        <v>0</v>
      </c>
      <c r="AL21" s="552">
        <v>0</v>
      </c>
      <c r="AM21" s="660">
        <v>0</v>
      </c>
      <c r="AN21" s="552">
        <v>0</v>
      </c>
      <c r="AO21" s="721">
        <v>0</v>
      </c>
      <c r="AP21" s="552"/>
      <c r="AQ21" s="552"/>
      <c r="AR21" s="552"/>
      <c r="AS21" s="553"/>
      <c r="AT21" s="551">
        <f t="shared" si="1"/>
        <v>0</v>
      </c>
      <c r="AU21" s="563">
        <f t="shared" si="0"/>
        <v>0</v>
      </c>
      <c r="AV21" s="723" t="s">
        <v>441</v>
      </c>
      <c r="AW21" s="556"/>
      <c r="AX21" s="562"/>
    </row>
    <row r="22" spans="1:50" s="557" customFormat="1" ht="50.1" customHeight="1">
      <c r="A22" s="544"/>
      <c r="B22" s="545"/>
      <c r="C22" s="545"/>
      <c r="D22" s="545"/>
      <c r="E22" s="545"/>
      <c r="F22" s="545" t="s">
        <v>14</v>
      </c>
      <c r="G22" s="546"/>
      <c r="H22" s="558"/>
      <c r="I22" s="546" t="s">
        <v>221</v>
      </c>
      <c r="J22" s="567" t="s">
        <v>442</v>
      </c>
      <c r="K22" s="547" t="s">
        <v>436</v>
      </c>
      <c r="L22" s="545" t="s">
        <v>406</v>
      </c>
      <c r="M22" s="547" t="s">
        <v>437</v>
      </c>
      <c r="N22" s="547" t="s">
        <v>443</v>
      </c>
      <c r="O22" s="548"/>
      <c r="P22" s="548"/>
      <c r="Q22" s="548">
        <v>1</v>
      </c>
      <c r="R22" s="548"/>
      <c r="S22" s="548"/>
      <c r="T22" s="549" t="s">
        <v>439</v>
      </c>
      <c r="U22" s="550" t="s">
        <v>444</v>
      </c>
      <c r="V22" s="551">
        <v>0</v>
      </c>
      <c r="W22" s="552">
        <v>0</v>
      </c>
      <c r="X22" s="552">
        <v>0</v>
      </c>
      <c r="Y22" s="552">
        <v>0</v>
      </c>
      <c r="Z22" s="552">
        <v>0</v>
      </c>
      <c r="AA22" s="552">
        <v>0</v>
      </c>
      <c r="AB22" s="552">
        <v>0</v>
      </c>
      <c r="AC22" s="552">
        <v>0</v>
      </c>
      <c r="AD22" s="552">
        <v>1</v>
      </c>
      <c r="AE22" s="552">
        <v>0</v>
      </c>
      <c r="AF22" s="552">
        <v>0</v>
      </c>
      <c r="AG22" s="553">
        <v>0</v>
      </c>
      <c r="AH22" s="551">
        <v>0</v>
      </c>
      <c r="AI22" s="552">
        <v>0</v>
      </c>
      <c r="AJ22" s="552">
        <v>0</v>
      </c>
      <c r="AK22" s="552">
        <v>0</v>
      </c>
      <c r="AL22" s="552">
        <v>0</v>
      </c>
      <c r="AM22" s="660">
        <v>0</v>
      </c>
      <c r="AN22" s="552">
        <v>0</v>
      </c>
      <c r="AO22" s="721">
        <v>0</v>
      </c>
      <c r="AP22" s="552"/>
      <c r="AQ22" s="552"/>
      <c r="AR22" s="552"/>
      <c r="AS22" s="553"/>
      <c r="AT22" s="551">
        <f t="shared" si="1"/>
        <v>0</v>
      </c>
      <c r="AU22" s="563">
        <f t="shared" si="0"/>
        <v>0</v>
      </c>
      <c r="AV22" s="723" t="s">
        <v>441</v>
      </c>
      <c r="AW22" s="556"/>
      <c r="AX22" s="562"/>
    </row>
    <row r="23" spans="1:50" s="557" customFormat="1" ht="50.1" customHeight="1">
      <c r="A23" s="544"/>
      <c r="B23" s="545"/>
      <c r="C23" s="545"/>
      <c r="D23" s="545"/>
      <c r="E23" s="545"/>
      <c r="F23" s="545"/>
      <c r="G23" s="546"/>
      <c r="H23" s="558"/>
      <c r="I23" s="546" t="s">
        <v>221</v>
      </c>
      <c r="J23" s="559" t="s">
        <v>445</v>
      </c>
      <c r="K23" s="547" t="s">
        <v>436</v>
      </c>
      <c r="L23" s="545" t="s">
        <v>406</v>
      </c>
      <c r="M23" s="547" t="s">
        <v>446</v>
      </c>
      <c r="N23" s="547" t="s">
        <v>447</v>
      </c>
      <c r="O23" s="548"/>
      <c r="P23" s="548"/>
      <c r="Q23" s="548">
        <v>1</v>
      </c>
      <c r="R23" s="548"/>
      <c r="S23" s="548"/>
      <c r="T23" s="549" t="s">
        <v>439</v>
      </c>
      <c r="U23" s="550" t="s">
        <v>448</v>
      </c>
      <c r="V23" s="551">
        <v>0</v>
      </c>
      <c r="W23" s="552">
        <v>0</v>
      </c>
      <c r="X23" s="552">
        <v>1</v>
      </c>
      <c r="Y23" s="552">
        <v>0</v>
      </c>
      <c r="Z23" s="552">
        <v>0</v>
      </c>
      <c r="AA23" s="552">
        <v>0</v>
      </c>
      <c r="AB23" s="552">
        <v>0</v>
      </c>
      <c r="AC23" s="552">
        <v>0</v>
      </c>
      <c r="AD23" s="552">
        <v>0</v>
      </c>
      <c r="AE23" s="552">
        <v>0</v>
      </c>
      <c r="AF23" s="552">
        <v>0</v>
      </c>
      <c r="AG23" s="553">
        <v>0</v>
      </c>
      <c r="AH23" s="551">
        <v>0</v>
      </c>
      <c r="AI23" s="552">
        <v>0</v>
      </c>
      <c r="AJ23" s="568">
        <v>0.5</v>
      </c>
      <c r="AK23" s="568">
        <v>0.3</v>
      </c>
      <c r="AL23" s="568">
        <v>0.2</v>
      </c>
      <c r="AM23" s="693"/>
      <c r="AN23" s="552"/>
      <c r="AO23" s="721"/>
      <c r="AP23" s="552"/>
      <c r="AQ23" s="552"/>
      <c r="AR23" s="552"/>
      <c r="AS23" s="553"/>
      <c r="AT23" s="561">
        <f t="shared" si="1"/>
        <v>1</v>
      </c>
      <c r="AU23" s="563">
        <f t="shared" si="0"/>
        <v>1</v>
      </c>
      <c r="AV23" s="719" t="s">
        <v>449</v>
      </c>
      <c r="AW23" s="556" t="s">
        <v>450</v>
      </c>
      <c r="AX23" s="565"/>
    </row>
    <row r="24" spans="1:50" s="692" customFormat="1" ht="50.1" customHeight="1">
      <c r="A24" s="679"/>
      <c r="B24" s="680"/>
      <c r="C24" s="680"/>
      <c r="D24" s="680"/>
      <c r="E24" s="680"/>
      <c r="F24" s="680"/>
      <c r="G24" s="681" t="s">
        <v>451</v>
      </c>
      <c r="H24" s="694" t="s">
        <v>359</v>
      </c>
      <c r="I24" s="569" t="s">
        <v>24</v>
      </c>
      <c r="J24" s="570" t="s">
        <v>452</v>
      </c>
      <c r="K24" s="683" t="s">
        <v>436</v>
      </c>
      <c r="L24" s="680"/>
      <c r="M24" s="683" t="s">
        <v>394</v>
      </c>
      <c r="N24" s="571" t="s">
        <v>453</v>
      </c>
      <c r="O24" s="684"/>
      <c r="P24" s="684"/>
      <c r="Q24" s="695">
        <v>1</v>
      </c>
      <c r="R24" s="684"/>
      <c r="S24" s="684"/>
      <c r="T24" s="685"/>
      <c r="U24" s="686" t="s">
        <v>454</v>
      </c>
      <c r="V24" s="687">
        <v>0</v>
      </c>
      <c r="W24" s="660">
        <v>0</v>
      </c>
      <c r="X24" s="696">
        <v>0.25</v>
      </c>
      <c r="Y24" s="660">
        <v>0</v>
      </c>
      <c r="Z24" s="660">
        <v>0</v>
      </c>
      <c r="AA24" s="696">
        <v>0.25</v>
      </c>
      <c r="AB24" s="660">
        <v>0</v>
      </c>
      <c r="AC24" s="660">
        <v>0</v>
      </c>
      <c r="AD24" s="696">
        <v>0.25</v>
      </c>
      <c r="AE24" s="660">
        <v>0</v>
      </c>
      <c r="AF24" s="660">
        <v>0</v>
      </c>
      <c r="AG24" s="696">
        <v>0.25</v>
      </c>
      <c r="AH24" s="687">
        <v>0</v>
      </c>
      <c r="AI24" s="660">
        <v>0</v>
      </c>
      <c r="AJ24" s="696">
        <v>0.25</v>
      </c>
      <c r="AK24" s="660">
        <v>0</v>
      </c>
      <c r="AL24" s="660">
        <v>0</v>
      </c>
      <c r="AM24" s="696">
        <v>0.25</v>
      </c>
      <c r="AN24" s="660">
        <v>0</v>
      </c>
      <c r="AO24" s="720"/>
      <c r="AP24" s="660"/>
      <c r="AQ24" s="660"/>
      <c r="AR24" s="660"/>
      <c r="AS24" s="688"/>
      <c r="AT24" s="697">
        <f t="shared" ref="AT24" si="2">SUM(AH24:AS24)</f>
        <v>0.5</v>
      </c>
      <c r="AU24" s="698">
        <f t="shared" si="0"/>
        <v>0.5</v>
      </c>
      <c r="AV24" s="725" t="s">
        <v>455</v>
      </c>
      <c r="AW24" s="564" t="s">
        <v>391</v>
      </c>
      <c r="AX24" s="691" t="s">
        <v>391</v>
      </c>
    </row>
    <row r="25" spans="1:50" s="692" customFormat="1" ht="50.1" customHeight="1">
      <c r="A25" s="679"/>
      <c r="B25" s="680"/>
      <c r="C25" s="680"/>
      <c r="D25" s="680"/>
      <c r="E25" s="680"/>
      <c r="F25" s="680"/>
      <c r="G25" s="681" t="s">
        <v>451</v>
      </c>
      <c r="H25" s="694" t="s">
        <v>359</v>
      </c>
      <c r="I25" s="569" t="s">
        <v>456</v>
      </c>
      <c r="J25" s="570" t="s">
        <v>457</v>
      </c>
      <c r="K25" s="683" t="s">
        <v>436</v>
      </c>
      <c r="L25" s="680"/>
      <c r="M25" s="683" t="s">
        <v>394</v>
      </c>
      <c r="N25" s="571" t="s">
        <v>458</v>
      </c>
      <c r="O25" s="684"/>
      <c r="P25" s="684"/>
      <c r="Q25" s="695">
        <v>1</v>
      </c>
      <c r="R25" s="684"/>
      <c r="S25" s="684"/>
      <c r="T25" s="685"/>
      <c r="U25" s="686" t="s">
        <v>459</v>
      </c>
      <c r="V25" s="687">
        <v>0</v>
      </c>
      <c r="W25" s="660">
        <v>0</v>
      </c>
      <c r="X25" s="699">
        <v>0</v>
      </c>
      <c r="Y25" s="660">
        <v>0</v>
      </c>
      <c r="Z25" s="660">
        <v>0</v>
      </c>
      <c r="AA25" s="699">
        <v>0</v>
      </c>
      <c r="AB25" s="660">
        <v>1</v>
      </c>
      <c r="AC25" s="660">
        <v>0</v>
      </c>
      <c r="AD25" s="699">
        <v>0</v>
      </c>
      <c r="AE25" s="660">
        <v>0</v>
      </c>
      <c r="AF25" s="660">
        <v>0</v>
      </c>
      <c r="AG25" s="688">
        <v>0</v>
      </c>
      <c r="AH25" s="687">
        <v>0</v>
      </c>
      <c r="AI25" s="660">
        <v>0</v>
      </c>
      <c r="AJ25" s="660">
        <v>0</v>
      </c>
      <c r="AK25" s="660">
        <v>0</v>
      </c>
      <c r="AL25" s="660">
        <v>0</v>
      </c>
      <c r="AM25" s="660">
        <v>0</v>
      </c>
      <c r="AN25" s="660">
        <v>0</v>
      </c>
      <c r="AO25" s="720">
        <v>0</v>
      </c>
      <c r="AP25" s="660"/>
      <c r="AQ25" s="660"/>
      <c r="AR25" s="660"/>
      <c r="AS25" s="688"/>
      <c r="AT25" s="687">
        <f t="shared" si="1"/>
        <v>0</v>
      </c>
      <c r="AU25" s="698">
        <f t="shared" si="0"/>
        <v>0</v>
      </c>
      <c r="AV25" s="727" t="s">
        <v>460</v>
      </c>
      <c r="AW25" s="728" t="s">
        <v>461</v>
      </c>
      <c r="AX25" s="729" t="s">
        <v>462</v>
      </c>
    </row>
    <row r="26" spans="1:50" s="557" customFormat="1" ht="50.1" customHeight="1" thickBot="1">
      <c r="A26" s="572"/>
      <c r="B26" s="573"/>
      <c r="C26" s="573"/>
      <c r="D26" s="573"/>
      <c r="E26" s="573"/>
      <c r="F26" s="573"/>
      <c r="G26" s="574" t="s">
        <v>451</v>
      </c>
      <c r="H26" s="575" t="s">
        <v>359</v>
      </c>
      <c r="I26" s="576" t="s">
        <v>463</v>
      </c>
      <c r="J26" s="577" t="s">
        <v>464</v>
      </c>
      <c r="K26" s="578" t="s">
        <v>436</v>
      </c>
      <c r="L26" s="573" t="s">
        <v>406</v>
      </c>
      <c r="M26" s="578" t="s">
        <v>465</v>
      </c>
      <c r="N26" s="579" t="s">
        <v>466</v>
      </c>
      <c r="O26" s="580"/>
      <c r="P26" s="580"/>
      <c r="Q26" s="581">
        <v>1</v>
      </c>
      <c r="R26" s="580"/>
      <c r="S26" s="580"/>
      <c r="T26" s="582" t="s">
        <v>430</v>
      </c>
      <c r="U26" s="583" t="s">
        <v>467</v>
      </c>
      <c r="V26" s="584">
        <v>0</v>
      </c>
      <c r="W26" s="585">
        <v>0</v>
      </c>
      <c r="X26" s="586">
        <v>25</v>
      </c>
      <c r="Y26" s="585">
        <v>0</v>
      </c>
      <c r="Z26" s="585">
        <v>0</v>
      </c>
      <c r="AA26" s="586">
        <v>25</v>
      </c>
      <c r="AB26" s="585">
        <v>0</v>
      </c>
      <c r="AC26" s="585">
        <v>0</v>
      </c>
      <c r="AD26" s="586">
        <v>25</v>
      </c>
      <c r="AE26" s="585">
        <v>0</v>
      </c>
      <c r="AF26" s="585">
        <v>0</v>
      </c>
      <c r="AG26" s="587">
        <v>25</v>
      </c>
      <c r="AH26" s="584">
        <v>0</v>
      </c>
      <c r="AI26" s="585">
        <v>0</v>
      </c>
      <c r="AJ26" s="585">
        <v>25</v>
      </c>
      <c r="AK26" s="585">
        <v>0</v>
      </c>
      <c r="AL26" s="585">
        <v>0</v>
      </c>
      <c r="AM26" s="700">
        <v>25</v>
      </c>
      <c r="AN26" s="585">
        <v>0</v>
      </c>
      <c r="AO26" s="722">
        <v>0</v>
      </c>
      <c r="AP26" s="585"/>
      <c r="AQ26" s="585"/>
      <c r="AR26" s="585"/>
      <c r="AS26" s="587"/>
      <c r="AT26" s="584">
        <f>SUM(AH26:AS26)</f>
        <v>50</v>
      </c>
      <c r="AU26" s="563">
        <v>1</v>
      </c>
      <c r="AV26" s="726" t="s">
        <v>468</v>
      </c>
      <c r="AW26" s="588"/>
      <c r="AX26" s="589"/>
    </row>
    <row r="27" spans="1:50">
      <c r="A27" s="1215" t="s">
        <v>116</v>
      </c>
      <c r="B27" s="1216"/>
      <c r="C27" s="1216"/>
      <c r="D27" s="1216"/>
      <c r="E27" s="1216"/>
      <c r="F27" s="1216"/>
      <c r="G27" s="1216"/>
      <c r="H27" s="1216"/>
      <c r="I27" s="1216"/>
      <c r="J27" s="1216"/>
      <c r="K27" s="1216"/>
      <c r="L27" s="1216"/>
      <c r="M27" s="1216"/>
      <c r="N27" s="1216"/>
      <c r="O27" s="1216"/>
      <c r="P27" s="1216"/>
      <c r="Q27" s="1216"/>
      <c r="R27" s="1216"/>
      <c r="S27" s="1216"/>
      <c r="T27" s="1216"/>
      <c r="U27" s="1216"/>
      <c r="V27" s="1216"/>
      <c r="W27" s="1216"/>
      <c r="X27" s="1216"/>
      <c r="Y27" s="1216"/>
      <c r="Z27" s="1216"/>
      <c r="AA27" s="1216"/>
      <c r="AB27" s="1216"/>
      <c r="AC27" s="1216"/>
      <c r="AD27" s="1216"/>
      <c r="AE27" s="1216"/>
      <c r="AF27" s="1216"/>
      <c r="AG27" s="1216"/>
      <c r="AH27" s="1216"/>
      <c r="AI27" s="1216"/>
      <c r="AJ27" s="1216"/>
      <c r="AK27" s="1216"/>
      <c r="AL27" s="1216"/>
      <c r="AM27" s="1216"/>
      <c r="AN27" s="1216"/>
      <c r="AO27" s="1216"/>
      <c r="AP27" s="1216"/>
      <c r="AQ27" s="1216"/>
      <c r="AR27" s="1216"/>
      <c r="AS27" s="1216"/>
      <c r="AT27" s="1216"/>
      <c r="AU27" s="1216"/>
      <c r="AV27" s="1216"/>
      <c r="AW27" s="1216"/>
      <c r="AX27" s="1217"/>
    </row>
    <row r="28" spans="1:50" ht="78.75" customHeight="1">
      <c r="A28" s="1234" t="s">
        <v>469</v>
      </c>
      <c r="B28" s="1235"/>
      <c r="C28" s="1236"/>
      <c r="D28" s="1193" t="s">
        <v>470</v>
      </c>
      <c r="E28" s="1194"/>
      <c r="F28" s="1194"/>
      <c r="G28" s="1194"/>
      <c r="H28" s="1194"/>
      <c r="I28" s="1195"/>
      <c r="J28" s="1203" t="s">
        <v>471</v>
      </c>
      <c r="K28" s="1204"/>
      <c r="L28" s="1204"/>
      <c r="M28" s="1204"/>
      <c r="N28" s="1204"/>
      <c r="O28" s="1205"/>
      <c r="P28" s="1193" t="s">
        <v>470</v>
      </c>
      <c r="Q28" s="1194"/>
      <c r="R28" s="1194"/>
      <c r="S28" s="1194"/>
      <c r="T28" s="1194"/>
      <c r="U28" s="1195"/>
      <c r="V28" s="1200" t="s">
        <v>470</v>
      </c>
      <c r="W28" s="1201"/>
      <c r="X28" s="1201"/>
      <c r="Y28" s="1201"/>
      <c r="Z28" s="1201"/>
      <c r="AA28" s="1201"/>
      <c r="AB28" s="1201"/>
      <c r="AC28" s="1202"/>
      <c r="AD28" s="1200" t="s">
        <v>470</v>
      </c>
      <c r="AE28" s="1201"/>
      <c r="AF28" s="1201"/>
      <c r="AG28" s="1201"/>
      <c r="AH28" s="1201"/>
      <c r="AI28" s="1201"/>
      <c r="AJ28" s="1201"/>
      <c r="AK28" s="1201"/>
      <c r="AL28" s="1201"/>
      <c r="AM28" s="1201"/>
      <c r="AN28" s="1201"/>
      <c r="AO28" s="1202"/>
      <c r="AP28" s="1225" t="s">
        <v>472</v>
      </c>
      <c r="AQ28" s="1226"/>
      <c r="AR28" s="1226"/>
      <c r="AS28" s="1227"/>
      <c r="AT28" s="1193" t="s">
        <v>473</v>
      </c>
      <c r="AU28" s="1194"/>
      <c r="AV28" s="1194"/>
      <c r="AW28" s="1194"/>
      <c r="AX28" s="1247"/>
    </row>
    <row r="29" spans="1:50" ht="50.25" customHeight="1">
      <c r="A29" s="1237"/>
      <c r="B29" s="1238"/>
      <c r="C29" s="1239"/>
      <c r="D29" s="1193" t="s">
        <v>474</v>
      </c>
      <c r="E29" s="1194"/>
      <c r="F29" s="1194"/>
      <c r="G29" s="1194"/>
      <c r="H29" s="1194"/>
      <c r="I29" s="1195"/>
      <c r="J29" s="1206"/>
      <c r="K29" s="1207"/>
      <c r="L29" s="1207"/>
      <c r="M29" s="1207"/>
      <c r="N29" s="1207"/>
      <c r="O29" s="1208"/>
      <c r="P29" s="1193" t="s">
        <v>475</v>
      </c>
      <c r="Q29" s="1194"/>
      <c r="R29" s="1194"/>
      <c r="S29" s="1194"/>
      <c r="T29" s="1194"/>
      <c r="U29" s="1195"/>
      <c r="V29" s="1200" t="s">
        <v>476</v>
      </c>
      <c r="W29" s="1201"/>
      <c r="X29" s="1201"/>
      <c r="Y29" s="1201"/>
      <c r="Z29" s="1201"/>
      <c r="AA29" s="1201"/>
      <c r="AB29" s="1201"/>
      <c r="AC29" s="1202"/>
      <c r="AD29" s="1200" t="s">
        <v>477</v>
      </c>
      <c r="AE29" s="1201"/>
      <c r="AF29" s="1201"/>
      <c r="AG29" s="1201"/>
      <c r="AH29" s="1201"/>
      <c r="AI29" s="1201"/>
      <c r="AJ29" s="1201"/>
      <c r="AK29" s="1201"/>
      <c r="AL29" s="1201"/>
      <c r="AM29" s="1201"/>
      <c r="AN29" s="1201"/>
      <c r="AO29" s="1202"/>
      <c r="AP29" s="1228"/>
      <c r="AQ29" s="1229"/>
      <c r="AR29" s="1229"/>
      <c r="AS29" s="1230"/>
      <c r="AT29" s="1193" t="s">
        <v>478</v>
      </c>
      <c r="AU29" s="1194"/>
      <c r="AV29" s="1194"/>
      <c r="AW29" s="1194"/>
      <c r="AX29" s="1247"/>
    </row>
    <row r="30" spans="1:50" ht="32.25" customHeight="1">
      <c r="A30" s="1240"/>
      <c r="B30" s="1241"/>
      <c r="C30" s="1242"/>
      <c r="D30" s="1212" t="s">
        <v>479</v>
      </c>
      <c r="E30" s="1213"/>
      <c r="F30" s="1213"/>
      <c r="G30" s="1213"/>
      <c r="H30" s="1213"/>
      <c r="I30" s="1214"/>
      <c r="J30" s="1209"/>
      <c r="K30" s="1210"/>
      <c r="L30" s="1210"/>
      <c r="M30" s="1210"/>
      <c r="N30" s="1210"/>
      <c r="O30" s="1211"/>
      <c r="P30" s="1212" t="s">
        <v>480</v>
      </c>
      <c r="Q30" s="1213"/>
      <c r="R30" s="1213"/>
      <c r="S30" s="1213"/>
      <c r="T30" s="1213"/>
      <c r="U30" s="1214"/>
      <c r="V30" s="1187" t="s">
        <v>481</v>
      </c>
      <c r="W30" s="1188"/>
      <c r="X30" s="1188"/>
      <c r="Y30" s="1188"/>
      <c r="Z30" s="1188"/>
      <c r="AA30" s="1188"/>
      <c r="AB30" s="1188"/>
      <c r="AC30" s="1189"/>
      <c r="AD30" s="1187" t="s">
        <v>482</v>
      </c>
      <c r="AE30" s="1188"/>
      <c r="AF30" s="1188"/>
      <c r="AG30" s="1188"/>
      <c r="AH30" s="1188"/>
      <c r="AI30" s="1188"/>
      <c r="AJ30" s="1188"/>
      <c r="AK30" s="1188"/>
      <c r="AL30" s="1188"/>
      <c r="AM30" s="1188"/>
      <c r="AN30" s="1188"/>
      <c r="AO30" s="1189"/>
      <c r="AP30" s="1231"/>
      <c r="AQ30" s="1232"/>
      <c r="AR30" s="1232"/>
      <c r="AS30" s="1233"/>
      <c r="AT30" s="1212" t="s">
        <v>483</v>
      </c>
      <c r="AU30" s="1213"/>
      <c r="AV30" s="1213"/>
      <c r="AW30" s="1213"/>
      <c r="AX30" s="1218"/>
    </row>
  </sheetData>
  <mergeCells count="56">
    <mergeCell ref="AT29:AX29"/>
    <mergeCell ref="AT28:AX28"/>
    <mergeCell ref="A9:C9"/>
    <mergeCell ref="A5:AG5"/>
    <mergeCell ref="A6:C8"/>
    <mergeCell ref="D6:E8"/>
    <mergeCell ref="F6:G8"/>
    <mergeCell ref="H6:I6"/>
    <mergeCell ref="AT30:AX30"/>
    <mergeCell ref="A10:C10"/>
    <mergeCell ref="D10:AG10"/>
    <mergeCell ref="AP28:AS30"/>
    <mergeCell ref="AW5:AW12"/>
    <mergeCell ref="A28:C30"/>
    <mergeCell ref="D28:I28"/>
    <mergeCell ref="L11:L12"/>
    <mergeCell ref="U11:U12"/>
    <mergeCell ref="O11:S11"/>
    <mergeCell ref="T11:T12"/>
    <mergeCell ref="N11:N12"/>
    <mergeCell ref="A11:F11"/>
    <mergeCell ref="D30:I30"/>
    <mergeCell ref="AD28:AO28"/>
    <mergeCell ref="AD29:AO29"/>
    <mergeCell ref="AD30:AO30"/>
    <mergeCell ref="AH11:AS11"/>
    <mergeCell ref="P28:U28"/>
    <mergeCell ref="I11:I12"/>
    <mergeCell ref="J11:J12"/>
    <mergeCell ref="K11:K12"/>
    <mergeCell ref="V11:AG11"/>
    <mergeCell ref="V29:AC29"/>
    <mergeCell ref="V30:AC30"/>
    <mergeCell ref="J28:O30"/>
    <mergeCell ref="P29:U29"/>
    <mergeCell ref="P30:U30"/>
    <mergeCell ref="V28:AC28"/>
    <mergeCell ref="M11:M12"/>
    <mergeCell ref="D29:I29"/>
    <mergeCell ref="A27:AX27"/>
    <mergeCell ref="A2:AV2"/>
    <mergeCell ref="A3:AV4"/>
    <mergeCell ref="AT11:AU11"/>
    <mergeCell ref="AW1:AX1"/>
    <mergeCell ref="AW2:AX2"/>
    <mergeCell ref="AW3:AX3"/>
    <mergeCell ref="AW4:AX4"/>
    <mergeCell ref="A1:AV1"/>
    <mergeCell ref="AX5:AX12"/>
    <mergeCell ref="H7:I7"/>
    <mergeCell ref="H8:I8"/>
    <mergeCell ref="AV5:AV12"/>
    <mergeCell ref="AH5:AU10"/>
    <mergeCell ref="K6:U8"/>
    <mergeCell ref="D9:AG9"/>
    <mergeCell ref="G11:H11"/>
  </mergeCells>
  <printOptions horizontalCentered="1"/>
  <pageMargins left="0.19685039370078741" right="0.19685039370078741" top="0.19685039370078741" bottom="0.19685039370078741" header="0" footer="0"/>
  <pageSetup scale="20" fitToHeight="0" orientation="landscape" r:id="rId1"/>
  <rowBreaks count="1" manualBreakCount="1">
    <brk id="23" max="49"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4D11D-579C-487E-AFC2-33AD5CC2C440}">
  <sheetPr>
    <pageSetUpPr fitToPage="1"/>
  </sheetPr>
  <dimension ref="A1:K9"/>
  <sheetViews>
    <sheetView zoomScale="75" zoomScaleNormal="75" workbookViewId="0">
      <selection activeCell="F7" sqref="F7"/>
    </sheetView>
  </sheetViews>
  <sheetFormatPr baseColWidth="10" defaultColWidth="11.42578125" defaultRowHeight="15"/>
  <cols>
    <col min="1" max="1" width="8.85546875" style="157" bestFit="1" customWidth="1"/>
    <col min="2" max="2" width="11.42578125" style="50"/>
    <col min="3" max="3" width="55.7109375" style="50" customWidth="1"/>
    <col min="4" max="4" width="15.5703125" style="50" hidden="1" customWidth="1"/>
    <col min="5" max="5" width="17.28515625" style="50" hidden="1" customWidth="1"/>
    <col min="6" max="6" width="21.140625" style="50" customWidth="1"/>
    <col min="7" max="8" width="17.28515625" style="50" hidden="1" customWidth="1"/>
    <col min="9" max="9" width="18.5703125" style="50" hidden="1" customWidth="1"/>
    <col min="10" max="10" width="13.5703125" style="157" customWidth="1"/>
    <col min="11" max="11" width="14.42578125" style="157" customWidth="1"/>
    <col min="12" max="16384" width="11.42578125" style="50"/>
  </cols>
  <sheetData>
    <row r="1" spans="1:11" ht="15.75" thickBot="1">
      <c r="A1" s="1258" t="s">
        <v>484</v>
      </c>
      <c r="B1" s="1259"/>
      <c r="C1" s="1259"/>
      <c r="D1" s="1259"/>
      <c r="E1" s="1259"/>
      <c r="F1" s="1259"/>
      <c r="G1" s="1259"/>
      <c r="H1" s="1259"/>
      <c r="I1" s="1260"/>
    </row>
    <row r="2" spans="1:11" ht="45">
      <c r="A2" s="170" t="s">
        <v>485</v>
      </c>
      <c r="B2" s="171" t="s">
        <v>486</v>
      </c>
      <c r="C2" s="171" t="s">
        <v>487</v>
      </c>
      <c r="D2" s="171">
        <v>2020</v>
      </c>
      <c r="E2" s="171">
        <v>2021</v>
      </c>
      <c r="F2" s="172">
        <v>2022</v>
      </c>
      <c r="G2" s="171">
        <v>2023</v>
      </c>
      <c r="H2" s="171">
        <v>2024</v>
      </c>
      <c r="I2" s="173" t="s">
        <v>488</v>
      </c>
      <c r="J2" s="156" t="s">
        <v>489</v>
      </c>
      <c r="K2" s="156" t="s">
        <v>490</v>
      </c>
    </row>
    <row r="3" spans="1:11" ht="30">
      <c r="A3" s="182">
        <v>7673</v>
      </c>
      <c r="B3" s="183">
        <v>1</v>
      </c>
      <c r="C3" s="305" t="s">
        <v>491</v>
      </c>
      <c r="D3" s="174">
        <v>104564466</v>
      </c>
      <c r="E3" s="174">
        <v>2363000000</v>
      </c>
      <c r="F3" s="304">
        <f>'Meta 1'!AC22</f>
        <v>2334220914.1599998</v>
      </c>
      <c r="G3" s="174">
        <v>2491086000</v>
      </c>
      <c r="H3" s="174">
        <v>2219930000</v>
      </c>
      <c r="I3" s="184">
        <v>9680517466</v>
      </c>
      <c r="J3" s="181">
        <f>+F3/F7</f>
        <v>0.43025059525453069</v>
      </c>
      <c r="K3" s="187">
        <v>0.3</v>
      </c>
    </row>
    <row r="4" spans="1:11" ht="45">
      <c r="A4" s="182">
        <v>7673</v>
      </c>
      <c r="B4" s="183">
        <v>2</v>
      </c>
      <c r="C4" s="305" t="s">
        <v>492</v>
      </c>
      <c r="D4" s="174">
        <v>120000000</v>
      </c>
      <c r="E4" s="174">
        <v>727850000</v>
      </c>
      <c r="F4" s="304">
        <f>'Meta 2'!AC22</f>
        <v>280463582</v>
      </c>
      <c r="G4" s="174">
        <v>700000000</v>
      </c>
      <c r="H4" s="174">
        <v>0</v>
      </c>
      <c r="I4" s="184">
        <v>1732612000</v>
      </c>
      <c r="J4" s="181">
        <f>+F4/F7</f>
        <v>5.1695888067279372E-2</v>
      </c>
      <c r="K4" s="187">
        <v>0.1</v>
      </c>
    </row>
    <row r="5" spans="1:11" ht="60">
      <c r="A5" s="182">
        <v>7673</v>
      </c>
      <c r="B5" s="183">
        <v>3</v>
      </c>
      <c r="C5" s="305" t="s">
        <v>493</v>
      </c>
      <c r="D5" s="174">
        <v>97776667</v>
      </c>
      <c r="E5" s="174">
        <v>900135000</v>
      </c>
      <c r="F5" s="304">
        <f>'Meta 3'!AC22</f>
        <v>1580574503.8400002</v>
      </c>
      <c r="G5" s="174">
        <v>725114000</v>
      </c>
      <c r="H5" s="174">
        <v>746870000</v>
      </c>
      <c r="I5" s="184">
        <v>3978455667</v>
      </c>
      <c r="J5" s="181">
        <f>+F5/F7</f>
        <v>0.29133623000118525</v>
      </c>
      <c r="K5" s="187">
        <v>0.25</v>
      </c>
    </row>
    <row r="6" spans="1:11" ht="60">
      <c r="A6" s="182">
        <v>7673</v>
      </c>
      <c r="B6" s="183">
        <v>4</v>
      </c>
      <c r="C6" s="305" t="s">
        <v>494</v>
      </c>
      <c r="D6" s="174">
        <v>0</v>
      </c>
      <c r="E6" s="174">
        <v>0</v>
      </c>
      <c r="F6" s="304">
        <f>'Meta 4'!AC22</f>
        <v>1230000000</v>
      </c>
      <c r="G6" s="174">
        <v>0</v>
      </c>
      <c r="H6" s="174"/>
      <c r="I6" s="184">
        <v>1230000000</v>
      </c>
      <c r="J6" s="181">
        <f>+F6/F7</f>
        <v>0.22671728667700472</v>
      </c>
      <c r="K6" s="187">
        <v>0.35</v>
      </c>
    </row>
    <row r="7" spans="1:11">
      <c r="A7" s="1261" t="s">
        <v>41</v>
      </c>
      <c r="B7" s="1262"/>
      <c r="C7" s="1262"/>
      <c r="D7" s="175">
        <v>322341133</v>
      </c>
      <c r="E7" s="175">
        <v>3990985000</v>
      </c>
      <c r="F7" s="175">
        <f>SUM(F3:F6)</f>
        <v>5425259000</v>
      </c>
      <c r="G7" s="175">
        <v>3916200000</v>
      </c>
      <c r="H7" s="175">
        <v>2966800000</v>
      </c>
      <c r="I7" s="176">
        <v>16621585133</v>
      </c>
      <c r="J7" s="188">
        <f>SUM(J3:J6)</f>
        <v>1</v>
      </c>
      <c r="K7" s="188">
        <f>SUM(K3:K6)</f>
        <v>1</v>
      </c>
    </row>
    <row r="8" spans="1:11">
      <c r="A8" s="1261" t="s">
        <v>495</v>
      </c>
      <c r="B8" s="1262"/>
      <c r="C8" s="1262"/>
      <c r="D8" s="177"/>
      <c r="E8" s="177"/>
      <c r="F8" s="175">
        <v>5425259000</v>
      </c>
      <c r="G8" s="177"/>
      <c r="H8" s="177"/>
      <c r="I8" s="185"/>
    </row>
    <row r="9" spans="1:11" ht="15.75" thickBot="1">
      <c r="A9" s="1263" t="s">
        <v>496</v>
      </c>
      <c r="B9" s="1264"/>
      <c r="C9" s="1264"/>
      <c r="D9" s="178"/>
      <c r="E9" s="178"/>
      <c r="F9" s="179">
        <v>0</v>
      </c>
      <c r="G9" s="178"/>
      <c r="H9" s="178"/>
      <c r="I9" s="186"/>
    </row>
  </sheetData>
  <mergeCells count="4">
    <mergeCell ref="A1:I1"/>
    <mergeCell ref="A7:C7"/>
    <mergeCell ref="A8:C8"/>
    <mergeCell ref="A9:C9"/>
  </mergeCells>
  <conditionalFormatting sqref="F9">
    <cfRule type="cellIs" dxfId="0" priority="1" operator="lessThan">
      <formula>0</formula>
    </cfRule>
  </conditionalFormatting>
  <printOptions horizontalCentered="1"/>
  <pageMargins left="0.19685039370078741" right="0.19685039370078741" top="0.19685039370078741" bottom="0.19685039370078741" header="0" footer="0"/>
  <pageSetup scale="91"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17F73-FD80-4880-A730-F51C336FD526}">
  <sheetPr>
    <tabColor rgb="FF00B0F0"/>
    <pageSetUpPr fitToPage="1"/>
  </sheetPr>
  <dimension ref="A1:BN49"/>
  <sheetViews>
    <sheetView topLeftCell="AG1" zoomScale="90" zoomScaleNormal="90" workbookViewId="0">
      <selection activeCell="AM6" sqref="AM6"/>
    </sheetView>
  </sheetViews>
  <sheetFormatPr baseColWidth="10" defaultColWidth="11.42578125" defaultRowHeight="15"/>
  <cols>
    <col min="3" max="9" width="11.42578125" style="386"/>
    <col min="11" max="11" width="11.42578125" style="386"/>
    <col min="12" max="13" width="11.85546875" style="386" bestFit="1" customWidth="1"/>
    <col min="14" max="15" width="11.42578125" style="386"/>
    <col min="17" max="18" width="11.42578125" style="386"/>
    <col min="28" max="28" width="11.42578125" style="386"/>
    <col min="35" max="35" width="12.5703125" customWidth="1"/>
    <col min="38" max="38" width="12.42578125" customWidth="1"/>
    <col min="39" max="39" width="13.85546875" customWidth="1"/>
    <col min="40" max="40" width="12.7109375" bestFit="1" customWidth="1"/>
    <col min="41" max="41" width="16.42578125" bestFit="1" customWidth="1"/>
    <col min="42" max="45" width="0" hidden="1" customWidth="1"/>
    <col min="46" max="46" width="6.85546875" customWidth="1"/>
    <col min="47" max="47" width="8" customWidth="1"/>
    <col min="48" max="48" width="18.85546875" style="475" bestFit="1" customWidth="1"/>
    <col min="49" max="50" width="18.140625" style="475" bestFit="1" customWidth="1"/>
    <col min="51" max="51" width="18.5703125" style="475" bestFit="1" customWidth="1"/>
    <col min="52" max="52" width="4.28515625" style="478" customWidth="1"/>
    <col min="53" max="53" width="18.7109375" style="475" bestFit="1" customWidth="1"/>
    <col min="54" max="54" width="18.140625" style="475" bestFit="1" customWidth="1"/>
    <col min="55" max="55" width="17.5703125" style="475" bestFit="1" customWidth="1"/>
    <col min="56" max="56" width="19.140625" style="475" bestFit="1" customWidth="1"/>
    <col min="57" max="57" width="4.140625" style="478" customWidth="1"/>
    <col min="58" max="58" width="16.42578125" style="475" bestFit="1" customWidth="1"/>
    <col min="59" max="59" width="12.5703125" style="422" customWidth="1"/>
    <col min="60" max="61" width="16.42578125" bestFit="1" customWidth="1"/>
    <col min="62" max="66" width="14.42578125" bestFit="1" customWidth="1"/>
  </cols>
  <sheetData>
    <row r="1" spans="1:66">
      <c r="AV1" s="1265" t="s">
        <v>497</v>
      </c>
      <c r="AW1" s="1265"/>
      <c r="AX1" s="1265"/>
      <c r="AY1" s="1265"/>
      <c r="BA1" s="1265" t="s">
        <v>498</v>
      </c>
      <c r="BB1" s="1265"/>
      <c r="BC1" s="1265"/>
      <c r="BD1" s="1265"/>
    </row>
    <row r="2" spans="1:66" ht="60">
      <c r="A2" s="268" t="s">
        <v>499</v>
      </c>
      <c r="B2" s="268" t="s">
        <v>500</v>
      </c>
      <c r="C2" s="468" t="s">
        <v>501</v>
      </c>
      <c r="D2" s="444" t="s">
        <v>502</v>
      </c>
      <c r="E2" s="444" t="s">
        <v>503</v>
      </c>
      <c r="F2" s="444" t="s">
        <v>504</v>
      </c>
      <c r="G2" s="444" t="s">
        <v>505</v>
      </c>
      <c r="H2" s="444" t="s">
        <v>506</v>
      </c>
      <c r="I2" s="444" t="s">
        <v>507</v>
      </c>
      <c r="J2" s="444" t="s">
        <v>508</v>
      </c>
      <c r="K2" s="445" t="s">
        <v>509</v>
      </c>
      <c r="L2" s="444" t="s">
        <v>503</v>
      </c>
      <c r="M2" s="444" t="s">
        <v>504</v>
      </c>
      <c r="N2" s="444" t="s">
        <v>510</v>
      </c>
      <c r="O2" s="444" t="s">
        <v>511</v>
      </c>
      <c r="P2" s="444" t="s">
        <v>512</v>
      </c>
      <c r="Q2" s="444" t="s">
        <v>513</v>
      </c>
      <c r="R2" s="444" t="s">
        <v>514</v>
      </c>
      <c r="S2" s="444" t="s">
        <v>515</v>
      </c>
      <c r="T2" s="444" t="s">
        <v>516</v>
      </c>
      <c r="U2" s="444" t="s">
        <v>517</v>
      </c>
      <c r="V2" s="444" t="s">
        <v>518</v>
      </c>
      <c r="W2" s="444" t="s">
        <v>519</v>
      </c>
      <c r="X2" s="444" t="s">
        <v>520</v>
      </c>
      <c r="Y2" s="444" t="s">
        <v>521</v>
      </c>
      <c r="Z2" s="444" t="s">
        <v>522</v>
      </c>
      <c r="AA2" s="444" t="s">
        <v>523</v>
      </c>
      <c r="AB2" s="444" t="s">
        <v>524</v>
      </c>
      <c r="AC2" s="444" t="s">
        <v>512</v>
      </c>
      <c r="AD2" s="444" t="s">
        <v>525</v>
      </c>
      <c r="AE2" s="444" t="s">
        <v>526</v>
      </c>
      <c r="AF2" s="444" t="s">
        <v>527</v>
      </c>
      <c r="AG2" s="444" t="s">
        <v>528</v>
      </c>
      <c r="AH2" s="444" t="s">
        <v>529</v>
      </c>
      <c r="AI2" s="444" t="s">
        <v>530</v>
      </c>
      <c r="AJ2" s="444" t="s">
        <v>531</v>
      </c>
      <c r="AK2" s="444" t="s">
        <v>532</v>
      </c>
      <c r="AL2" s="444" t="s">
        <v>533</v>
      </c>
      <c r="AM2" s="444" t="s">
        <v>534</v>
      </c>
      <c r="AN2" s="444" t="s">
        <v>535</v>
      </c>
      <c r="AO2" s="444" t="s">
        <v>536</v>
      </c>
      <c r="AP2" s="444" t="s">
        <v>537</v>
      </c>
      <c r="AQ2" s="444" t="s">
        <v>538</v>
      </c>
      <c r="AR2" s="444" t="s">
        <v>539</v>
      </c>
      <c r="AS2" s="444" t="s">
        <v>540</v>
      </c>
      <c r="AT2" s="72"/>
      <c r="AU2" s="414"/>
      <c r="AV2" s="471" t="s">
        <v>541</v>
      </c>
      <c r="AW2" s="471" t="s">
        <v>542</v>
      </c>
      <c r="AX2" s="471" t="s">
        <v>543</v>
      </c>
      <c r="AY2" s="479"/>
      <c r="AZ2" s="480"/>
      <c r="BA2" s="471" t="s">
        <v>541</v>
      </c>
      <c r="BB2" s="471" t="s">
        <v>542</v>
      </c>
      <c r="BC2" s="471" t="s">
        <v>543</v>
      </c>
      <c r="BD2" s="479"/>
      <c r="BE2" s="480"/>
      <c r="BF2" s="480"/>
      <c r="BG2" s="435"/>
      <c r="BH2" s="72"/>
      <c r="BJ2" s="414" t="s">
        <v>544</v>
      </c>
      <c r="BK2" s="414" t="s">
        <v>545</v>
      </c>
      <c r="BL2" s="414" t="s">
        <v>546</v>
      </c>
      <c r="BM2" s="414" t="s">
        <v>547</v>
      </c>
      <c r="BN2" s="414" t="s">
        <v>548</v>
      </c>
    </row>
    <row r="3" spans="1:66">
      <c r="A3" s="269" t="s">
        <v>549</v>
      </c>
      <c r="B3" s="269">
        <v>7673</v>
      </c>
      <c r="C3" s="466" t="s">
        <v>550</v>
      </c>
      <c r="D3" s="467" t="s">
        <v>551</v>
      </c>
      <c r="E3" s="469">
        <v>44562</v>
      </c>
      <c r="F3" s="469">
        <v>44620</v>
      </c>
      <c r="G3" s="467" t="s">
        <v>552</v>
      </c>
      <c r="H3" s="469">
        <v>44562</v>
      </c>
      <c r="I3" s="467" t="s">
        <v>553</v>
      </c>
      <c r="J3" s="440" t="s">
        <v>554</v>
      </c>
      <c r="K3" s="467" t="s">
        <v>555</v>
      </c>
      <c r="L3" s="469">
        <v>44230</v>
      </c>
      <c r="M3" s="469">
        <v>44561</v>
      </c>
      <c r="N3" s="467" t="s">
        <v>556</v>
      </c>
      <c r="O3" s="467" t="s">
        <v>557</v>
      </c>
      <c r="P3" s="440" t="s">
        <v>558</v>
      </c>
      <c r="Q3" s="467" t="s">
        <v>559</v>
      </c>
      <c r="R3" s="467" t="s">
        <v>560</v>
      </c>
      <c r="S3" s="440" t="s">
        <v>561</v>
      </c>
      <c r="T3" s="440" t="s">
        <v>562</v>
      </c>
      <c r="U3" s="440" t="s">
        <v>563</v>
      </c>
      <c r="V3" s="440" t="s">
        <v>564</v>
      </c>
      <c r="W3" s="440" t="s">
        <v>565</v>
      </c>
      <c r="X3" s="440" t="s">
        <v>566</v>
      </c>
      <c r="Y3" s="440" t="s">
        <v>567</v>
      </c>
      <c r="Z3" s="440" t="s">
        <v>568</v>
      </c>
      <c r="AA3" s="440" t="s">
        <v>569</v>
      </c>
      <c r="AB3" s="467" t="s">
        <v>570</v>
      </c>
      <c r="AC3" s="440" t="s">
        <v>571</v>
      </c>
      <c r="AD3" s="440" t="s">
        <v>572</v>
      </c>
      <c r="AE3" s="440" t="s">
        <v>573</v>
      </c>
      <c r="AF3" s="440" t="s">
        <v>574</v>
      </c>
      <c r="AG3" s="440" t="s">
        <v>575</v>
      </c>
      <c r="AH3" s="440" t="s">
        <v>576</v>
      </c>
      <c r="AI3" s="442">
        <v>5250000</v>
      </c>
      <c r="AJ3" s="442">
        <v>0</v>
      </c>
      <c r="AK3" s="442">
        <v>0</v>
      </c>
      <c r="AL3" s="442">
        <v>5250000</v>
      </c>
      <c r="AM3" s="442">
        <f>3500000+1750000</f>
        <v>5250000</v>
      </c>
      <c r="AN3" s="442">
        <f>AI3-AJ3-AK3-AM3</f>
        <v>0</v>
      </c>
      <c r="AO3" s="440" t="s">
        <v>577</v>
      </c>
      <c r="AP3" s="440" t="s">
        <v>551</v>
      </c>
      <c r="AQ3" s="440" t="s">
        <v>578</v>
      </c>
      <c r="AR3" s="440" t="s">
        <v>551</v>
      </c>
      <c r="AS3" s="441">
        <v>44564</v>
      </c>
      <c r="AT3" s="439"/>
      <c r="AU3" s="443" t="s">
        <v>541</v>
      </c>
      <c r="AV3" s="472">
        <f>AL3</f>
        <v>5250000</v>
      </c>
      <c r="AW3" s="472">
        <v>0</v>
      </c>
      <c r="AX3" s="472">
        <v>0</v>
      </c>
      <c r="AY3" s="481">
        <f t="shared" ref="AY3:AY14" si="0">SUM(AV3:AX3)</f>
        <v>5250000</v>
      </c>
      <c r="AZ3" s="477"/>
      <c r="BA3" s="626">
        <f>AM3</f>
        <v>5250000</v>
      </c>
      <c r="BB3" s="472">
        <v>0</v>
      </c>
      <c r="BC3" s="472">
        <v>0</v>
      </c>
      <c r="BD3" s="481">
        <f t="shared" ref="BD3:BD14" si="1">SUM(BA3:BC3)</f>
        <v>5250000</v>
      </c>
      <c r="BE3" s="477"/>
      <c r="BF3" s="481">
        <f t="shared" ref="BF3:BF14" si="2">BD3-AM3</f>
        <v>0</v>
      </c>
      <c r="BG3" s="423"/>
      <c r="BH3" s="266"/>
      <c r="BJ3" s="447"/>
      <c r="BK3" s="447"/>
      <c r="BL3" s="447"/>
      <c r="BM3" s="447"/>
      <c r="BN3" s="447"/>
    </row>
    <row r="4" spans="1:66">
      <c r="A4" s="269" t="s">
        <v>579</v>
      </c>
      <c r="B4" s="269">
        <v>7673</v>
      </c>
      <c r="C4" s="466" t="s">
        <v>550</v>
      </c>
      <c r="D4" s="467" t="s">
        <v>551</v>
      </c>
      <c r="E4" s="469">
        <v>44562</v>
      </c>
      <c r="F4" s="469">
        <v>44620</v>
      </c>
      <c r="G4" s="467" t="s">
        <v>552</v>
      </c>
      <c r="H4" s="469">
        <v>44562</v>
      </c>
      <c r="I4" s="467" t="s">
        <v>580</v>
      </c>
      <c r="J4" s="440" t="s">
        <v>581</v>
      </c>
      <c r="K4" s="467" t="s">
        <v>582</v>
      </c>
      <c r="L4" s="469">
        <v>44561</v>
      </c>
      <c r="M4" s="469">
        <v>44561</v>
      </c>
      <c r="N4" s="467" t="s">
        <v>583</v>
      </c>
      <c r="O4" s="467" t="s">
        <v>557</v>
      </c>
      <c r="P4" s="440" t="s">
        <v>558</v>
      </c>
      <c r="Q4" s="467" t="s">
        <v>584</v>
      </c>
      <c r="R4" s="467" t="s">
        <v>585</v>
      </c>
      <c r="S4" s="440" t="s">
        <v>586</v>
      </c>
      <c r="T4" s="440" t="s">
        <v>562</v>
      </c>
      <c r="U4" s="440" t="s">
        <v>563</v>
      </c>
      <c r="V4" s="440" t="s">
        <v>564</v>
      </c>
      <c r="W4" s="440" t="s">
        <v>565</v>
      </c>
      <c r="X4" s="440" t="s">
        <v>566</v>
      </c>
      <c r="Y4" s="440" t="s">
        <v>567</v>
      </c>
      <c r="Z4" s="440" t="s">
        <v>587</v>
      </c>
      <c r="AA4" s="440" t="s">
        <v>588</v>
      </c>
      <c r="AB4" s="467" t="s">
        <v>570</v>
      </c>
      <c r="AC4" s="440" t="s">
        <v>571</v>
      </c>
      <c r="AD4" s="440" t="s">
        <v>589</v>
      </c>
      <c r="AE4" s="440" t="s">
        <v>573</v>
      </c>
      <c r="AF4" s="440" t="s">
        <v>590</v>
      </c>
      <c r="AG4" s="440" t="s">
        <v>331</v>
      </c>
      <c r="AH4" s="440" t="s">
        <v>576</v>
      </c>
      <c r="AI4" s="442">
        <v>2833333</v>
      </c>
      <c r="AJ4" s="442">
        <v>0</v>
      </c>
      <c r="AK4" s="442">
        <v>0</v>
      </c>
      <c r="AL4" s="442">
        <v>2833333</v>
      </c>
      <c r="AM4" s="442">
        <v>2833333</v>
      </c>
      <c r="AN4" s="442">
        <f t="shared" ref="AN4:AN14" si="3">AI4-AJ4-AK4-AM4</f>
        <v>0</v>
      </c>
      <c r="AO4" s="440" t="s">
        <v>591</v>
      </c>
      <c r="AP4" s="440" t="s">
        <v>551</v>
      </c>
      <c r="AQ4" s="440" t="s">
        <v>592</v>
      </c>
      <c r="AR4" s="440" t="s">
        <v>551</v>
      </c>
      <c r="AS4" s="441">
        <v>44564</v>
      </c>
      <c r="AT4" s="439"/>
      <c r="AU4" s="443" t="s">
        <v>543</v>
      </c>
      <c r="AV4" s="472">
        <v>0</v>
      </c>
      <c r="AW4" s="472">
        <v>0</v>
      </c>
      <c r="AX4" s="472">
        <v>2833333</v>
      </c>
      <c r="AY4" s="481">
        <f t="shared" si="0"/>
        <v>2833333</v>
      </c>
      <c r="AZ4" s="477"/>
      <c r="BA4" s="472">
        <v>0</v>
      </c>
      <c r="BB4" s="472">
        <v>0</v>
      </c>
      <c r="BC4" s="472">
        <f>AM4</f>
        <v>2833333</v>
      </c>
      <c r="BD4" s="481">
        <f t="shared" si="1"/>
        <v>2833333</v>
      </c>
      <c r="BE4" s="477"/>
      <c r="BF4" s="481">
        <f t="shared" si="2"/>
        <v>0</v>
      </c>
      <c r="BG4" s="423"/>
      <c r="BH4" s="266"/>
      <c r="BJ4" s="447">
        <v>2833333</v>
      </c>
      <c r="BK4" s="447"/>
      <c r="BL4" s="447"/>
      <c r="BM4" s="447"/>
      <c r="BN4" s="447"/>
    </row>
    <row r="5" spans="1:66">
      <c r="A5" s="269" t="s">
        <v>593</v>
      </c>
      <c r="B5" s="269">
        <v>7673</v>
      </c>
      <c r="C5" s="466" t="s">
        <v>550</v>
      </c>
      <c r="D5" s="467" t="s">
        <v>551</v>
      </c>
      <c r="E5" s="469">
        <v>44562</v>
      </c>
      <c r="F5" s="469">
        <v>44620</v>
      </c>
      <c r="G5" s="467" t="s">
        <v>552</v>
      </c>
      <c r="H5" s="469">
        <v>44562</v>
      </c>
      <c r="I5" s="467" t="s">
        <v>594</v>
      </c>
      <c r="J5" s="440" t="s">
        <v>595</v>
      </c>
      <c r="K5" s="467" t="s">
        <v>596</v>
      </c>
      <c r="L5" s="469">
        <v>44378</v>
      </c>
      <c r="M5" s="469">
        <v>44561</v>
      </c>
      <c r="N5" s="467" t="s">
        <v>597</v>
      </c>
      <c r="O5" s="467" t="s">
        <v>557</v>
      </c>
      <c r="P5" s="440" t="s">
        <v>558</v>
      </c>
      <c r="Q5" s="467" t="s">
        <v>598</v>
      </c>
      <c r="R5" s="467" t="s">
        <v>599</v>
      </c>
      <c r="S5" s="440" t="s">
        <v>600</v>
      </c>
      <c r="T5" s="440" t="s">
        <v>562</v>
      </c>
      <c r="U5" s="440" t="s">
        <v>563</v>
      </c>
      <c r="V5" s="440" t="s">
        <v>564</v>
      </c>
      <c r="W5" s="440" t="s">
        <v>565</v>
      </c>
      <c r="X5" s="440" t="s">
        <v>601</v>
      </c>
      <c r="Y5" s="440" t="s">
        <v>602</v>
      </c>
      <c r="Z5" s="440" t="s">
        <v>587</v>
      </c>
      <c r="AA5" s="440" t="s">
        <v>588</v>
      </c>
      <c r="AB5" s="467" t="s">
        <v>570</v>
      </c>
      <c r="AC5" s="440" t="s">
        <v>571</v>
      </c>
      <c r="AD5" s="440" t="s">
        <v>603</v>
      </c>
      <c r="AE5" s="440" t="s">
        <v>604</v>
      </c>
      <c r="AF5" s="440" t="s">
        <v>605</v>
      </c>
      <c r="AG5" s="440" t="s">
        <v>606</v>
      </c>
      <c r="AH5" s="440" t="s">
        <v>576</v>
      </c>
      <c r="AI5" s="442">
        <v>253060895</v>
      </c>
      <c r="AJ5" s="442">
        <v>0</v>
      </c>
      <c r="AK5" s="442">
        <v>0</v>
      </c>
      <c r="AL5" s="442">
        <v>253060895</v>
      </c>
      <c r="AM5" s="442">
        <f>28688359+10006641+49766332+0+57070608+29338503+35681367+26958669</f>
        <v>237510479</v>
      </c>
      <c r="AN5" s="442">
        <f t="shared" si="3"/>
        <v>15550416</v>
      </c>
      <c r="AO5" s="440" t="s">
        <v>607</v>
      </c>
      <c r="AP5" s="440" t="s">
        <v>551</v>
      </c>
      <c r="AQ5" s="440" t="s">
        <v>608</v>
      </c>
      <c r="AR5" s="440" t="s">
        <v>551</v>
      </c>
      <c r="AS5" s="441">
        <v>44564</v>
      </c>
      <c r="AT5" s="439"/>
      <c r="AU5" s="443" t="s">
        <v>541</v>
      </c>
      <c r="AV5" s="472">
        <f>AL5*94%</f>
        <v>237877241.29999998</v>
      </c>
      <c r="AW5" s="472">
        <v>0</v>
      </c>
      <c r="AX5" s="472">
        <f>AL5*6%</f>
        <v>15183653.699999999</v>
      </c>
      <c r="AY5" s="481">
        <f t="shared" si="0"/>
        <v>253060894.99999997</v>
      </c>
      <c r="AZ5" s="477"/>
      <c r="BA5" s="626">
        <f>AM5*94%</f>
        <v>223259850.25999999</v>
      </c>
      <c r="BB5" s="472">
        <v>0</v>
      </c>
      <c r="BC5" s="626">
        <f>AM5*6%</f>
        <v>14250628.74</v>
      </c>
      <c r="BD5" s="481">
        <f t="shared" si="1"/>
        <v>237510479</v>
      </c>
      <c r="BE5" s="477"/>
      <c r="BF5" s="481">
        <f t="shared" si="2"/>
        <v>0</v>
      </c>
      <c r="BG5" s="423"/>
      <c r="BH5" s="266"/>
      <c r="BI5" s="366"/>
      <c r="BJ5" s="447"/>
      <c r="BK5" s="447">
        <f>BF5/4</f>
        <v>0</v>
      </c>
      <c r="BL5" s="447">
        <v>3795913.4249999998</v>
      </c>
      <c r="BM5" s="447">
        <f>3795913.425+3795913.425</f>
        <v>7591826.8499999996</v>
      </c>
      <c r="BN5" s="447"/>
    </row>
    <row r="6" spans="1:66">
      <c r="A6" s="269" t="s">
        <v>609</v>
      </c>
      <c r="B6" s="269">
        <v>7673</v>
      </c>
      <c r="C6" s="466" t="s">
        <v>550</v>
      </c>
      <c r="D6" s="467" t="s">
        <v>551</v>
      </c>
      <c r="E6" s="469">
        <v>44562</v>
      </c>
      <c r="F6" s="469">
        <v>44620</v>
      </c>
      <c r="G6" s="467" t="s">
        <v>552</v>
      </c>
      <c r="H6" s="469">
        <v>44562</v>
      </c>
      <c r="I6" s="467" t="s">
        <v>580</v>
      </c>
      <c r="J6" s="440" t="s">
        <v>581</v>
      </c>
      <c r="K6" s="467" t="s">
        <v>610</v>
      </c>
      <c r="L6" s="469">
        <v>44561</v>
      </c>
      <c r="M6" s="469">
        <v>44561</v>
      </c>
      <c r="N6" s="467" t="s">
        <v>583</v>
      </c>
      <c r="O6" s="467" t="s">
        <v>557</v>
      </c>
      <c r="P6" s="440" t="s">
        <v>558</v>
      </c>
      <c r="Q6" s="467" t="s">
        <v>611</v>
      </c>
      <c r="R6" s="467" t="s">
        <v>612</v>
      </c>
      <c r="S6" s="440" t="s">
        <v>613</v>
      </c>
      <c r="T6" s="440" t="s">
        <v>562</v>
      </c>
      <c r="U6" s="440" t="s">
        <v>563</v>
      </c>
      <c r="V6" s="440" t="s">
        <v>564</v>
      </c>
      <c r="W6" s="440" t="s">
        <v>565</v>
      </c>
      <c r="X6" s="440" t="s">
        <v>566</v>
      </c>
      <c r="Y6" s="440" t="s">
        <v>567</v>
      </c>
      <c r="Z6" s="440" t="s">
        <v>587</v>
      </c>
      <c r="AA6" s="440" t="s">
        <v>588</v>
      </c>
      <c r="AB6" s="467" t="s">
        <v>570</v>
      </c>
      <c r="AC6" s="440" t="s">
        <v>571</v>
      </c>
      <c r="AD6" s="440" t="s">
        <v>614</v>
      </c>
      <c r="AE6" s="440" t="s">
        <v>573</v>
      </c>
      <c r="AF6" s="440" t="s">
        <v>615</v>
      </c>
      <c r="AG6" s="440" t="s">
        <v>327</v>
      </c>
      <c r="AH6" s="440" t="s">
        <v>576</v>
      </c>
      <c r="AI6" s="442">
        <v>1700000</v>
      </c>
      <c r="AJ6" s="442">
        <v>0</v>
      </c>
      <c r="AK6" s="442">
        <v>0</v>
      </c>
      <c r="AL6" s="442">
        <v>1700000</v>
      </c>
      <c r="AM6" s="442">
        <v>1700000</v>
      </c>
      <c r="AN6" s="442">
        <f t="shared" si="3"/>
        <v>0</v>
      </c>
      <c r="AO6" s="440" t="s">
        <v>616</v>
      </c>
      <c r="AP6" s="440" t="s">
        <v>551</v>
      </c>
      <c r="AQ6" s="440" t="s">
        <v>617</v>
      </c>
      <c r="AR6" s="440" t="s">
        <v>551</v>
      </c>
      <c r="AS6" s="441">
        <v>44564</v>
      </c>
      <c r="AT6" s="439"/>
      <c r="AU6" s="443" t="s">
        <v>543</v>
      </c>
      <c r="AV6" s="472">
        <v>0</v>
      </c>
      <c r="AW6" s="472">
        <v>0</v>
      </c>
      <c r="AX6" s="472">
        <v>1700000</v>
      </c>
      <c r="AY6" s="481">
        <f t="shared" si="0"/>
        <v>1700000</v>
      </c>
      <c r="AZ6" s="477"/>
      <c r="BA6" s="472">
        <v>0</v>
      </c>
      <c r="BB6" s="472">
        <v>0</v>
      </c>
      <c r="BC6" s="472">
        <v>1700000</v>
      </c>
      <c r="BD6" s="481">
        <f t="shared" si="1"/>
        <v>1700000</v>
      </c>
      <c r="BE6" s="477"/>
      <c r="BF6" s="481">
        <f t="shared" si="2"/>
        <v>0</v>
      </c>
      <c r="BG6" s="423"/>
      <c r="BH6" s="266"/>
      <c r="BJ6" s="447">
        <v>1700000</v>
      </c>
      <c r="BK6" s="447"/>
      <c r="BL6" s="447"/>
      <c r="BM6" s="447"/>
      <c r="BN6" s="447"/>
    </row>
    <row r="7" spans="1:66">
      <c r="A7" s="269" t="s">
        <v>618</v>
      </c>
      <c r="B7" s="269">
        <v>7673</v>
      </c>
      <c r="C7" s="466" t="s">
        <v>550</v>
      </c>
      <c r="D7" s="467" t="s">
        <v>551</v>
      </c>
      <c r="E7" s="469">
        <v>44562</v>
      </c>
      <c r="F7" s="469">
        <v>44620</v>
      </c>
      <c r="G7" s="467" t="s">
        <v>552</v>
      </c>
      <c r="H7" s="469">
        <v>44562</v>
      </c>
      <c r="I7" s="467" t="s">
        <v>619</v>
      </c>
      <c r="J7" s="440" t="s">
        <v>620</v>
      </c>
      <c r="K7" s="467" t="s">
        <v>621</v>
      </c>
      <c r="L7" s="469">
        <v>44411</v>
      </c>
      <c r="M7" s="469">
        <v>44561</v>
      </c>
      <c r="N7" s="467" t="s">
        <v>622</v>
      </c>
      <c r="O7" s="467" t="s">
        <v>557</v>
      </c>
      <c r="P7" s="440" t="s">
        <v>558</v>
      </c>
      <c r="Q7" s="467" t="s">
        <v>623</v>
      </c>
      <c r="R7" s="467" t="s">
        <v>624</v>
      </c>
      <c r="S7" s="440" t="s">
        <v>625</v>
      </c>
      <c r="T7" s="440" t="s">
        <v>562</v>
      </c>
      <c r="U7" s="440" t="s">
        <v>563</v>
      </c>
      <c r="V7" s="440" t="s">
        <v>564</v>
      </c>
      <c r="W7" s="440" t="s">
        <v>565</v>
      </c>
      <c r="X7" s="440" t="s">
        <v>601</v>
      </c>
      <c r="Y7" s="440" t="s">
        <v>602</v>
      </c>
      <c r="Z7" s="440" t="s">
        <v>587</v>
      </c>
      <c r="AA7" s="440" t="s">
        <v>588</v>
      </c>
      <c r="AB7" s="467" t="s">
        <v>626</v>
      </c>
      <c r="AC7" s="440" t="s">
        <v>627</v>
      </c>
      <c r="AD7" s="440" t="s">
        <v>628</v>
      </c>
      <c r="AE7" s="440" t="s">
        <v>604</v>
      </c>
      <c r="AF7" s="440" t="s">
        <v>629</v>
      </c>
      <c r="AG7" s="440" t="s">
        <v>630</v>
      </c>
      <c r="AH7" s="440" t="s">
        <v>576</v>
      </c>
      <c r="AI7" s="442">
        <v>2712013</v>
      </c>
      <c r="AJ7" s="442">
        <v>0</v>
      </c>
      <c r="AK7" s="442">
        <v>0</v>
      </c>
      <c r="AL7" s="442">
        <v>2712013</v>
      </c>
      <c r="AM7" s="442">
        <v>2712013</v>
      </c>
      <c r="AN7" s="442">
        <f t="shared" si="3"/>
        <v>0</v>
      </c>
      <c r="AO7" s="440" t="s">
        <v>631</v>
      </c>
      <c r="AP7" s="440" t="s">
        <v>551</v>
      </c>
      <c r="AQ7" s="440" t="s">
        <v>632</v>
      </c>
      <c r="AR7" s="440" t="s">
        <v>551</v>
      </c>
      <c r="AS7" s="441">
        <v>44564</v>
      </c>
      <c r="AT7" s="439"/>
      <c r="AU7" s="443" t="s">
        <v>543</v>
      </c>
      <c r="AV7" s="472">
        <v>0</v>
      </c>
      <c r="AW7" s="472">
        <v>0</v>
      </c>
      <c r="AX7" s="472">
        <v>2712013</v>
      </c>
      <c r="AY7" s="481">
        <f t="shared" si="0"/>
        <v>2712013</v>
      </c>
      <c r="AZ7" s="477"/>
      <c r="BA7" s="472">
        <v>0</v>
      </c>
      <c r="BB7" s="472">
        <v>0</v>
      </c>
      <c r="BC7" s="472">
        <v>2712013</v>
      </c>
      <c r="BD7" s="481">
        <f t="shared" si="1"/>
        <v>2712013</v>
      </c>
      <c r="BE7" s="477"/>
      <c r="BF7" s="481">
        <f t="shared" si="2"/>
        <v>0</v>
      </c>
      <c r="BG7" s="423"/>
      <c r="BH7" s="266"/>
      <c r="BJ7" s="447"/>
      <c r="BK7" s="447"/>
      <c r="BL7" s="447">
        <v>2712013</v>
      </c>
      <c r="BM7" s="447"/>
      <c r="BN7" s="447"/>
    </row>
    <row r="8" spans="1:66" s="266" customFormat="1">
      <c r="A8" s="489" t="s">
        <v>633</v>
      </c>
      <c r="B8" s="489">
        <v>7673</v>
      </c>
      <c r="C8" s="490" t="s">
        <v>550</v>
      </c>
      <c r="D8" s="491" t="s">
        <v>551</v>
      </c>
      <c r="E8" s="492">
        <v>44562</v>
      </c>
      <c r="F8" s="492">
        <v>44620</v>
      </c>
      <c r="G8" s="491" t="s">
        <v>552</v>
      </c>
      <c r="H8" s="492">
        <v>44562</v>
      </c>
      <c r="I8" s="491" t="s">
        <v>594</v>
      </c>
      <c r="J8" s="493" t="s">
        <v>595</v>
      </c>
      <c r="K8" s="491" t="s">
        <v>634</v>
      </c>
      <c r="L8" s="492">
        <v>44477</v>
      </c>
      <c r="M8" s="492">
        <v>44561</v>
      </c>
      <c r="N8" s="491" t="s">
        <v>635</v>
      </c>
      <c r="O8" s="491" t="s">
        <v>557</v>
      </c>
      <c r="P8" s="493" t="s">
        <v>558</v>
      </c>
      <c r="Q8" s="491" t="s">
        <v>636</v>
      </c>
      <c r="R8" s="491" t="s">
        <v>637</v>
      </c>
      <c r="S8" s="493" t="s">
        <v>638</v>
      </c>
      <c r="T8" s="493" t="s">
        <v>562</v>
      </c>
      <c r="U8" s="493" t="s">
        <v>563</v>
      </c>
      <c r="V8" s="493" t="s">
        <v>564</v>
      </c>
      <c r="W8" s="493" t="s">
        <v>565</v>
      </c>
      <c r="X8" s="493" t="s">
        <v>601</v>
      </c>
      <c r="Y8" s="493" t="s">
        <v>602</v>
      </c>
      <c r="Z8" s="493" t="s">
        <v>587</v>
      </c>
      <c r="AA8" s="493" t="s">
        <v>588</v>
      </c>
      <c r="AB8" s="491" t="s">
        <v>570</v>
      </c>
      <c r="AC8" s="493" t="s">
        <v>571</v>
      </c>
      <c r="AD8" s="493" t="s">
        <v>639</v>
      </c>
      <c r="AE8" s="493" t="s">
        <v>604</v>
      </c>
      <c r="AF8" s="493" t="s">
        <v>640</v>
      </c>
      <c r="AG8" s="493" t="s">
        <v>641</v>
      </c>
      <c r="AH8" s="493" t="s">
        <v>576</v>
      </c>
      <c r="AI8" s="494">
        <v>24000003</v>
      </c>
      <c r="AJ8" s="494">
        <v>0</v>
      </c>
      <c r="AK8" s="494">
        <v>0</v>
      </c>
      <c r="AL8" s="494">
        <v>24000003</v>
      </c>
      <c r="AM8" s="494">
        <v>24000003</v>
      </c>
      <c r="AN8" s="494">
        <f t="shared" si="3"/>
        <v>0</v>
      </c>
      <c r="AO8" s="493" t="s">
        <v>642</v>
      </c>
      <c r="AP8" s="493" t="s">
        <v>551</v>
      </c>
      <c r="AQ8" s="493" t="s">
        <v>643</v>
      </c>
      <c r="AR8" s="493" t="s">
        <v>551</v>
      </c>
      <c r="AS8" s="495">
        <v>44564</v>
      </c>
      <c r="AU8" s="489" t="s">
        <v>542</v>
      </c>
      <c r="AV8" s="496">
        <v>0</v>
      </c>
      <c r="AW8" s="472">
        <f>AL8</f>
        <v>24000003</v>
      </c>
      <c r="AX8" s="496">
        <v>0</v>
      </c>
      <c r="AY8" s="481">
        <f t="shared" si="0"/>
        <v>24000003</v>
      </c>
      <c r="AZ8" s="477"/>
      <c r="BA8" s="496">
        <v>0</v>
      </c>
      <c r="BB8" s="496">
        <f>AM8</f>
        <v>24000003</v>
      </c>
      <c r="BC8" s="496">
        <v>0</v>
      </c>
      <c r="BD8" s="481">
        <f t="shared" si="1"/>
        <v>24000003</v>
      </c>
      <c r="BE8" s="477"/>
      <c r="BF8" s="481">
        <f t="shared" si="2"/>
        <v>0</v>
      </c>
      <c r="BG8" s="423"/>
      <c r="BJ8" s="497"/>
      <c r="BK8" s="497"/>
      <c r="BL8" s="497"/>
      <c r="BM8" s="497"/>
      <c r="BN8" s="497"/>
    </row>
    <row r="9" spans="1:66" s="266" customFormat="1">
      <c r="A9" s="489" t="s">
        <v>644</v>
      </c>
      <c r="B9" s="489">
        <v>7673</v>
      </c>
      <c r="C9" s="490" t="s">
        <v>550</v>
      </c>
      <c r="D9" s="491" t="s">
        <v>551</v>
      </c>
      <c r="E9" s="492">
        <v>44562</v>
      </c>
      <c r="F9" s="492">
        <v>44620</v>
      </c>
      <c r="G9" s="491" t="s">
        <v>552</v>
      </c>
      <c r="H9" s="492">
        <v>44562</v>
      </c>
      <c r="I9" s="491" t="s">
        <v>645</v>
      </c>
      <c r="J9" s="493" t="s">
        <v>646</v>
      </c>
      <c r="K9" s="491" t="s">
        <v>647</v>
      </c>
      <c r="L9" s="492">
        <v>44525</v>
      </c>
      <c r="M9" s="492">
        <v>44561</v>
      </c>
      <c r="N9" s="491" t="s">
        <v>648</v>
      </c>
      <c r="O9" s="491" t="s">
        <v>557</v>
      </c>
      <c r="P9" s="493" t="s">
        <v>558</v>
      </c>
      <c r="Q9" s="491" t="s">
        <v>649</v>
      </c>
      <c r="R9" s="491" t="s">
        <v>650</v>
      </c>
      <c r="S9" s="493" t="s">
        <v>651</v>
      </c>
      <c r="T9" s="493" t="s">
        <v>562</v>
      </c>
      <c r="U9" s="493" t="s">
        <v>563</v>
      </c>
      <c r="V9" s="493" t="s">
        <v>564</v>
      </c>
      <c r="W9" s="493" t="s">
        <v>565</v>
      </c>
      <c r="X9" s="493" t="s">
        <v>652</v>
      </c>
      <c r="Y9" s="493" t="s">
        <v>653</v>
      </c>
      <c r="Z9" s="493" t="s">
        <v>587</v>
      </c>
      <c r="AA9" s="493" t="s">
        <v>588</v>
      </c>
      <c r="AB9" s="491" t="s">
        <v>570</v>
      </c>
      <c r="AC9" s="493" t="s">
        <v>571</v>
      </c>
      <c r="AD9" s="493" t="s">
        <v>654</v>
      </c>
      <c r="AE9" s="493" t="s">
        <v>604</v>
      </c>
      <c r="AF9" s="493" t="s">
        <v>655</v>
      </c>
      <c r="AG9" s="493" t="s">
        <v>656</v>
      </c>
      <c r="AH9" s="493" t="s">
        <v>576</v>
      </c>
      <c r="AI9" s="494">
        <v>84577253</v>
      </c>
      <c r="AJ9" s="494">
        <v>0</v>
      </c>
      <c r="AK9" s="494">
        <v>0</v>
      </c>
      <c r="AL9" s="494">
        <v>84577253</v>
      </c>
      <c r="AM9" s="494">
        <v>0</v>
      </c>
      <c r="AN9" s="494">
        <f t="shared" si="3"/>
        <v>84577253</v>
      </c>
      <c r="AO9" s="493" t="s">
        <v>657</v>
      </c>
      <c r="AP9" s="493" t="s">
        <v>551</v>
      </c>
      <c r="AQ9" s="493" t="s">
        <v>658</v>
      </c>
      <c r="AR9" s="493" t="s">
        <v>551</v>
      </c>
      <c r="AS9" s="495">
        <v>44564</v>
      </c>
      <c r="AU9" s="489" t="s">
        <v>541</v>
      </c>
      <c r="AV9" s="472">
        <f t="shared" ref="AV9:AV14" si="4">AL9</f>
        <v>84577253</v>
      </c>
      <c r="AW9" s="496">
        <v>0</v>
      </c>
      <c r="AX9" s="496">
        <v>0</v>
      </c>
      <c r="AY9" s="481">
        <f t="shared" si="0"/>
        <v>84577253</v>
      </c>
      <c r="AZ9" s="477"/>
      <c r="BA9" s="496">
        <v>0</v>
      </c>
      <c r="BB9" s="496">
        <v>0</v>
      </c>
      <c r="BC9" s="496">
        <v>0</v>
      </c>
      <c r="BD9" s="481">
        <f t="shared" si="1"/>
        <v>0</v>
      </c>
      <c r="BE9" s="477"/>
      <c r="BF9" s="481">
        <f t="shared" si="2"/>
        <v>0</v>
      </c>
      <c r="BG9" s="423"/>
      <c r="BJ9" s="497"/>
      <c r="BK9" s="497"/>
      <c r="BL9" s="497"/>
      <c r="BM9" s="497"/>
      <c r="BN9" s="497"/>
    </row>
    <row r="10" spans="1:66">
      <c r="A10" s="269" t="s">
        <v>659</v>
      </c>
      <c r="B10" s="269">
        <v>7673</v>
      </c>
      <c r="C10" s="466" t="s">
        <v>550</v>
      </c>
      <c r="D10" s="467" t="s">
        <v>551</v>
      </c>
      <c r="E10" s="469">
        <v>44562</v>
      </c>
      <c r="F10" s="469">
        <v>44620</v>
      </c>
      <c r="G10" s="467" t="s">
        <v>552</v>
      </c>
      <c r="H10" s="469">
        <v>44562</v>
      </c>
      <c r="I10" s="467" t="s">
        <v>660</v>
      </c>
      <c r="J10" s="440" t="s">
        <v>661</v>
      </c>
      <c r="K10" s="467" t="s">
        <v>662</v>
      </c>
      <c r="L10" s="469">
        <v>44530</v>
      </c>
      <c r="M10" s="469">
        <v>44561</v>
      </c>
      <c r="N10" s="467" t="s">
        <v>663</v>
      </c>
      <c r="O10" s="467" t="s">
        <v>557</v>
      </c>
      <c r="P10" s="440" t="s">
        <v>558</v>
      </c>
      <c r="Q10" s="467" t="s">
        <v>664</v>
      </c>
      <c r="R10" s="467" t="s">
        <v>665</v>
      </c>
      <c r="S10" s="440" t="s">
        <v>666</v>
      </c>
      <c r="T10" s="440" t="s">
        <v>562</v>
      </c>
      <c r="U10" s="440" t="s">
        <v>563</v>
      </c>
      <c r="V10" s="440" t="s">
        <v>564</v>
      </c>
      <c r="W10" s="440" t="s">
        <v>565</v>
      </c>
      <c r="X10" s="440" t="s">
        <v>667</v>
      </c>
      <c r="Y10" s="440" t="s">
        <v>668</v>
      </c>
      <c r="Z10" s="440" t="s">
        <v>587</v>
      </c>
      <c r="AA10" s="440" t="s">
        <v>588</v>
      </c>
      <c r="AB10" s="467" t="s">
        <v>669</v>
      </c>
      <c r="AC10" s="440" t="s">
        <v>670</v>
      </c>
      <c r="AD10" s="440" t="s">
        <v>671</v>
      </c>
      <c r="AE10" s="440" t="s">
        <v>604</v>
      </c>
      <c r="AF10" s="440" t="s">
        <v>672</v>
      </c>
      <c r="AG10" s="440" t="s">
        <v>673</v>
      </c>
      <c r="AH10" s="440" t="s">
        <v>576</v>
      </c>
      <c r="AI10" s="442">
        <v>16000000</v>
      </c>
      <c r="AJ10" s="442">
        <v>0</v>
      </c>
      <c r="AK10" s="442">
        <v>0</v>
      </c>
      <c r="AL10" s="442">
        <v>16000000</v>
      </c>
      <c r="AM10" s="442">
        <f>3514700+2946700</f>
        <v>6461400</v>
      </c>
      <c r="AN10" s="442">
        <f t="shared" si="3"/>
        <v>9538600</v>
      </c>
      <c r="AO10" s="440" t="s">
        <v>674</v>
      </c>
      <c r="AP10" s="440" t="s">
        <v>551</v>
      </c>
      <c r="AQ10" s="440" t="s">
        <v>675</v>
      </c>
      <c r="AR10" s="440" t="s">
        <v>551</v>
      </c>
      <c r="AS10" s="441">
        <v>44564</v>
      </c>
      <c r="AT10" s="439"/>
      <c r="AU10" s="443" t="s">
        <v>541</v>
      </c>
      <c r="AV10" s="472">
        <f t="shared" si="4"/>
        <v>16000000</v>
      </c>
      <c r="AW10" s="472">
        <v>0</v>
      </c>
      <c r="AX10" s="472">
        <v>0</v>
      </c>
      <c r="AY10" s="481">
        <f t="shared" si="0"/>
        <v>16000000</v>
      </c>
      <c r="AZ10" s="477"/>
      <c r="BA10" s="472">
        <f>3514700+2946700</f>
        <v>6461400</v>
      </c>
      <c r="BB10" s="472">
        <v>0</v>
      </c>
      <c r="BC10" s="472">
        <v>0</v>
      </c>
      <c r="BD10" s="481">
        <f t="shared" si="1"/>
        <v>6461400</v>
      </c>
      <c r="BE10" s="477"/>
      <c r="BF10" s="481">
        <f t="shared" si="2"/>
        <v>0</v>
      </c>
      <c r="BG10" s="423"/>
      <c r="BH10" s="266"/>
      <c r="BJ10" s="447"/>
      <c r="BK10" s="447"/>
      <c r="BL10" s="447"/>
      <c r="BM10" s="447"/>
      <c r="BN10" s="447"/>
    </row>
    <row r="11" spans="1:66" s="266" customFormat="1">
      <c r="A11" s="489" t="s">
        <v>676</v>
      </c>
      <c r="B11" s="489">
        <v>7673</v>
      </c>
      <c r="C11" s="490" t="s">
        <v>550</v>
      </c>
      <c r="D11" s="491" t="s">
        <v>551</v>
      </c>
      <c r="E11" s="492">
        <v>44562</v>
      </c>
      <c r="F11" s="492">
        <v>44620</v>
      </c>
      <c r="G11" s="491" t="s">
        <v>552</v>
      </c>
      <c r="H11" s="492">
        <v>44562</v>
      </c>
      <c r="I11" s="491" t="s">
        <v>645</v>
      </c>
      <c r="J11" s="493" t="s">
        <v>646</v>
      </c>
      <c r="K11" s="491">
        <v>963</v>
      </c>
      <c r="L11" s="492">
        <v>44554</v>
      </c>
      <c r="M11" s="492">
        <v>44561</v>
      </c>
      <c r="N11" s="491" t="s">
        <v>677</v>
      </c>
      <c r="O11" s="491" t="s">
        <v>557</v>
      </c>
      <c r="P11" s="493" t="s">
        <v>558</v>
      </c>
      <c r="Q11" s="491" t="s">
        <v>678</v>
      </c>
      <c r="R11" s="491">
        <v>1634</v>
      </c>
      <c r="S11" s="493" t="s">
        <v>679</v>
      </c>
      <c r="T11" s="493" t="s">
        <v>562</v>
      </c>
      <c r="U11" s="493" t="s">
        <v>563</v>
      </c>
      <c r="V11" s="493" t="s">
        <v>564</v>
      </c>
      <c r="W11" s="493" t="s">
        <v>565</v>
      </c>
      <c r="X11" s="493" t="s">
        <v>601</v>
      </c>
      <c r="Y11" s="493" t="s">
        <v>602</v>
      </c>
      <c r="Z11" s="493" t="s">
        <v>587</v>
      </c>
      <c r="AA11" s="493" t="s">
        <v>588</v>
      </c>
      <c r="AB11" s="491" t="s">
        <v>680</v>
      </c>
      <c r="AC11" s="493" t="s">
        <v>681</v>
      </c>
      <c r="AD11" s="493" t="s">
        <v>682</v>
      </c>
      <c r="AE11" s="493" t="s">
        <v>604</v>
      </c>
      <c r="AF11" s="493" t="s">
        <v>683</v>
      </c>
      <c r="AG11" s="493" t="s">
        <v>684</v>
      </c>
      <c r="AH11" s="493" t="s">
        <v>576</v>
      </c>
      <c r="AI11" s="494">
        <v>31500000</v>
      </c>
      <c r="AJ11" s="494">
        <v>0</v>
      </c>
      <c r="AK11" s="494">
        <v>0</v>
      </c>
      <c r="AL11" s="494">
        <v>31500000</v>
      </c>
      <c r="AM11" s="494">
        <v>31500000</v>
      </c>
      <c r="AN11" s="494">
        <f t="shared" si="3"/>
        <v>0</v>
      </c>
      <c r="AO11" s="493" t="s">
        <v>685</v>
      </c>
      <c r="AP11" s="493" t="s">
        <v>551</v>
      </c>
      <c r="AQ11" s="493" t="s">
        <v>686</v>
      </c>
      <c r="AR11" s="493" t="s">
        <v>551</v>
      </c>
      <c r="AS11" s="495">
        <v>44564</v>
      </c>
      <c r="AU11" s="489" t="s">
        <v>541</v>
      </c>
      <c r="AV11" s="496">
        <f t="shared" si="4"/>
        <v>31500000</v>
      </c>
      <c r="AW11" s="496">
        <v>0</v>
      </c>
      <c r="AX11" s="496">
        <v>0</v>
      </c>
      <c r="AY11" s="481">
        <f t="shared" si="0"/>
        <v>31500000</v>
      </c>
      <c r="AZ11" s="477"/>
      <c r="BA11" s="472">
        <v>31500000</v>
      </c>
      <c r="BB11" s="472">
        <v>0</v>
      </c>
      <c r="BC11" s="472">
        <v>0</v>
      </c>
      <c r="BD11" s="481">
        <f t="shared" si="1"/>
        <v>31500000</v>
      </c>
      <c r="BE11" s="477"/>
      <c r="BF11" s="481">
        <f t="shared" si="2"/>
        <v>0</v>
      </c>
      <c r="BG11" s="423"/>
      <c r="BJ11" s="497"/>
      <c r="BK11" s="497"/>
      <c r="BL11" s="497"/>
      <c r="BM11" s="497"/>
      <c r="BN11" s="497"/>
    </row>
    <row r="12" spans="1:66">
      <c r="A12" s="269" t="s">
        <v>687</v>
      </c>
      <c r="B12" s="269">
        <v>7673</v>
      </c>
      <c r="C12" s="466" t="s">
        <v>550</v>
      </c>
      <c r="D12" s="467" t="s">
        <v>551</v>
      </c>
      <c r="E12" s="469">
        <v>44562</v>
      </c>
      <c r="F12" s="469">
        <v>44620</v>
      </c>
      <c r="G12" s="467" t="s">
        <v>552</v>
      </c>
      <c r="H12" s="469">
        <v>44562</v>
      </c>
      <c r="I12" s="467" t="s">
        <v>680</v>
      </c>
      <c r="J12" s="440" t="s">
        <v>688</v>
      </c>
      <c r="K12" s="467">
        <v>78092</v>
      </c>
      <c r="L12" s="469">
        <v>44490</v>
      </c>
      <c r="M12" s="469">
        <v>44497</v>
      </c>
      <c r="N12" s="467" t="s">
        <v>677</v>
      </c>
      <c r="O12" s="467" t="s">
        <v>557</v>
      </c>
      <c r="P12" s="440" t="s">
        <v>558</v>
      </c>
      <c r="Q12" s="467" t="s">
        <v>689</v>
      </c>
      <c r="R12" s="467" t="s">
        <v>690</v>
      </c>
      <c r="S12" s="440" t="s">
        <v>691</v>
      </c>
      <c r="T12" s="440" t="s">
        <v>562</v>
      </c>
      <c r="U12" s="440" t="s">
        <v>563</v>
      </c>
      <c r="V12" s="440" t="s">
        <v>564</v>
      </c>
      <c r="W12" s="440" t="s">
        <v>565</v>
      </c>
      <c r="X12" s="440" t="s">
        <v>667</v>
      </c>
      <c r="Y12" s="440" t="s">
        <v>668</v>
      </c>
      <c r="Z12" s="440" t="s">
        <v>587</v>
      </c>
      <c r="AA12" s="440" t="s">
        <v>588</v>
      </c>
      <c r="AB12" s="467" t="s">
        <v>680</v>
      </c>
      <c r="AC12" s="440" t="s">
        <v>681</v>
      </c>
      <c r="AD12" s="440" t="s">
        <v>692</v>
      </c>
      <c r="AE12" s="440" t="s">
        <v>604</v>
      </c>
      <c r="AF12" s="440" t="s">
        <v>693</v>
      </c>
      <c r="AG12" s="440" t="s">
        <v>694</v>
      </c>
      <c r="AH12" s="440" t="s">
        <v>576</v>
      </c>
      <c r="AI12" s="442">
        <v>4759996</v>
      </c>
      <c r="AJ12" s="442">
        <v>4759996</v>
      </c>
      <c r="AK12" s="442">
        <v>0</v>
      </c>
      <c r="AL12" s="442">
        <f>AI12-AJ12</f>
        <v>0</v>
      </c>
      <c r="AM12" s="442">
        <v>0</v>
      </c>
      <c r="AN12" s="442">
        <f t="shared" si="3"/>
        <v>0</v>
      </c>
      <c r="AO12" s="440" t="s">
        <v>695</v>
      </c>
      <c r="AP12" s="440" t="s">
        <v>551</v>
      </c>
      <c r="AQ12" s="440" t="s">
        <v>696</v>
      </c>
      <c r="AR12" s="440" t="s">
        <v>551</v>
      </c>
      <c r="AS12" s="441">
        <v>44564</v>
      </c>
      <c r="AT12" s="439"/>
      <c r="AU12" s="443" t="s">
        <v>541</v>
      </c>
      <c r="AV12" s="472">
        <f t="shared" si="4"/>
        <v>0</v>
      </c>
      <c r="AW12" s="472">
        <v>0</v>
      </c>
      <c r="AX12" s="472">
        <v>0</v>
      </c>
      <c r="AY12" s="481">
        <f t="shared" si="0"/>
        <v>0</v>
      </c>
      <c r="AZ12" s="477"/>
      <c r="BA12" s="472">
        <v>0</v>
      </c>
      <c r="BB12" s="472">
        <v>0</v>
      </c>
      <c r="BC12" s="472">
        <v>0</v>
      </c>
      <c r="BD12" s="481">
        <f t="shared" si="1"/>
        <v>0</v>
      </c>
      <c r="BE12" s="477"/>
      <c r="BF12" s="481">
        <f t="shared" si="2"/>
        <v>0</v>
      </c>
      <c r="BG12" s="423"/>
      <c r="BH12" s="266"/>
      <c r="BJ12" s="447"/>
      <c r="BK12" s="447"/>
      <c r="BL12" s="447"/>
      <c r="BM12" s="447"/>
      <c r="BN12" s="447"/>
    </row>
    <row r="13" spans="1:66">
      <c r="A13" s="269" t="s">
        <v>697</v>
      </c>
      <c r="B13" s="269">
        <v>7673</v>
      </c>
      <c r="C13" s="466" t="s">
        <v>550</v>
      </c>
      <c r="D13" s="467" t="s">
        <v>551</v>
      </c>
      <c r="E13" s="469">
        <v>44562</v>
      </c>
      <c r="F13" s="469">
        <v>44620</v>
      </c>
      <c r="G13" s="467" t="s">
        <v>552</v>
      </c>
      <c r="H13" s="469">
        <v>44562</v>
      </c>
      <c r="I13" s="467" t="s">
        <v>680</v>
      </c>
      <c r="J13" s="440" t="s">
        <v>688</v>
      </c>
      <c r="K13" s="467" t="s">
        <v>698</v>
      </c>
      <c r="L13" s="469">
        <v>44557</v>
      </c>
      <c r="M13" s="469">
        <v>44561</v>
      </c>
      <c r="N13" s="467" t="s">
        <v>699</v>
      </c>
      <c r="O13" s="467" t="s">
        <v>557</v>
      </c>
      <c r="P13" s="440" t="s">
        <v>558</v>
      </c>
      <c r="Q13" s="467" t="s">
        <v>700</v>
      </c>
      <c r="R13" s="467" t="s">
        <v>701</v>
      </c>
      <c r="S13" s="440" t="s">
        <v>702</v>
      </c>
      <c r="T13" s="440" t="s">
        <v>562</v>
      </c>
      <c r="U13" s="440" t="s">
        <v>563</v>
      </c>
      <c r="V13" s="440" t="s">
        <v>564</v>
      </c>
      <c r="W13" s="440" t="s">
        <v>565</v>
      </c>
      <c r="X13" s="440" t="s">
        <v>703</v>
      </c>
      <c r="Y13" s="440" t="s">
        <v>704</v>
      </c>
      <c r="Z13" s="440" t="s">
        <v>587</v>
      </c>
      <c r="AA13" s="440" t="s">
        <v>588</v>
      </c>
      <c r="AB13" s="467" t="s">
        <v>705</v>
      </c>
      <c r="AC13" s="440" t="s">
        <v>706</v>
      </c>
      <c r="AD13" s="440" t="s">
        <v>707</v>
      </c>
      <c r="AE13" s="440" t="s">
        <v>604</v>
      </c>
      <c r="AF13" s="440" t="s">
        <v>708</v>
      </c>
      <c r="AG13" s="440" t="s">
        <v>709</v>
      </c>
      <c r="AH13" s="440" t="s">
        <v>576</v>
      </c>
      <c r="AI13" s="442">
        <v>130507157</v>
      </c>
      <c r="AJ13" s="442">
        <v>0</v>
      </c>
      <c r="AK13" s="442">
        <v>0</v>
      </c>
      <c r="AL13" s="442">
        <v>130507157</v>
      </c>
      <c r="AM13" s="442">
        <v>130507157</v>
      </c>
      <c r="AN13" s="442">
        <f t="shared" si="3"/>
        <v>0</v>
      </c>
      <c r="AO13" s="440" t="s">
        <v>710</v>
      </c>
      <c r="AP13" s="440" t="s">
        <v>551</v>
      </c>
      <c r="AQ13" s="440" t="s">
        <v>711</v>
      </c>
      <c r="AR13" s="440" t="s">
        <v>551</v>
      </c>
      <c r="AS13" s="441">
        <v>44564</v>
      </c>
      <c r="AT13" s="439"/>
      <c r="AU13" s="443" t="s">
        <v>712</v>
      </c>
      <c r="AV13" s="472">
        <f t="shared" si="4"/>
        <v>130507157</v>
      </c>
      <c r="AW13" s="472">
        <v>0</v>
      </c>
      <c r="AX13" s="472">
        <v>0</v>
      </c>
      <c r="AY13" s="481">
        <f t="shared" si="0"/>
        <v>130507157</v>
      </c>
      <c r="AZ13" s="477"/>
      <c r="BA13" s="472">
        <f>120066584.44+10440572.56</f>
        <v>130507157</v>
      </c>
      <c r="BB13" s="472">
        <v>0</v>
      </c>
      <c r="BC13" s="472"/>
      <c r="BD13" s="481">
        <f t="shared" si="1"/>
        <v>130507157</v>
      </c>
      <c r="BE13" s="477"/>
      <c r="BF13" s="481">
        <f t="shared" si="2"/>
        <v>0</v>
      </c>
      <c r="BG13" s="423"/>
      <c r="BH13" s="266"/>
      <c r="BJ13" s="447"/>
      <c r="BK13" s="447"/>
      <c r="BL13" s="447"/>
      <c r="BM13" s="447"/>
      <c r="BN13" s="447"/>
    </row>
    <row r="14" spans="1:66">
      <c r="A14" s="269" t="s">
        <v>713</v>
      </c>
      <c r="B14" s="269">
        <v>7673</v>
      </c>
      <c r="C14" s="466" t="s">
        <v>550</v>
      </c>
      <c r="D14" s="467" t="s">
        <v>551</v>
      </c>
      <c r="E14" s="469">
        <v>44562</v>
      </c>
      <c r="F14" s="469">
        <v>44620</v>
      </c>
      <c r="G14" s="467" t="s">
        <v>552</v>
      </c>
      <c r="H14" s="469">
        <v>44562</v>
      </c>
      <c r="I14" s="467" t="s">
        <v>594</v>
      </c>
      <c r="J14" s="440" t="s">
        <v>595</v>
      </c>
      <c r="K14" s="467" t="s">
        <v>714</v>
      </c>
      <c r="L14" s="469">
        <v>44319</v>
      </c>
      <c r="M14" s="469">
        <v>44377</v>
      </c>
      <c r="N14" s="467" t="s">
        <v>715</v>
      </c>
      <c r="O14" s="467" t="s">
        <v>557</v>
      </c>
      <c r="P14" s="440" t="s">
        <v>558</v>
      </c>
      <c r="Q14" s="467" t="s">
        <v>716</v>
      </c>
      <c r="R14" s="467" t="s">
        <v>717</v>
      </c>
      <c r="S14" s="440" t="s">
        <v>718</v>
      </c>
      <c r="T14" s="440" t="s">
        <v>562</v>
      </c>
      <c r="U14" s="440" t="s">
        <v>563</v>
      </c>
      <c r="V14" s="440" t="s">
        <v>564</v>
      </c>
      <c r="W14" s="440" t="s">
        <v>565</v>
      </c>
      <c r="X14" s="440" t="s">
        <v>601</v>
      </c>
      <c r="Y14" s="440" t="s">
        <v>602</v>
      </c>
      <c r="Z14" s="440" t="s">
        <v>587</v>
      </c>
      <c r="AA14" s="440" t="s">
        <v>588</v>
      </c>
      <c r="AB14" s="467" t="s">
        <v>570</v>
      </c>
      <c r="AC14" s="440" t="s">
        <v>571</v>
      </c>
      <c r="AD14" s="440" t="s">
        <v>603</v>
      </c>
      <c r="AE14" s="440" t="s">
        <v>604</v>
      </c>
      <c r="AF14" s="440" t="s">
        <v>605</v>
      </c>
      <c r="AG14" s="440" t="s">
        <v>606</v>
      </c>
      <c r="AH14" s="440" t="s">
        <v>576</v>
      </c>
      <c r="AI14" s="442">
        <v>4167765</v>
      </c>
      <c r="AJ14" s="442">
        <v>4167765</v>
      </c>
      <c r="AK14" s="442">
        <v>0</v>
      </c>
      <c r="AL14" s="442">
        <f>AI14-AJ14</f>
        <v>0</v>
      </c>
      <c r="AM14" s="442">
        <v>0</v>
      </c>
      <c r="AN14" s="442">
        <f t="shared" si="3"/>
        <v>0</v>
      </c>
      <c r="AO14" s="440" t="s">
        <v>719</v>
      </c>
      <c r="AP14" s="440" t="s">
        <v>551</v>
      </c>
      <c r="AQ14" s="440" t="s">
        <v>720</v>
      </c>
      <c r="AR14" s="440" t="s">
        <v>551</v>
      </c>
      <c r="AS14" s="441">
        <v>44564</v>
      </c>
      <c r="AT14" s="439"/>
      <c r="AU14" s="443" t="s">
        <v>541</v>
      </c>
      <c r="AV14" s="472">
        <f t="shared" si="4"/>
        <v>0</v>
      </c>
      <c r="AW14" s="472">
        <v>0</v>
      </c>
      <c r="AX14" s="472">
        <v>0</v>
      </c>
      <c r="AY14" s="481">
        <f t="shared" si="0"/>
        <v>0</v>
      </c>
      <c r="AZ14" s="477"/>
      <c r="BA14" s="472">
        <v>0</v>
      </c>
      <c r="BB14" s="472">
        <v>0</v>
      </c>
      <c r="BC14" s="472">
        <v>0</v>
      </c>
      <c r="BD14" s="481">
        <f t="shared" si="1"/>
        <v>0</v>
      </c>
      <c r="BE14" s="477"/>
      <c r="BF14" s="481">
        <f t="shared" si="2"/>
        <v>0</v>
      </c>
      <c r="BG14" s="423"/>
      <c r="BH14" s="266"/>
      <c r="BJ14" s="447"/>
      <c r="BK14" s="447"/>
      <c r="BL14" s="447"/>
      <c r="BM14" s="447"/>
      <c r="BN14" s="447"/>
    </row>
    <row r="15" spans="1:66" s="266" customFormat="1">
      <c r="A15" s="498"/>
      <c r="B15" s="498"/>
      <c r="C15" s="490"/>
      <c r="D15" s="490"/>
      <c r="E15" s="490"/>
      <c r="F15" s="490"/>
      <c r="G15" s="490"/>
      <c r="H15" s="490"/>
      <c r="I15" s="490"/>
      <c r="J15" s="498"/>
      <c r="K15" s="490"/>
      <c r="L15" s="490"/>
      <c r="M15" s="490"/>
      <c r="N15" s="490"/>
      <c r="O15" s="490"/>
      <c r="P15" s="498"/>
      <c r="Q15" s="490"/>
      <c r="R15" s="490"/>
      <c r="S15" s="498"/>
      <c r="T15" s="498"/>
      <c r="U15" s="498"/>
      <c r="V15" s="498"/>
      <c r="W15" s="498"/>
      <c r="X15" s="498"/>
      <c r="Y15" s="498"/>
      <c r="Z15" s="498"/>
      <c r="AA15" s="498"/>
      <c r="AB15" s="490"/>
      <c r="AC15" s="498"/>
      <c r="AD15" s="498"/>
      <c r="AE15" s="498"/>
      <c r="AF15" s="498"/>
      <c r="AG15" s="498"/>
      <c r="AH15" s="498"/>
      <c r="AI15" s="499">
        <f t="shared" ref="AI15:AN15" si="5">SUM(AI3:AI14)</f>
        <v>561068415</v>
      </c>
      <c r="AJ15" s="499">
        <f t="shared" si="5"/>
        <v>8927761</v>
      </c>
      <c r="AK15" s="499">
        <f t="shared" si="5"/>
        <v>0</v>
      </c>
      <c r="AL15" s="499">
        <f>SUM(AL3:AL14)</f>
        <v>552140654</v>
      </c>
      <c r="AM15" s="499">
        <f t="shared" si="5"/>
        <v>442474385</v>
      </c>
      <c r="AN15" s="499">
        <f t="shared" si="5"/>
        <v>109666269</v>
      </c>
      <c r="AO15" s="498"/>
      <c r="AP15" s="498"/>
      <c r="AQ15" s="498"/>
      <c r="AR15" s="498"/>
      <c r="AS15" s="498"/>
      <c r="AT15" s="498"/>
      <c r="AU15" s="498"/>
      <c r="AV15" s="500"/>
      <c r="AW15" s="500"/>
      <c r="AX15" s="500"/>
      <c r="AY15" s="500"/>
      <c r="AZ15" s="501"/>
      <c r="BA15" s="500"/>
      <c r="BB15" s="500"/>
      <c r="BC15" s="500"/>
      <c r="BD15" s="500"/>
      <c r="BE15" s="501"/>
      <c r="BF15" s="500"/>
      <c r="BG15" s="423"/>
      <c r="BJ15" s="497"/>
      <c r="BK15" s="497"/>
      <c r="BL15" s="497"/>
      <c r="BM15" s="497"/>
      <c r="BN15" s="497"/>
    </row>
    <row r="16" spans="1:66">
      <c r="A16" s="270"/>
      <c r="B16" s="270"/>
      <c r="C16" s="466"/>
      <c r="D16" s="466"/>
      <c r="E16" s="466"/>
      <c r="F16" s="466"/>
      <c r="G16" s="466"/>
      <c r="H16" s="466"/>
      <c r="I16" s="466"/>
      <c r="J16" s="270"/>
      <c r="K16" s="466"/>
      <c r="L16" s="466"/>
      <c r="M16" s="466"/>
      <c r="N16" s="466"/>
      <c r="O16" s="466"/>
      <c r="P16" s="270"/>
      <c r="Q16" s="466"/>
      <c r="R16" s="466"/>
      <c r="S16" s="270"/>
      <c r="T16" s="270"/>
      <c r="U16" s="270"/>
      <c r="V16" s="270"/>
      <c r="W16" s="270"/>
      <c r="X16" s="270"/>
      <c r="Y16" s="270"/>
      <c r="Z16" s="270"/>
      <c r="AA16" s="270"/>
      <c r="AB16" s="466"/>
      <c r="AC16" s="270"/>
      <c r="AD16" s="270"/>
      <c r="AE16" s="270"/>
      <c r="AF16" s="270"/>
      <c r="AG16" s="270"/>
      <c r="AH16" s="270"/>
      <c r="AI16" s="270"/>
      <c r="AJ16" s="270"/>
      <c r="AK16" s="270"/>
      <c r="AL16" s="270"/>
      <c r="AM16" s="270"/>
      <c r="AN16" s="270"/>
      <c r="AO16" s="270"/>
      <c r="AP16" s="270"/>
      <c r="AQ16" s="270"/>
      <c r="AR16" s="271">
        <v>5753056358</v>
      </c>
      <c r="AS16" s="270"/>
      <c r="AT16" s="270"/>
      <c r="AU16" s="270"/>
      <c r="AV16" s="474">
        <f>SUM(AV3:AV14)</f>
        <v>505711651.29999995</v>
      </c>
      <c r="AW16" s="474">
        <f t="shared" ref="AW16:AY16" si="6">SUM(AW3:AW14)</f>
        <v>24000003</v>
      </c>
      <c r="AX16" s="474">
        <f t="shared" si="6"/>
        <v>22428999.699999999</v>
      </c>
      <c r="AY16" s="474">
        <f t="shared" si="6"/>
        <v>552140654</v>
      </c>
      <c r="AZ16" s="482"/>
      <c r="BA16" s="474">
        <f>SUM(BA3:BA14)</f>
        <v>396978407.25999999</v>
      </c>
      <c r="BB16" s="474">
        <f t="shared" ref="BB16:BC16" si="7">SUM(BB3:BB14)</f>
        <v>24000003</v>
      </c>
      <c r="BC16" s="474">
        <f t="shared" si="7"/>
        <v>21495974.740000002</v>
      </c>
      <c r="BD16" s="474">
        <f>SUM(BD3:BD14)</f>
        <v>442474385</v>
      </c>
      <c r="BE16" s="482">
        <f t="shared" ref="BE16:BF16" si="8">SUM(BE3:BE15)</f>
        <v>0</v>
      </c>
      <c r="BF16" s="473">
        <f t="shared" si="8"/>
        <v>0</v>
      </c>
      <c r="BG16" s="423"/>
      <c r="BJ16" s="447">
        <f>SUM(BJ3:BJ15)</f>
        <v>4533333</v>
      </c>
      <c r="BK16" s="447">
        <f>SUM(BK3:BK15)</f>
        <v>0</v>
      </c>
      <c r="BL16" s="447">
        <f>SUM(BL3:BL15)</f>
        <v>6507926.4249999998</v>
      </c>
      <c r="BM16" s="447">
        <f>SUM(BM3:BM15)</f>
        <v>7591826.8499999996</v>
      </c>
      <c r="BN16" s="447">
        <f>SUM(BN3:BN15)</f>
        <v>0</v>
      </c>
    </row>
    <row r="17" spans="38:59">
      <c r="AL17" s="366">
        <v>235751579</v>
      </c>
      <c r="AM17" s="366">
        <v>-442474385</v>
      </c>
    </row>
    <row r="18" spans="38:59">
      <c r="AM18" s="366">
        <f>AM5-145531940</f>
        <v>91978539</v>
      </c>
      <c r="AN18" s="328">
        <v>0.94</v>
      </c>
      <c r="AO18" s="475">
        <f>AM18*AN18</f>
        <v>86459826.659999996</v>
      </c>
      <c r="BA18" s="475">
        <f>AV16-BA16</f>
        <v>108733244.03999996</v>
      </c>
      <c r="BB18" s="475">
        <f>AW16-BB16</f>
        <v>0</v>
      </c>
      <c r="BC18" s="475">
        <f>AX16-BC16</f>
        <v>933024.95999999717</v>
      </c>
      <c r="BD18" s="473">
        <f>SUM(BA18:BC18)</f>
        <v>109666268.99999996</v>
      </c>
      <c r="BE18" s="482"/>
      <c r="BF18" s="473"/>
      <c r="BG18" s="423"/>
    </row>
    <row r="19" spans="38:59">
      <c r="AN19" s="328">
        <v>0.06</v>
      </c>
      <c r="AO19" s="475">
        <f>AM18*AN19</f>
        <v>5518712.3399999999</v>
      </c>
      <c r="BE19" s="482"/>
      <c r="BF19" s="473"/>
    </row>
    <row r="20" spans="38:59">
      <c r="AM20" s="366">
        <v>415515716</v>
      </c>
      <c r="BD20" s="475">
        <v>305849447</v>
      </c>
    </row>
    <row r="21" spans="38:59">
      <c r="AM21" s="366">
        <f>AM20-AM15</f>
        <v>-26958669</v>
      </c>
    </row>
    <row r="32" spans="38:59">
      <c r="AV32" s="1266" t="s">
        <v>497</v>
      </c>
      <c r="AW32" s="1266"/>
      <c r="AX32" s="1266"/>
      <c r="BA32" s="1266" t="s">
        <v>498</v>
      </c>
      <c r="BB32" s="1266"/>
      <c r="BC32" s="1266"/>
    </row>
    <row r="33" spans="2:61" s="72" customFormat="1" ht="60">
      <c r="D33" s="444" t="s">
        <v>502</v>
      </c>
      <c r="E33" s="444" t="s">
        <v>503</v>
      </c>
      <c r="F33" s="444" t="s">
        <v>504</v>
      </c>
      <c r="G33" s="444" t="s">
        <v>505</v>
      </c>
      <c r="H33" s="444" t="s">
        <v>506</v>
      </c>
      <c r="I33" s="444" t="s">
        <v>721</v>
      </c>
      <c r="J33" s="444" t="s">
        <v>508</v>
      </c>
      <c r="K33" s="445" t="s">
        <v>509</v>
      </c>
      <c r="L33" s="444" t="s">
        <v>503</v>
      </c>
      <c r="M33" s="444" t="s">
        <v>504</v>
      </c>
      <c r="N33" s="444" t="s">
        <v>510</v>
      </c>
      <c r="O33" s="444" t="s">
        <v>511</v>
      </c>
      <c r="P33" s="444" t="s">
        <v>512</v>
      </c>
      <c r="Q33" s="444" t="s">
        <v>513</v>
      </c>
      <c r="R33" s="444" t="s">
        <v>514</v>
      </c>
      <c r="S33" s="444" t="s">
        <v>515</v>
      </c>
      <c r="T33" s="444" t="s">
        <v>516</v>
      </c>
      <c r="U33" s="444" t="s">
        <v>517</v>
      </c>
      <c r="V33" s="444" t="s">
        <v>518</v>
      </c>
      <c r="W33" s="444" t="s">
        <v>519</v>
      </c>
      <c r="X33" s="444" t="s">
        <v>520</v>
      </c>
      <c r="Y33" s="444" t="s">
        <v>521</v>
      </c>
      <c r="Z33" s="444" t="s">
        <v>522</v>
      </c>
      <c r="AA33" s="444" t="s">
        <v>523</v>
      </c>
      <c r="AB33" s="444" t="s">
        <v>524</v>
      </c>
      <c r="AC33" s="444" t="s">
        <v>512</v>
      </c>
      <c r="AD33" s="444" t="s">
        <v>525</v>
      </c>
      <c r="AE33" s="444" t="s">
        <v>526</v>
      </c>
      <c r="AF33" s="444" t="s">
        <v>527</v>
      </c>
      <c r="AG33" s="444" t="s">
        <v>528</v>
      </c>
      <c r="AH33" s="444" t="s">
        <v>529</v>
      </c>
      <c r="AI33" s="444" t="s">
        <v>530</v>
      </c>
      <c r="AJ33" s="444" t="s">
        <v>531</v>
      </c>
      <c r="AK33" s="444" t="s">
        <v>532</v>
      </c>
      <c r="AL33" s="444" t="s">
        <v>533</v>
      </c>
      <c r="AM33" s="444" t="s">
        <v>534</v>
      </c>
      <c r="AN33" s="444" t="s">
        <v>535</v>
      </c>
      <c r="AO33" s="444" t="s">
        <v>536</v>
      </c>
      <c r="AP33" s="444" t="s">
        <v>537</v>
      </c>
      <c r="AQ33" s="444" t="s">
        <v>538</v>
      </c>
      <c r="AR33" s="444" t="s">
        <v>539</v>
      </c>
      <c r="AS33" s="444" t="s">
        <v>540</v>
      </c>
      <c r="AU33" s="414"/>
      <c r="AV33" s="471" t="s">
        <v>541</v>
      </c>
      <c r="AW33" s="471" t="s">
        <v>542</v>
      </c>
      <c r="AX33" s="471" t="s">
        <v>543</v>
      </c>
      <c r="AY33" s="480"/>
      <c r="AZ33" s="483"/>
      <c r="BA33" s="471" t="s">
        <v>541</v>
      </c>
      <c r="BB33" s="471" t="s">
        <v>542</v>
      </c>
      <c r="BC33" s="471" t="s">
        <v>543</v>
      </c>
      <c r="BD33" s="480"/>
      <c r="BE33" s="483"/>
      <c r="BF33" s="480"/>
      <c r="BG33" s="435"/>
    </row>
    <row r="34" spans="2:61" s="266" customFormat="1">
      <c r="B34" s="266">
        <f>K34-K3</f>
        <v>0</v>
      </c>
      <c r="C34" s="671"/>
      <c r="D34" s="491" t="s">
        <v>551</v>
      </c>
      <c r="E34" s="492">
        <v>44562</v>
      </c>
      <c r="F34" s="492">
        <v>44620</v>
      </c>
      <c r="G34" s="491" t="s">
        <v>552</v>
      </c>
      <c r="H34" s="492">
        <v>44562</v>
      </c>
      <c r="I34" s="491" t="s">
        <v>553</v>
      </c>
      <c r="J34" s="493" t="s">
        <v>554</v>
      </c>
      <c r="K34" s="491" t="s">
        <v>555</v>
      </c>
      <c r="L34" s="492">
        <v>44230</v>
      </c>
      <c r="M34" s="492">
        <v>44561</v>
      </c>
      <c r="N34" s="491" t="s">
        <v>556</v>
      </c>
      <c r="O34" s="491" t="s">
        <v>557</v>
      </c>
      <c r="P34" s="493" t="s">
        <v>558</v>
      </c>
      <c r="Q34" s="491" t="s">
        <v>559</v>
      </c>
      <c r="R34" s="491" t="s">
        <v>560</v>
      </c>
      <c r="S34" s="493" t="s">
        <v>561</v>
      </c>
      <c r="T34" s="493" t="s">
        <v>562</v>
      </c>
      <c r="U34" s="493" t="s">
        <v>563</v>
      </c>
      <c r="V34" s="493" t="s">
        <v>564</v>
      </c>
      <c r="W34" s="493" t="s">
        <v>565</v>
      </c>
      <c r="X34" s="493" t="s">
        <v>566</v>
      </c>
      <c r="Y34" s="493" t="s">
        <v>567</v>
      </c>
      <c r="Z34" s="493" t="s">
        <v>568</v>
      </c>
      <c r="AA34" s="493" t="s">
        <v>569</v>
      </c>
      <c r="AB34" s="491" t="s">
        <v>570</v>
      </c>
      <c r="AC34" s="493" t="s">
        <v>571</v>
      </c>
      <c r="AD34" s="493" t="s">
        <v>572</v>
      </c>
      <c r="AE34" s="493" t="s">
        <v>573</v>
      </c>
      <c r="AF34" s="493" t="s">
        <v>574</v>
      </c>
      <c r="AG34" s="493" t="s">
        <v>575</v>
      </c>
      <c r="AH34" s="493" t="s">
        <v>576</v>
      </c>
      <c r="AI34" s="494">
        <v>5250000</v>
      </c>
      <c r="AJ34" s="494">
        <v>0</v>
      </c>
      <c r="AK34" s="494">
        <v>0</v>
      </c>
      <c r="AL34" s="494">
        <v>5250000</v>
      </c>
      <c r="AM34" s="494">
        <v>5250000</v>
      </c>
      <c r="AN34" s="494">
        <v>0</v>
      </c>
      <c r="AO34" s="493" t="s">
        <v>577</v>
      </c>
      <c r="AP34" s="493" t="s">
        <v>551</v>
      </c>
      <c r="AQ34" s="493" t="s">
        <v>578</v>
      </c>
      <c r="AR34" s="493" t="s">
        <v>551</v>
      </c>
      <c r="AS34" s="495">
        <v>44564</v>
      </c>
      <c r="AU34" s="489" t="s">
        <v>541</v>
      </c>
      <c r="AV34" s="476">
        <f>AL34</f>
        <v>5250000</v>
      </c>
      <c r="AW34" s="476">
        <v>0</v>
      </c>
      <c r="AX34" s="476">
        <v>0</v>
      </c>
      <c r="AY34" s="484">
        <f t="shared" ref="AY34:AY45" si="9">SUM(AV34:AX34)</f>
        <v>5250000</v>
      </c>
      <c r="AZ34" s="484"/>
      <c r="BA34" s="476">
        <f>AM34</f>
        <v>5250000</v>
      </c>
      <c r="BB34" s="476">
        <v>0</v>
      </c>
      <c r="BC34" s="476">
        <v>0</v>
      </c>
      <c r="BD34" s="481">
        <f t="shared" ref="BD34:BD47" si="10">SUM(BA34:BC34)</f>
        <v>5250000</v>
      </c>
      <c r="BE34" s="484"/>
      <c r="BF34" s="484">
        <f>BD34-AM34</f>
        <v>0</v>
      </c>
      <c r="BG34" s="423"/>
    </row>
    <row r="35" spans="2:61" s="266" customFormat="1">
      <c r="B35" s="266">
        <f t="shared" ref="B35:B45" si="11">K35-K4</f>
        <v>0</v>
      </c>
      <c r="C35" s="671"/>
      <c r="D35" s="491" t="s">
        <v>551</v>
      </c>
      <c r="E35" s="492">
        <v>44562</v>
      </c>
      <c r="F35" s="492">
        <v>44620</v>
      </c>
      <c r="G35" s="491" t="s">
        <v>552</v>
      </c>
      <c r="H35" s="492">
        <v>44562</v>
      </c>
      <c r="I35" s="491" t="s">
        <v>580</v>
      </c>
      <c r="J35" s="493" t="s">
        <v>581</v>
      </c>
      <c r="K35" s="491" t="s">
        <v>582</v>
      </c>
      <c r="L35" s="492">
        <v>44561</v>
      </c>
      <c r="M35" s="492">
        <v>44561</v>
      </c>
      <c r="N35" s="491" t="s">
        <v>583</v>
      </c>
      <c r="O35" s="491" t="s">
        <v>557</v>
      </c>
      <c r="P35" s="493" t="s">
        <v>558</v>
      </c>
      <c r="Q35" s="491" t="s">
        <v>584</v>
      </c>
      <c r="R35" s="491" t="s">
        <v>585</v>
      </c>
      <c r="S35" s="493" t="s">
        <v>586</v>
      </c>
      <c r="T35" s="493" t="s">
        <v>562</v>
      </c>
      <c r="U35" s="493" t="s">
        <v>563</v>
      </c>
      <c r="V35" s="493" t="s">
        <v>564</v>
      </c>
      <c r="W35" s="493" t="s">
        <v>565</v>
      </c>
      <c r="X35" s="493" t="s">
        <v>566</v>
      </c>
      <c r="Y35" s="493" t="s">
        <v>567</v>
      </c>
      <c r="Z35" s="493" t="s">
        <v>587</v>
      </c>
      <c r="AA35" s="493" t="s">
        <v>588</v>
      </c>
      <c r="AB35" s="491" t="s">
        <v>570</v>
      </c>
      <c r="AC35" s="493" t="s">
        <v>571</v>
      </c>
      <c r="AD35" s="493" t="s">
        <v>589</v>
      </c>
      <c r="AE35" s="493" t="s">
        <v>573</v>
      </c>
      <c r="AF35" s="493" t="s">
        <v>590</v>
      </c>
      <c r="AG35" s="493" t="s">
        <v>331</v>
      </c>
      <c r="AH35" s="493" t="s">
        <v>576</v>
      </c>
      <c r="AI35" s="494">
        <v>2833333</v>
      </c>
      <c r="AJ35" s="494">
        <v>0</v>
      </c>
      <c r="AK35" s="494">
        <v>0</v>
      </c>
      <c r="AL35" s="494">
        <v>2833333</v>
      </c>
      <c r="AM35" s="494">
        <v>2833333</v>
      </c>
      <c r="AN35" s="494">
        <f t="shared" ref="AN35:AN45" si="12">AI35-AJ35-AK35-AM35</f>
        <v>0</v>
      </c>
      <c r="AO35" s="493" t="s">
        <v>591</v>
      </c>
      <c r="AP35" s="493" t="s">
        <v>551</v>
      </c>
      <c r="AQ35" s="493" t="s">
        <v>592</v>
      </c>
      <c r="AR35" s="493" t="s">
        <v>551</v>
      </c>
      <c r="AS35" s="495">
        <v>44564</v>
      </c>
      <c r="AU35" s="489" t="s">
        <v>543</v>
      </c>
      <c r="AV35" s="476">
        <v>0</v>
      </c>
      <c r="AW35" s="476">
        <v>0</v>
      </c>
      <c r="AX35" s="476">
        <v>2833333</v>
      </c>
      <c r="AY35" s="484">
        <f t="shared" si="9"/>
        <v>2833333</v>
      </c>
      <c r="AZ35" s="484"/>
      <c r="BA35" s="476">
        <v>0</v>
      </c>
      <c r="BB35" s="476">
        <v>0</v>
      </c>
      <c r="BC35" s="476">
        <f>AM35</f>
        <v>2833333</v>
      </c>
      <c r="BD35" s="481">
        <f t="shared" si="10"/>
        <v>2833333</v>
      </c>
      <c r="BE35" s="484"/>
      <c r="BF35" s="484">
        <f t="shared" ref="BF35:BF45" si="13">BD35-AM35</f>
        <v>0</v>
      </c>
      <c r="BG35" s="423"/>
      <c r="BH35" s="266" t="s">
        <v>722</v>
      </c>
    </row>
    <row r="36" spans="2:61" s="266" customFormat="1">
      <c r="B36" s="266">
        <f t="shared" si="11"/>
        <v>0</v>
      </c>
      <c r="C36" s="671"/>
      <c r="D36" s="491" t="s">
        <v>551</v>
      </c>
      <c r="E36" s="492">
        <v>44562</v>
      </c>
      <c r="F36" s="492">
        <v>44620</v>
      </c>
      <c r="G36" s="491" t="s">
        <v>552</v>
      </c>
      <c r="H36" s="492">
        <v>44562</v>
      </c>
      <c r="I36" s="491" t="s">
        <v>594</v>
      </c>
      <c r="J36" s="493" t="s">
        <v>595</v>
      </c>
      <c r="K36" s="491" t="s">
        <v>596</v>
      </c>
      <c r="L36" s="492">
        <v>44378</v>
      </c>
      <c r="M36" s="492">
        <v>44561</v>
      </c>
      <c r="N36" s="491" t="s">
        <v>597</v>
      </c>
      <c r="O36" s="491" t="s">
        <v>557</v>
      </c>
      <c r="P36" s="493" t="s">
        <v>558</v>
      </c>
      <c r="Q36" s="491" t="s">
        <v>598</v>
      </c>
      <c r="R36" s="491" t="s">
        <v>599</v>
      </c>
      <c r="S36" s="493" t="s">
        <v>600</v>
      </c>
      <c r="T36" s="493" t="s">
        <v>562</v>
      </c>
      <c r="U36" s="493" t="s">
        <v>563</v>
      </c>
      <c r="V36" s="493" t="s">
        <v>564</v>
      </c>
      <c r="W36" s="493" t="s">
        <v>565</v>
      </c>
      <c r="X36" s="493" t="s">
        <v>601</v>
      </c>
      <c r="Y36" s="493" t="s">
        <v>602</v>
      </c>
      <c r="Z36" s="493" t="s">
        <v>587</v>
      </c>
      <c r="AA36" s="493" t="s">
        <v>588</v>
      </c>
      <c r="AB36" s="491" t="s">
        <v>570</v>
      </c>
      <c r="AC36" s="493" t="s">
        <v>571</v>
      </c>
      <c r="AD36" s="493" t="s">
        <v>603</v>
      </c>
      <c r="AE36" s="493" t="s">
        <v>604</v>
      </c>
      <c r="AF36" s="493" t="s">
        <v>605</v>
      </c>
      <c r="AG36" s="493" t="s">
        <v>606</v>
      </c>
      <c r="AH36" s="493" t="s">
        <v>576</v>
      </c>
      <c r="AI36" s="494">
        <v>253060895</v>
      </c>
      <c r="AJ36" s="494">
        <v>0</v>
      </c>
      <c r="AK36" s="494">
        <v>0</v>
      </c>
      <c r="AL36" s="494">
        <v>253060895</v>
      </c>
      <c r="AM36" s="494">
        <f>28688359+10006641+49766332+0+57070608+29338503+35681367</f>
        <v>210551810</v>
      </c>
      <c r="AN36" s="494">
        <f>AI36-AJ36-AK36-AM36</f>
        <v>42509085</v>
      </c>
      <c r="AO36" s="493" t="s">
        <v>607</v>
      </c>
      <c r="AP36" s="493" t="s">
        <v>551</v>
      </c>
      <c r="AQ36" s="493" t="s">
        <v>608</v>
      </c>
      <c r="AR36" s="493" t="s">
        <v>551</v>
      </c>
      <c r="AS36" s="495">
        <v>44564</v>
      </c>
      <c r="AU36" s="489" t="s">
        <v>541</v>
      </c>
      <c r="AV36" s="476">
        <f>AL36*94%</f>
        <v>237877241.29999998</v>
      </c>
      <c r="AW36" s="476">
        <v>0</v>
      </c>
      <c r="AX36" s="476">
        <f>AL36*6%</f>
        <v>15183653.699999999</v>
      </c>
      <c r="AY36" s="484">
        <f t="shared" si="9"/>
        <v>253060894.99999997</v>
      </c>
      <c r="AZ36" s="484"/>
      <c r="BA36" s="476">
        <f>AM36*94%</f>
        <v>197918701.39999998</v>
      </c>
      <c r="BB36" s="476">
        <v>0</v>
      </c>
      <c r="BC36" s="476">
        <f>AM36*6%</f>
        <v>12633108.6</v>
      </c>
      <c r="BD36" s="481">
        <f t="shared" si="10"/>
        <v>210551809.99999997</v>
      </c>
      <c r="BE36" s="484"/>
      <c r="BF36" s="484">
        <f t="shared" si="13"/>
        <v>0</v>
      </c>
      <c r="BG36" s="423"/>
      <c r="BH36" s="484">
        <v>35681367</v>
      </c>
      <c r="BI36" s="484">
        <f>BH36*94%</f>
        <v>33540484.979999997</v>
      </c>
    </row>
    <row r="37" spans="2:61" s="266" customFormat="1">
      <c r="B37" s="266">
        <f t="shared" si="11"/>
        <v>0</v>
      </c>
      <c r="C37" s="671"/>
      <c r="D37" s="491" t="s">
        <v>551</v>
      </c>
      <c r="E37" s="492">
        <v>44562</v>
      </c>
      <c r="F37" s="492">
        <v>44620</v>
      </c>
      <c r="G37" s="491" t="s">
        <v>552</v>
      </c>
      <c r="H37" s="492">
        <v>44562</v>
      </c>
      <c r="I37" s="491" t="s">
        <v>580</v>
      </c>
      <c r="J37" s="493" t="s">
        <v>581</v>
      </c>
      <c r="K37" s="491" t="s">
        <v>610</v>
      </c>
      <c r="L37" s="492">
        <v>44561</v>
      </c>
      <c r="M37" s="492">
        <v>44561</v>
      </c>
      <c r="N37" s="491" t="s">
        <v>583</v>
      </c>
      <c r="O37" s="491" t="s">
        <v>557</v>
      </c>
      <c r="P37" s="493" t="s">
        <v>558</v>
      </c>
      <c r="Q37" s="491" t="s">
        <v>611</v>
      </c>
      <c r="R37" s="491" t="s">
        <v>612</v>
      </c>
      <c r="S37" s="493" t="s">
        <v>613</v>
      </c>
      <c r="T37" s="493" t="s">
        <v>562</v>
      </c>
      <c r="U37" s="493" t="s">
        <v>563</v>
      </c>
      <c r="V37" s="493" t="s">
        <v>564</v>
      </c>
      <c r="W37" s="493" t="s">
        <v>565</v>
      </c>
      <c r="X37" s="493" t="s">
        <v>566</v>
      </c>
      <c r="Y37" s="493" t="s">
        <v>567</v>
      </c>
      <c r="Z37" s="493" t="s">
        <v>587</v>
      </c>
      <c r="AA37" s="493" t="s">
        <v>588</v>
      </c>
      <c r="AB37" s="491" t="s">
        <v>570</v>
      </c>
      <c r="AC37" s="493" t="s">
        <v>571</v>
      </c>
      <c r="AD37" s="493" t="s">
        <v>614</v>
      </c>
      <c r="AE37" s="493" t="s">
        <v>573</v>
      </c>
      <c r="AF37" s="493" t="s">
        <v>615</v>
      </c>
      <c r="AG37" s="493" t="s">
        <v>327</v>
      </c>
      <c r="AH37" s="493" t="s">
        <v>576</v>
      </c>
      <c r="AI37" s="494">
        <v>1700000</v>
      </c>
      <c r="AJ37" s="494">
        <v>0</v>
      </c>
      <c r="AK37" s="494">
        <v>0</v>
      </c>
      <c r="AL37" s="494">
        <v>1700000</v>
      </c>
      <c r="AM37" s="494">
        <v>1700000</v>
      </c>
      <c r="AN37" s="494">
        <f t="shared" si="12"/>
        <v>0</v>
      </c>
      <c r="AO37" s="493" t="s">
        <v>616</v>
      </c>
      <c r="AP37" s="493" t="s">
        <v>551</v>
      </c>
      <c r="AQ37" s="493" t="s">
        <v>617</v>
      </c>
      <c r="AR37" s="493" t="s">
        <v>551</v>
      </c>
      <c r="AS37" s="495">
        <v>44564</v>
      </c>
      <c r="AU37" s="489" t="s">
        <v>543</v>
      </c>
      <c r="AV37" s="476">
        <v>0</v>
      </c>
      <c r="AW37" s="476">
        <v>0</v>
      </c>
      <c r="AX37" s="476">
        <v>1700000</v>
      </c>
      <c r="AY37" s="484">
        <f t="shared" si="9"/>
        <v>1700000</v>
      </c>
      <c r="AZ37" s="484"/>
      <c r="BA37" s="476">
        <v>0</v>
      </c>
      <c r="BB37" s="476">
        <v>0</v>
      </c>
      <c r="BC37" s="476">
        <v>1700000</v>
      </c>
      <c r="BD37" s="481">
        <f t="shared" si="10"/>
        <v>1700000</v>
      </c>
      <c r="BE37" s="484"/>
      <c r="BF37" s="484">
        <f t="shared" si="13"/>
        <v>0</v>
      </c>
      <c r="BG37" s="423"/>
      <c r="BH37" s="484"/>
      <c r="BI37" s="484">
        <f>BH36*6%</f>
        <v>2140882.02</v>
      </c>
    </row>
    <row r="38" spans="2:61" s="266" customFormat="1">
      <c r="B38" s="266">
        <f t="shared" si="11"/>
        <v>0</v>
      </c>
      <c r="C38" s="671"/>
      <c r="D38" s="491" t="s">
        <v>551</v>
      </c>
      <c r="E38" s="492">
        <v>44562</v>
      </c>
      <c r="F38" s="492">
        <v>44620</v>
      </c>
      <c r="G38" s="491" t="s">
        <v>552</v>
      </c>
      <c r="H38" s="492">
        <v>44562</v>
      </c>
      <c r="I38" s="491" t="s">
        <v>619</v>
      </c>
      <c r="J38" s="493" t="s">
        <v>620</v>
      </c>
      <c r="K38" s="491" t="s">
        <v>621</v>
      </c>
      <c r="L38" s="492">
        <v>44411</v>
      </c>
      <c r="M38" s="492">
        <v>44561</v>
      </c>
      <c r="N38" s="491" t="s">
        <v>622</v>
      </c>
      <c r="O38" s="491" t="s">
        <v>557</v>
      </c>
      <c r="P38" s="493" t="s">
        <v>558</v>
      </c>
      <c r="Q38" s="491" t="s">
        <v>623</v>
      </c>
      <c r="R38" s="491" t="s">
        <v>624</v>
      </c>
      <c r="S38" s="493" t="s">
        <v>625</v>
      </c>
      <c r="T38" s="493" t="s">
        <v>562</v>
      </c>
      <c r="U38" s="493" t="s">
        <v>563</v>
      </c>
      <c r="V38" s="493" t="s">
        <v>564</v>
      </c>
      <c r="W38" s="493" t="s">
        <v>565</v>
      </c>
      <c r="X38" s="493" t="s">
        <v>601</v>
      </c>
      <c r="Y38" s="493" t="s">
        <v>602</v>
      </c>
      <c r="Z38" s="493" t="s">
        <v>587</v>
      </c>
      <c r="AA38" s="493" t="s">
        <v>588</v>
      </c>
      <c r="AB38" s="491" t="s">
        <v>626</v>
      </c>
      <c r="AC38" s="493" t="s">
        <v>627</v>
      </c>
      <c r="AD38" s="493" t="s">
        <v>628</v>
      </c>
      <c r="AE38" s="493" t="s">
        <v>604</v>
      </c>
      <c r="AF38" s="493" t="s">
        <v>629</v>
      </c>
      <c r="AG38" s="493" t="s">
        <v>630</v>
      </c>
      <c r="AH38" s="493" t="s">
        <v>576</v>
      </c>
      <c r="AI38" s="494">
        <v>2712013</v>
      </c>
      <c r="AJ38" s="494">
        <v>0</v>
      </c>
      <c r="AK38" s="494">
        <v>0</v>
      </c>
      <c r="AL38" s="494">
        <v>2712013</v>
      </c>
      <c r="AM38" s="494">
        <v>2712013</v>
      </c>
      <c r="AN38" s="494">
        <f t="shared" si="12"/>
        <v>0</v>
      </c>
      <c r="AO38" s="493" t="s">
        <v>631</v>
      </c>
      <c r="AP38" s="493" t="s">
        <v>551</v>
      </c>
      <c r="AQ38" s="493" t="s">
        <v>632</v>
      </c>
      <c r="AR38" s="493" t="s">
        <v>551</v>
      </c>
      <c r="AS38" s="495">
        <v>44564</v>
      </c>
      <c r="AU38" s="489" t="s">
        <v>543</v>
      </c>
      <c r="AV38" s="476">
        <v>0</v>
      </c>
      <c r="AW38" s="476">
        <v>0</v>
      </c>
      <c r="AX38" s="476">
        <v>2712013</v>
      </c>
      <c r="AY38" s="484">
        <f t="shared" si="9"/>
        <v>2712013</v>
      </c>
      <c r="AZ38" s="484"/>
      <c r="BA38" s="476">
        <v>0</v>
      </c>
      <c r="BB38" s="476">
        <v>0</v>
      </c>
      <c r="BC38" s="476">
        <v>2712013</v>
      </c>
      <c r="BD38" s="481">
        <f t="shared" si="10"/>
        <v>2712013</v>
      </c>
      <c r="BE38" s="484"/>
      <c r="BF38" s="484">
        <f t="shared" si="13"/>
        <v>0</v>
      </c>
      <c r="BG38" s="423"/>
    </row>
    <row r="39" spans="2:61">
      <c r="B39">
        <f t="shared" si="11"/>
        <v>0</v>
      </c>
      <c r="D39" s="672" t="s">
        <v>551</v>
      </c>
      <c r="E39" s="673">
        <v>44562</v>
      </c>
      <c r="F39" s="673">
        <v>44620</v>
      </c>
      <c r="G39" s="672" t="s">
        <v>552</v>
      </c>
      <c r="H39" s="673">
        <v>44562</v>
      </c>
      <c r="I39" s="672" t="s">
        <v>594</v>
      </c>
      <c r="J39" s="674" t="s">
        <v>595</v>
      </c>
      <c r="K39" s="672" t="s">
        <v>634</v>
      </c>
      <c r="L39" s="673">
        <v>44477</v>
      </c>
      <c r="M39" s="673">
        <v>44561</v>
      </c>
      <c r="N39" s="672" t="s">
        <v>635</v>
      </c>
      <c r="O39" s="672" t="s">
        <v>557</v>
      </c>
      <c r="P39" s="674" t="s">
        <v>558</v>
      </c>
      <c r="Q39" s="672" t="s">
        <v>636</v>
      </c>
      <c r="R39" s="672" t="s">
        <v>637</v>
      </c>
      <c r="S39" s="674" t="s">
        <v>638</v>
      </c>
      <c r="T39" s="674" t="s">
        <v>562</v>
      </c>
      <c r="U39" s="674" t="s">
        <v>563</v>
      </c>
      <c r="V39" s="674" t="s">
        <v>564</v>
      </c>
      <c r="W39" s="674" t="s">
        <v>565</v>
      </c>
      <c r="X39" s="674" t="s">
        <v>601</v>
      </c>
      <c r="Y39" s="674" t="s">
        <v>602</v>
      </c>
      <c r="Z39" s="674" t="s">
        <v>587</v>
      </c>
      <c r="AA39" s="674" t="s">
        <v>588</v>
      </c>
      <c r="AB39" s="672" t="s">
        <v>570</v>
      </c>
      <c r="AC39" s="674" t="s">
        <v>571</v>
      </c>
      <c r="AD39" s="674" t="s">
        <v>639</v>
      </c>
      <c r="AE39" s="674" t="s">
        <v>604</v>
      </c>
      <c r="AF39" s="674" t="s">
        <v>640</v>
      </c>
      <c r="AG39" s="674" t="s">
        <v>641</v>
      </c>
      <c r="AH39" s="674" t="s">
        <v>576</v>
      </c>
      <c r="AI39" s="675">
        <v>24000003</v>
      </c>
      <c r="AJ39" s="675">
        <v>0</v>
      </c>
      <c r="AK39" s="675">
        <v>0</v>
      </c>
      <c r="AL39" s="675">
        <v>24000003</v>
      </c>
      <c r="AM39" s="675">
        <v>24000003</v>
      </c>
      <c r="AN39" s="675">
        <f t="shared" si="12"/>
        <v>0</v>
      </c>
      <c r="AO39" s="674" t="s">
        <v>642</v>
      </c>
      <c r="AP39" s="674" t="s">
        <v>551</v>
      </c>
      <c r="AQ39" s="674" t="s">
        <v>643</v>
      </c>
      <c r="AR39" s="674" t="s">
        <v>551</v>
      </c>
      <c r="AS39" s="676">
        <v>44564</v>
      </c>
      <c r="AU39" s="269" t="s">
        <v>542</v>
      </c>
      <c r="AV39" s="476">
        <v>0</v>
      </c>
      <c r="AW39" s="476">
        <f>AL39</f>
        <v>24000003</v>
      </c>
      <c r="AX39" s="476">
        <v>0</v>
      </c>
      <c r="AY39" s="484">
        <f t="shared" si="9"/>
        <v>24000003</v>
      </c>
      <c r="AZ39" s="484"/>
      <c r="BA39" s="476">
        <v>0</v>
      </c>
      <c r="BB39" s="476">
        <v>24000003</v>
      </c>
      <c r="BC39" s="476">
        <v>0</v>
      </c>
      <c r="BD39" s="481">
        <f t="shared" si="10"/>
        <v>24000003</v>
      </c>
      <c r="BF39" s="484">
        <f t="shared" si="13"/>
        <v>0</v>
      </c>
    </row>
    <row r="40" spans="2:61">
      <c r="B40">
        <f t="shared" si="11"/>
        <v>0</v>
      </c>
      <c r="D40" s="672" t="s">
        <v>551</v>
      </c>
      <c r="E40" s="673">
        <v>44562</v>
      </c>
      <c r="F40" s="673">
        <v>44620</v>
      </c>
      <c r="G40" s="672" t="s">
        <v>552</v>
      </c>
      <c r="H40" s="673">
        <v>44562</v>
      </c>
      <c r="I40" s="672" t="s">
        <v>645</v>
      </c>
      <c r="J40" s="674" t="s">
        <v>646</v>
      </c>
      <c r="K40" s="672" t="s">
        <v>647</v>
      </c>
      <c r="L40" s="673">
        <v>44525</v>
      </c>
      <c r="M40" s="673">
        <v>44561</v>
      </c>
      <c r="N40" s="672" t="s">
        <v>648</v>
      </c>
      <c r="O40" s="672" t="s">
        <v>557</v>
      </c>
      <c r="P40" s="674" t="s">
        <v>558</v>
      </c>
      <c r="Q40" s="672" t="s">
        <v>649</v>
      </c>
      <c r="R40" s="672" t="s">
        <v>650</v>
      </c>
      <c r="S40" s="674" t="s">
        <v>651</v>
      </c>
      <c r="T40" s="674" t="s">
        <v>562</v>
      </c>
      <c r="U40" s="674" t="s">
        <v>563</v>
      </c>
      <c r="V40" s="674" t="s">
        <v>564</v>
      </c>
      <c r="W40" s="674" t="s">
        <v>565</v>
      </c>
      <c r="X40" s="674" t="s">
        <v>652</v>
      </c>
      <c r="Y40" s="674" t="s">
        <v>653</v>
      </c>
      <c r="Z40" s="674" t="s">
        <v>587</v>
      </c>
      <c r="AA40" s="674" t="s">
        <v>588</v>
      </c>
      <c r="AB40" s="672" t="s">
        <v>570</v>
      </c>
      <c r="AC40" s="674" t="s">
        <v>571</v>
      </c>
      <c r="AD40" s="674" t="s">
        <v>654</v>
      </c>
      <c r="AE40" s="674" t="s">
        <v>604</v>
      </c>
      <c r="AF40" s="674" t="s">
        <v>655</v>
      </c>
      <c r="AG40" s="674" t="s">
        <v>656</v>
      </c>
      <c r="AH40" s="674" t="s">
        <v>576</v>
      </c>
      <c r="AI40" s="675">
        <v>84577253</v>
      </c>
      <c r="AJ40" s="675">
        <v>0</v>
      </c>
      <c r="AK40" s="675">
        <v>0</v>
      </c>
      <c r="AL40" s="675">
        <v>84577253</v>
      </c>
      <c r="AM40" s="675">
        <v>0</v>
      </c>
      <c r="AN40" s="675">
        <f t="shared" si="12"/>
        <v>84577253</v>
      </c>
      <c r="AO40" s="674" t="s">
        <v>657</v>
      </c>
      <c r="AP40" s="674" t="s">
        <v>551</v>
      </c>
      <c r="AQ40" s="674" t="s">
        <v>658</v>
      </c>
      <c r="AR40" s="674" t="s">
        <v>551</v>
      </c>
      <c r="AS40" s="676">
        <v>44564</v>
      </c>
      <c r="AU40" s="269" t="s">
        <v>541</v>
      </c>
      <c r="AV40" s="476">
        <f t="shared" ref="AV40:AV45" si="14">AL40</f>
        <v>84577253</v>
      </c>
      <c r="AW40" s="476">
        <v>0</v>
      </c>
      <c r="AX40" s="476">
        <v>0</v>
      </c>
      <c r="AY40" s="484">
        <f t="shared" si="9"/>
        <v>84577253</v>
      </c>
      <c r="AZ40" s="484"/>
      <c r="BA40" s="476">
        <v>0</v>
      </c>
      <c r="BB40" s="476">
        <v>0</v>
      </c>
      <c r="BC40" s="476">
        <v>0</v>
      </c>
      <c r="BD40" s="481">
        <f t="shared" si="10"/>
        <v>0</v>
      </c>
      <c r="BF40" s="484">
        <f t="shared" si="13"/>
        <v>0</v>
      </c>
    </row>
    <row r="41" spans="2:61" s="266" customFormat="1">
      <c r="B41" s="266">
        <f t="shared" si="11"/>
        <v>0</v>
      </c>
      <c r="C41" s="671"/>
      <c r="D41" s="491" t="s">
        <v>551</v>
      </c>
      <c r="E41" s="492">
        <v>44562</v>
      </c>
      <c r="F41" s="492">
        <v>44620</v>
      </c>
      <c r="G41" s="491" t="s">
        <v>552</v>
      </c>
      <c r="H41" s="492">
        <v>44562</v>
      </c>
      <c r="I41" s="491" t="s">
        <v>660</v>
      </c>
      <c r="J41" s="493" t="s">
        <v>661</v>
      </c>
      <c r="K41" s="491" t="s">
        <v>662</v>
      </c>
      <c r="L41" s="492">
        <v>44530</v>
      </c>
      <c r="M41" s="492">
        <v>44561</v>
      </c>
      <c r="N41" s="491" t="s">
        <v>663</v>
      </c>
      <c r="O41" s="491" t="s">
        <v>557</v>
      </c>
      <c r="P41" s="493" t="s">
        <v>558</v>
      </c>
      <c r="Q41" s="491" t="s">
        <v>664</v>
      </c>
      <c r="R41" s="491" t="s">
        <v>665</v>
      </c>
      <c r="S41" s="493" t="s">
        <v>666</v>
      </c>
      <c r="T41" s="493" t="s">
        <v>562</v>
      </c>
      <c r="U41" s="493" t="s">
        <v>563</v>
      </c>
      <c r="V41" s="493" t="s">
        <v>564</v>
      </c>
      <c r="W41" s="493" t="s">
        <v>565</v>
      </c>
      <c r="X41" s="493" t="s">
        <v>667</v>
      </c>
      <c r="Y41" s="493" t="s">
        <v>668</v>
      </c>
      <c r="Z41" s="493" t="s">
        <v>587</v>
      </c>
      <c r="AA41" s="493" t="s">
        <v>588</v>
      </c>
      <c r="AB41" s="491" t="s">
        <v>669</v>
      </c>
      <c r="AC41" s="493" t="s">
        <v>670</v>
      </c>
      <c r="AD41" s="493" t="s">
        <v>671</v>
      </c>
      <c r="AE41" s="493" t="s">
        <v>604</v>
      </c>
      <c r="AF41" s="493" t="s">
        <v>672</v>
      </c>
      <c r="AG41" s="493" t="s">
        <v>673</v>
      </c>
      <c r="AH41" s="493" t="s">
        <v>576</v>
      </c>
      <c r="AI41" s="494">
        <v>16000000</v>
      </c>
      <c r="AJ41" s="494">
        <v>0</v>
      </c>
      <c r="AK41" s="494">
        <v>0</v>
      </c>
      <c r="AL41" s="494">
        <v>16000000</v>
      </c>
      <c r="AM41" s="494">
        <f>3514700+2946700</f>
        <v>6461400</v>
      </c>
      <c r="AN41" s="494">
        <f t="shared" si="12"/>
        <v>9538600</v>
      </c>
      <c r="AO41" s="493" t="s">
        <v>674</v>
      </c>
      <c r="AP41" s="493" t="s">
        <v>551</v>
      </c>
      <c r="AQ41" s="493" t="s">
        <v>675</v>
      </c>
      <c r="AR41" s="493" t="s">
        <v>551</v>
      </c>
      <c r="AS41" s="495">
        <v>44564</v>
      </c>
      <c r="AU41" s="489" t="s">
        <v>541</v>
      </c>
      <c r="AV41" s="476">
        <f t="shared" si="14"/>
        <v>16000000</v>
      </c>
      <c r="AW41" s="476">
        <v>0</v>
      </c>
      <c r="AX41" s="476">
        <v>0</v>
      </c>
      <c r="AY41" s="484">
        <f t="shared" si="9"/>
        <v>16000000</v>
      </c>
      <c r="AZ41" s="484"/>
      <c r="BA41" s="476">
        <f>3514700+2946700</f>
        <v>6461400</v>
      </c>
      <c r="BB41" s="476">
        <v>0</v>
      </c>
      <c r="BC41" s="476">
        <v>0</v>
      </c>
      <c r="BD41" s="481">
        <f t="shared" si="10"/>
        <v>6461400</v>
      </c>
      <c r="BE41" s="484"/>
      <c r="BF41" s="484">
        <f t="shared" si="13"/>
        <v>0</v>
      </c>
      <c r="BG41" s="423"/>
    </row>
    <row r="42" spans="2:61">
      <c r="B42">
        <f t="shared" si="11"/>
        <v>0</v>
      </c>
      <c r="D42" s="672" t="s">
        <v>551</v>
      </c>
      <c r="E42" s="673">
        <v>44562</v>
      </c>
      <c r="F42" s="673">
        <v>44620</v>
      </c>
      <c r="G42" s="672" t="s">
        <v>552</v>
      </c>
      <c r="H42" s="673">
        <v>44562</v>
      </c>
      <c r="I42" s="672" t="s">
        <v>645</v>
      </c>
      <c r="J42" s="674" t="s">
        <v>646</v>
      </c>
      <c r="K42" s="672" t="s">
        <v>723</v>
      </c>
      <c r="L42" s="673">
        <v>44554</v>
      </c>
      <c r="M42" s="673">
        <v>44561</v>
      </c>
      <c r="N42" s="672" t="s">
        <v>677</v>
      </c>
      <c r="O42" s="672" t="s">
        <v>557</v>
      </c>
      <c r="P42" s="674" t="s">
        <v>558</v>
      </c>
      <c r="Q42" s="672" t="s">
        <v>678</v>
      </c>
      <c r="R42" s="672" t="s">
        <v>724</v>
      </c>
      <c r="S42" s="674" t="s">
        <v>679</v>
      </c>
      <c r="T42" s="674" t="s">
        <v>562</v>
      </c>
      <c r="U42" s="674" t="s">
        <v>563</v>
      </c>
      <c r="V42" s="674" t="s">
        <v>564</v>
      </c>
      <c r="W42" s="674" t="s">
        <v>565</v>
      </c>
      <c r="X42" s="674" t="s">
        <v>601</v>
      </c>
      <c r="Y42" s="674" t="s">
        <v>602</v>
      </c>
      <c r="Z42" s="674" t="s">
        <v>587</v>
      </c>
      <c r="AA42" s="674" t="s">
        <v>588</v>
      </c>
      <c r="AB42" s="672" t="s">
        <v>680</v>
      </c>
      <c r="AC42" s="674" t="s">
        <v>681</v>
      </c>
      <c r="AD42" s="674" t="s">
        <v>682</v>
      </c>
      <c r="AE42" s="674" t="s">
        <v>604</v>
      </c>
      <c r="AF42" s="674" t="s">
        <v>683</v>
      </c>
      <c r="AG42" s="674" t="s">
        <v>684</v>
      </c>
      <c r="AH42" s="674" t="s">
        <v>576</v>
      </c>
      <c r="AI42" s="675">
        <v>31500000</v>
      </c>
      <c r="AJ42" s="675">
        <v>0</v>
      </c>
      <c r="AK42" s="675">
        <v>0</v>
      </c>
      <c r="AL42" s="675">
        <v>31500000</v>
      </c>
      <c r="AM42" s="494">
        <v>31500000</v>
      </c>
      <c r="AN42" s="675">
        <f t="shared" si="12"/>
        <v>0</v>
      </c>
      <c r="AO42" s="674" t="s">
        <v>685</v>
      </c>
      <c r="AP42" s="674" t="s">
        <v>551</v>
      </c>
      <c r="AQ42" s="674" t="s">
        <v>686</v>
      </c>
      <c r="AR42" s="674" t="s">
        <v>551</v>
      </c>
      <c r="AS42" s="676">
        <v>44564</v>
      </c>
      <c r="AU42" s="269" t="s">
        <v>541</v>
      </c>
      <c r="AV42" s="476">
        <f t="shared" si="14"/>
        <v>31500000</v>
      </c>
      <c r="AW42" s="476">
        <v>0</v>
      </c>
      <c r="AX42" s="476">
        <v>0</v>
      </c>
      <c r="AY42" s="484">
        <f t="shared" si="9"/>
        <v>31500000</v>
      </c>
      <c r="AZ42" s="484"/>
      <c r="BA42" s="476">
        <v>31500000</v>
      </c>
      <c r="BB42" s="476">
        <v>0</v>
      </c>
      <c r="BC42" s="476">
        <v>0</v>
      </c>
      <c r="BD42" s="481">
        <f t="shared" si="10"/>
        <v>31500000</v>
      </c>
      <c r="BF42" s="484">
        <f t="shared" si="13"/>
        <v>0</v>
      </c>
    </row>
    <row r="43" spans="2:61">
      <c r="B43">
        <f t="shared" si="11"/>
        <v>0</v>
      </c>
      <c r="D43" s="672" t="s">
        <v>551</v>
      </c>
      <c r="E43" s="673">
        <v>44562</v>
      </c>
      <c r="F43" s="673">
        <v>44620</v>
      </c>
      <c r="G43" s="672" t="s">
        <v>552</v>
      </c>
      <c r="H43" s="673">
        <v>44562</v>
      </c>
      <c r="I43" s="672" t="s">
        <v>680</v>
      </c>
      <c r="J43" s="674" t="s">
        <v>688</v>
      </c>
      <c r="K43" s="672" t="s">
        <v>725</v>
      </c>
      <c r="L43" s="673">
        <v>44490</v>
      </c>
      <c r="M43" s="673">
        <v>44497</v>
      </c>
      <c r="N43" s="672" t="s">
        <v>677</v>
      </c>
      <c r="O43" s="672" t="s">
        <v>557</v>
      </c>
      <c r="P43" s="674" t="s">
        <v>558</v>
      </c>
      <c r="Q43" s="672" t="s">
        <v>689</v>
      </c>
      <c r="R43" s="672" t="s">
        <v>690</v>
      </c>
      <c r="S43" s="674" t="s">
        <v>691</v>
      </c>
      <c r="T43" s="674" t="s">
        <v>562</v>
      </c>
      <c r="U43" s="674" t="s">
        <v>563</v>
      </c>
      <c r="V43" s="674" t="s">
        <v>564</v>
      </c>
      <c r="W43" s="674" t="s">
        <v>565</v>
      </c>
      <c r="X43" s="674" t="s">
        <v>667</v>
      </c>
      <c r="Y43" s="674" t="s">
        <v>668</v>
      </c>
      <c r="Z43" s="674" t="s">
        <v>587</v>
      </c>
      <c r="AA43" s="674" t="s">
        <v>588</v>
      </c>
      <c r="AB43" s="672" t="s">
        <v>680</v>
      </c>
      <c r="AC43" s="674" t="s">
        <v>681</v>
      </c>
      <c r="AD43" s="674" t="s">
        <v>692</v>
      </c>
      <c r="AE43" s="674" t="s">
        <v>604</v>
      </c>
      <c r="AF43" s="674" t="s">
        <v>693</v>
      </c>
      <c r="AG43" s="674" t="s">
        <v>694</v>
      </c>
      <c r="AH43" s="674" t="s">
        <v>576</v>
      </c>
      <c r="AI43" s="675">
        <v>4759996</v>
      </c>
      <c r="AJ43" s="675">
        <v>4759996</v>
      </c>
      <c r="AK43" s="675">
        <v>0</v>
      </c>
      <c r="AL43" s="675">
        <v>0</v>
      </c>
      <c r="AM43" s="675">
        <v>0</v>
      </c>
      <c r="AN43" s="675">
        <f t="shared" si="12"/>
        <v>0</v>
      </c>
      <c r="AO43" s="674" t="s">
        <v>695</v>
      </c>
      <c r="AP43" s="674" t="s">
        <v>551</v>
      </c>
      <c r="AQ43" s="674" t="s">
        <v>696</v>
      </c>
      <c r="AR43" s="674" t="s">
        <v>551</v>
      </c>
      <c r="AS43" s="676">
        <v>44564</v>
      </c>
      <c r="AU43" s="269" t="s">
        <v>541</v>
      </c>
      <c r="AV43" s="476">
        <f t="shared" si="14"/>
        <v>0</v>
      </c>
      <c r="AW43" s="476">
        <v>0</v>
      </c>
      <c r="AX43" s="476">
        <v>0</v>
      </c>
      <c r="AY43" s="484">
        <f t="shared" si="9"/>
        <v>0</v>
      </c>
      <c r="AZ43" s="484"/>
      <c r="BA43" s="476">
        <v>0</v>
      </c>
      <c r="BB43" s="476">
        <v>0</v>
      </c>
      <c r="BC43" s="476">
        <v>0</v>
      </c>
      <c r="BD43" s="481">
        <f t="shared" si="10"/>
        <v>0</v>
      </c>
      <c r="BF43" s="484">
        <f t="shared" si="13"/>
        <v>0</v>
      </c>
    </row>
    <row r="44" spans="2:61" s="266" customFormat="1">
      <c r="B44" s="266">
        <f t="shared" si="11"/>
        <v>0</v>
      </c>
      <c r="C44" s="671"/>
      <c r="D44" s="491" t="s">
        <v>551</v>
      </c>
      <c r="E44" s="492">
        <v>44562</v>
      </c>
      <c r="F44" s="492">
        <v>44620</v>
      </c>
      <c r="G44" s="491" t="s">
        <v>552</v>
      </c>
      <c r="H44" s="492">
        <v>44562</v>
      </c>
      <c r="I44" s="491" t="s">
        <v>680</v>
      </c>
      <c r="J44" s="493" t="s">
        <v>688</v>
      </c>
      <c r="K44" s="491" t="s">
        <v>698</v>
      </c>
      <c r="L44" s="492">
        <v>44557</v>
      </c>
      <c r="M44" s="492">
        <v>44561</v>
      </c>
      <c r="N44" s="491" t="s">
        <v>699</v>
      </c>
      <c r="O44" s="491" t="s">
        <v>557</v>
      </c>
      <c r="P44" s="493" t="s">
        <v>558</v>
      </c>
      <c r="Q44" s="491" t="s">
        <v>700</v>
      </c>
      <c r="R44" s="491" t="s">
        <v>701</v>
      </c>
      <c r="S44" s="493" t="s">
        <v>702</v>
      </c>
      <c r="T44" s="493" t="s">
        <v>562</v>
      </c>
      <c r="U44" s="493" t="s">
        <v>563</v>
      </c>
      <c r="V44" s="493" t="s">
        <v>564</v>
      </c>
      <c r="W44" s="493" t="s">
        <v>565</v>
      </c>
      <c r="X44" s="493" t="s">
        <v>703</v>
      </c>
      <c r="Y44" s="493" t="s">
        <v>704</v>
      </c>
      <c r="Z44" s="493" t="s">
        <v>587</v>
      </c>
      <c r="AA44" s="493" t="s">
        <v>588</v>
      </c>
      <c r="AB44" s="491" t="s">
        <v>705</v>
      </c>
      <c r="AC44" s="493" t="s">
        <v>706</v>
      </c>
      <c r="AD44" s="493" t="s">
        <v>707</v>
      </c>
      <c r="AE44" s="493" t="s">
        <v>604</v>
      </c>
      <c r="AF44" s="493" t="s">
        <v>708</v>
      </c>
      <c r="AG44" s="493" t="s">
        <v>709</v>
      </c>
      <c r="AH44" s="493" t="s">
        <v>576</v>
      </c>
      <c r="AI44" s="494">
        <v>130507157</v>
      </c>
      <c r="AJ44" s="494">
        <v>0</v>
      </c>
      <c r="AK44" s="494">
        <v>0</v>
      </c>
      <c r="AL44" s="494">
        <v>130507157</v>
      </c>
      <c r="AM44" s="494">
        <v>130507157</v>
      </c>
      <c r="AN44" s="494">
        <f t="shared" si="12"/>
        <v>0</v>
      </c>
      <c r="AO44" s="493" t="s">
        <v>710</v>
      </c>
      <c r="AP44" s="493" t="s">
        <v>551</v>
      </c>
      <c r="AQ44" s="493" t="s">
        <v>711</v>
      </c>
      <c r="AR44" s="493" t="s">
        <v>551</v>
      </c>
      <c r="AS44" s="495">
        <v>44564</v>
      </c>
      <c r="AU44" s="489" t="s">
        <v>712</v>
      </c>
      <c r="AV44" s="476">
        <f t="shared" si="14"/>
        <v>130507157</v>
      </c>
      <c r="AW44" s="476">
        <v>0</v>
      </c>
      <c r="AX44" s="476">
        <v>0</v>
      </c>
      <c r="AY44" s="484">
        <f t="shared" si="9"/>
        <v>130507157</v>
      </c>
      <c r="AZ44" s="484"/>
      <c r="BA44" s="476">
        <f>120066584.44+10440572.56</f>
        <v>130507157</v>
      </c>
      <c r="BB44" s="476">
        <v>0</v>
      </c>
      <c r="BC44" s="476">
        <v>0</v>
      </c>
      <c r="BD44" s="481">
        <f t="shared" si="10"/>
        <v>130507157</v>
      </c>
      <c r="BE44" s="484"/>
      <c r="BF44" s="484">
        <f t="shared" si="13"/>
        <v>0</v>
      </c>
      <c r="BG44" s="423"/>
    </row>
    <row r="45" spans="2:61" s="266" customFormat="1">
      <c r="B45" s="266" t="e">
        <f t="shared" si="11"/>
        <v>#VALUE!</v>
      </c>
      <c r="C45" s="671"/>
      <c r="D45" s="491" t="s">
        <v>551</v>
      </c>
      <c r="E45" s="492">
        <v>44562</v>
      </c>
      <c r="F45" s="492">
        <v>44620</v>
      </c>
      <c r="G45" s="491" t="s">
        <v>552</v>
      </c>
      <c r="H45" s="492">
        <v>44562</v>
      </c>
      <c r="I45" s="491" t="s">
        <v>594</v>
      </c>
      <c r="J45" s="493" t="s">
        <v>595</v>
      </c>
      <c r="K45" s="491" t="s">
        <v>714</v>
      </c>
      <c r="L45" s="492">
        <v>44319</v>
      </c>
      <c r="M45" s="492">
        <v>44377</v>
      </c>
      <c r="N45" s="491" t="s">
        <v>715</v>
      </c>
      <c r="O45" s="491" t="s">
        <v>557</v>
      </c>
      <c r="P45" s="493" t="s">
        <v>558</v>
      </c>
      <c r="Q45" s="491" t="s">
        <v>716</v>
      </c>
      <c r="R45" s="491" t="s">
        <v>717</v>
      </c>
      <c r="S45" s="493" t="s">
        <v>718</v>
      </c>
      <c r="T45" s="493" t="s">
        <v>562</v>
      </c>
      <c r="U45" s="493" t="s">
        <v>563</v>
      </c>
      <c r="V45" s="493" t="s">
        <v>564</v>
      </c>
      <c r="W45" s="493" t="s">
        <v>565</v>
      </c>
      <c r="X45" s="493" t="s">
        <v>601</v>
      </c>
      <c r="Y45" s="493" t="s">
        <v>602</v>
      </c>
      <c r="Z45" s="493" t="s">
        <v>587</v>
      </c>
      <c r="AA45" s="493" t="s">
        <v>588</v>
      </c>
      <c r="AB45" s="491" t="s">
        <v>570</v>
      </c>
      <c r="AC45" s="493" t="s">
        <v>571</v>
      </c>
      <c r="AD45" s="493" t="s">
        <v>603</v>
      </c>
      <c r="AE45" s="493" t="s">
        <v>604</v>
      </c>
      <c r="AF45" s="493" t="s">
        <v>605</v>
      </c>
      <c r="AG45" s="493" t="s">
        <v>606</v>
      </c>
      <c r="AH45" s="493" t="s">
        <v>576</v>
      </c>
      <c r="AI45" s="494">
        <v>4167765</v>
      </c>
      <c r="AJ45" s="494">
        <v>4167765</v>
      </c>
      <c r="AK45" s="494">
        <v>0</v>
      </c>
      <c r="AL45" s="494">
        <v>4167765</v>
      </c>
      <c r="AM45" s="494">
        <v>0</v>
      </c>
      <c r="AN45" s="494">
        <f t="shared" si="12"/>
        <v>0</v>
      </c>
      <c r="AO45" s="493" t="s">
        <v>719</v>
      </c>
      <c r="AP45" s="493" t="s">
        <v>551</v>
      </c>
      <c r="AQ45" s="493" t="s">
        <v>720</v>
      </c>
      <c r="AR45" s="493" t="s">
        <v>551</v>
      </c>
      <c r="AS45" s="495">
        <v>44564</v>
      </c>
      <c r="AU45" s="489" t="s">
        <v>541</v>
      </c>
      <c r="AV45" s="476">
        <f t="shared" si="14"/>
        <v>4167765</v>
      </c>
      <c r="AW45" s="476">
        <v>0</v>
      </c>
      <c r="AX45" s="476">
        <v>0</v>
      </c>
      <c r="AY45" s="484">
        <f t="shared" si="9"/>
        <v>4167765</v>
      </c>
      <c r="AZ45" s="484"/>
      <c r="BA45" s="476">
        <v>0</v>
      </c>
      <c r="BB45" s="476">
        <v>0</v>
      </c>
      <c r="BC45" s="476">
        <v>0</v>
      </c>
      <c r="BD45" s="484">
        <f t="shared" si="10"/>
        <v>0</v>
      </c>
      <c r="BE45" s="484"/>
      <c r="BF45" s="484">
        <f t="shared" si="13"/>
        <v>0</v>
      </c>
      <c r="BG45" s="423"/>
    </row>
    <row r="46" spans="2:61">
      <c r="AZ46" s="484"/>
      <c r="BA46" s="476"/>
      <c r="BB46" s="476"/>
      <c r="BC46" s="476"/>
      <c r="BD46" s="484">
        <f t="shared" si="10"/>
        <v>0</v>
      </c>
      <c r="BF46" s="481">
        <f>BD46-AM46</f>
        <v>0</v>
      </c>
    </row>
    <row r="47" spans="2:61">
      <c r="AI47" s="446">
        <f t="shared" ref="AI47:AN47" si="15">AI34+AI35+AI36+AI37+AI38+AI39+AI40+AI41+AI42+AI43+AI44+AI45</f>
        <v>561068415</v>
      </c>
      <c r="AJ47" s="446">
        <f t="shared" si="15"/>
        <v>8927761</v>
      </c>
      <c r="AK47" s="446">
        <f t="shared" si="15"/>
        <v>0</v>
      </c>
      <c r="AL47" s="446">
        <f t="shared" si="15"/>
        <v>556308419</v>
      </c>
      <c r="AM47" s="446">
        <f t="shared" si="15"/>
        <v>415515716</v>
      </c>
      <c r="AN47" s="446">
        <f t="shared" si="15"/>
        <v>136624938</v>
      </c>
      <c r="AV47" s="484">
        <f>SUM(AV34:AV45)</f>
        <v>509879416.29999995</v>
      </c>
      <c r="AW47" s="484">
        <f>SUM(AW34:AW45)</f>
        <v>24000003</v>
      </c>
      <c r="AX47" s="484">
        <f>SUM(AX34:AX45)</f>
        <v>22428999.699999999</v>
      </c>
      <c r="AY47" s="484">
        <f>SUM(AV47:AX47)</f>
        <v>556308419</v>
      </c>
      <c r="BA47" s="477">
        <f>SUM(BA34:BA46)</f>
        <v>371637258.39999998</v>
      </c>
      <c r="BB47" s="477">
        <f>SUM(BB34:BB46)</f>
        <v>24000003</v>
      </c>
      <c r="BC47" s="477">
        <f>SUM(BC34:BC46)</f>
        <v>19878454.600000001</v>
      </c>
      <c r="BD47" s="477">
        <f t="shared" si="10"/>
        <v>415515716</v>
      </c>
    </row>
    <row r="48" spans="2:61">
      <c r="BA48" s="477"/>
      <c r="BB48" s="477"/>
      <c r="BC48" s="477"/>
      <c r="BD48" s="477"/>
    </row>
    <row r="49" spans="39:53">
      <c r="AM49" s="366"/>
      <c r="BA49" s="475">
        <v>371637258.40000004</v>
      </c>
    </row>
  </sheetData>
  <mergeCells count="4">
    <mergeCell ref="AV1:AY1"/>
    <mergeCell ref="BA1:BD1"/>
    <mergeCell ref="AV32:AX32"/>
    <mergeCell ref="BA32:BC32"/>
  </mergeCells>
  <printOptions horizontalCentered="1"/>
  <pageMargins left="0.19685039370078741" right="0.19685039370078741" top="0.19685039370078741" bottom="0.19685039370078741" header="0" footer="0"/>
  <pageSetup scale="19"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SharedWithUsers xmlns="f5e60779-6af5-4dde-a1c8-ebb5582c629e">
      <UserInfo>
        <DisplayName>Lesly Paola Nino Palencia</DisplayName>
        <AccountId>509</AccountId>
        <AccountType/>
      </UserInfo>
      <UserInfo>
        <DisplayName>Angela Marcela Forero Ruiz</DisplayName>
        <AccountId>27</AccountId>
        <AccountType/>
      </UserInfo>
      <UserInfo>
        <DisplayName>Ángela Adriana Ávila Ospina</DisplayName>
        <AccountId>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6" ma:contentTypeDescription="Crear nuevo documento." ma:contentTypeScope="" ma:versionID="1826004696ec8555fdb6054fb0a8d013">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f3e60601b6c7acb4181a2aa73b9ac79a"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B01EBC-CDAB-4356-8BBC-1C4D074A9D8F}">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85B55B14-8D01-4534-A42B-42549DF55E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7</vt:i4>
      </vt:variant>
    </vt:vector>
  </HeadingPairs>
  <TitlesOfParts>
    <vt:vector size="23" baseType="lpstr">
      <vt:lpstr>Meta 1</vt:lpstr>
      <vt:lpstr>Meta 2</vt:lpstr>
      <vt:lpstr>Meta 3</vt:lpstr>
      <vt:lpstr>Meta 4</vt:lpstr>
      <vt:lpstr>Meta 1..n</vt:lpstr>
      <vt:lpstr>Territorialización PA</vt:lpstr>
      <vt:lpstr>Indicadores PA</vt:lpstr>
      <vt:lpstr>Prog.Pptal</vt:lpstr>
      <vt:lpstr>Reserva</vt:lpstr>
      <vt:lpstr>Vigencia</vt:lpstr>
      <vt:lpstr>Avance PDD</vt:lpstr>
      <vt:lpstr>Instructivo</vt:lpstr>
      <vt:lpstr>Generalidades</vt:lpstr>
      <vt:lpstr>Hoja2</vt:lpstr>
      <vt:lpstr>Hoja13</vt:lpstr>
      <vt:lpstr>Hoja1</vt:lpstr>
      <vt:lpstr>'Meta 1'!Área_de_impresión</vt:lpstr>
      <vt:lpstr>'Meta 2'!Área_de_impresión</vt:lpstr>
      <vt:lpstr>'Meta 3'!Área_de_impresión</vt:lpstr>
      <vt:lpstr>'Meta 4'!Área_de_impresión</vt:lpstr>
      <vt:lpstr>'Territorialización PA'!Área_de_impresión</vt:lpstr>
      <vt:lpstr>'Indicadores PA'!Títulos_a_imprimir</vt:lpstr>
      <vt:lpstr>'Territorialización PA'!Títulos_a_imprimir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Angela Marcela Forero Ruiz</cp:lastModifiedBy>
  <cp:revision/>
  <dcterms:created xsi:type="dcterms:W3CDTF">2011-04-26T22:16:52Z</dcterms:created>
  <dcterms:modified xsi:type="dcterms:W3CDTF">2022-09-08T21:00:08Z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MediaServiceImageTags">
    <vt:lpwstr/>
  </property>
</Properties>
</file>