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7.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80" windowWidth="28800" windowHeight="16100" tabRatio="674" firstSheet="2" activeTab="3"/>
  </bookViews>
  <sheets>
    <sheet name="SPI corr" sheetId="1" state="hidden" r:id="rId1"/>
    <sheet name="SPI" sheetId="2" state="hidden" r:id="rId2"/>
    <sheet name="Meta 1" sheetId="3" r:id="rId3"/>
    <sheet name="Meta 2" sheetId="4" r:id="rId4"/>
    <sheet name="Meta 3" sheetId="5" r:id="rId5"/>
    <sheet name="Meta 4" sheetId="6" r:id="rId6"/>
    <sheet name="1. Ind. PA - Direc.  Estrate." sheetId="7" r:id="rId7"/>
    <sheet name="2. Ind PA - Gestión Tec." sheetId="8" r:id="rId8"/>
    <sheet name="3. Ind PA - Talento H." sheetId="9" r:id="rId9"/>
    <sheet name="4. Ind PA - Planeación y " sheetId="10" r:id="rId10"/>
    <sheet name="5. Ind PA - Seg Eval. y C." sheetId="11" r:id="rId11"/>
    <sheet name="6. Ind PA - Gestión Doc" sheetId="12" r:id="rId12"/>
    <sheet name="7. Ind PA - GAyF" sheetId="13" r:id="rId13"/>
    <sheet name="8. Ind PA - CDI " sheetId="14" r:id="rId14"/>
    <sheet name="9. Ind PA - Contratación" sheetId="15" r:id="rId15"/>
    <sheet name="10. Ind PA - Atención Ciuda" sheetId="16" r:id="rId16"/>
    <sheet name="11. Ind PA - G. Jurídica" sheetId="17" r:id="rId17"/>
    <sheet name="Metas 1 PA proyecto" sheetId="18" state="hidden" r:id="rId18"/>
    <sheet name="Meta 1..n" sheetId="19" state="hidden" r:id="rId19"/>
    <sheet name="Metas 4 PA proyecto" sheetId="20" state="hidden" r:id="rId20"/>
    <sheet name="Metas 5 PA proyecto" sheetId="21" state="hidden" r:id="rId21"/>
    <sheet name="Territorialización PA" sheetId="22" r:id="rId22"/>
    <sheet name="Instructivo" sheetId="23" r:id="rId23"/>
    <sheet name="Generalidades" sheetId="24"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6">'1. Ind. PA - Direc.  Estrate.'!$A$1:$AX$21</definedName>
    <definedName name="_xlnm.Print_Area" localSheetId="15">'10. Ind PA - Atención Ciuda'!$A$1:$AX$27</definedName>
    <definedName name="_xlnm.Print_Area" localSheetId="16">'11. Ind PA - G. Jurídica'!$A$1:$AX$23</definedName>
    <definedName name="_xlnm.Print_Area" localSheetId="7">'2. Ind PA - Gestión Tec.'!$A$1:$AX$24</definedName>
    <definedName name="_xlnm.Print_Area" localSheetId="8">'3. Ind PA - Talento H.'!$A$1:$AX$19</definedName>
    <definedName name="_xlnm.Print_Area" localSheetId="9">'4. Ind PA - Planeación y '!$A$1:$AX$21</definedName>
    <definedName name="_xlnm.Print_Area" localSheetId="10">'5. Ind PA - Seg Eval. y C.'!$A$1:$AX$20</definedName>
    <definedName name="_xlnm.Print_Area" localSheetId="11">'6. Ind PA - Gestión Doc'!$A$1:$AX$21</definedName>
    <definedName name="_xlnm.Print_Area" localSheetId="12">'7. Ind PA - GAyF'!$A$1:$AX$23</definedName>
    <definedName name="_xlnm.Print_Area" localSheetId="13">'8. Ind PA - CDI '!$A$1:$AX$20</definedName>
    <definedName name="_xlnm.Print_Area" localSheetId="14">'9. Ind PA - Contratación'!$A$1:$AX$24</definedName>
    <definedName name="_xlnm.Print_Area" localSheetId="2">'Meta 1'!$A$1:$AD$43</definedName>
    <definedName name="_xlnm.Print_Area" localSheetId="3">'Meta 2'!$A$1:$AD$47</definedName>
    <definedName name="_xlnm.Print_Area" localSheetId="4">'Meta 3'!$A$1:$AD$43</definedName>
    <definedName name="_xlnm.Print_Area" localSheetId="5">'Meta 4'!$A$1:$AD$51</definedName>
    <definedName name="_xlnm.Print_Area" localSheetId="17">'Metas 1 PA proyecto'!$A$1:$AD$45</definedName>
    <definedName name="_xlnm.Print_Area" localSheetId="19">'Metas 4 PA proyecto'!$A$1:$AD$45</definedName>
    <definedName name="_xlnm.Print_Area" localSheetId="20">'Metas 5 PA proyecto'!$A$1:$AD$45</definedName>
  </definedNames>
  <calcPr fullCalcOnLoad="1"/>
</workbook>
</file>

<file path=xl/comments10.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4"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9.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recursos por $24.175.000</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$2´200.000</t>
        </r>
      </text>
    </comment>
  </commentList>
</comments>
</file>

<file path=xl/comments7.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<sst xmlns="http://schemas.openxmlformats.org/spreadsheetml/2006/main" count="3621" uniqueCount="895">
  <si>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</si>
  <si>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</si>
  <si>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</si>
  <si>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</si>
  <si>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</si>
  <si>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</si>
  <si>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</si>
  <si>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</si>
  <si>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</si>
  <si>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</si>
  <si>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</si>
  <si>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</si>
  <si>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</si>
  <si>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</si>
  <si>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</si>
  <si>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</si>
  <si>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</si>
  <si>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</si>
  <si>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</si>
  <si>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</si>
  <si>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</si>
  <si>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</si>
  <si>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</si>
  <si>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</si>
  <si>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</si>
  <si>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</si>
  <si>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</si>
  <si>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</si>
  <si>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</si>
  <si>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</si>
  <si>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</si>
  <si>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</si>
  <si>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</si>
  <si>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</si>
  <si>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</si>
  <si>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</si>
  <si>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</si>
  <si>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</si>
  <si>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</si>
  <si>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</si>
  <si>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</si>
  <si>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</si>
  <si>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</si>
  <si>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</si>
  <si>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</si>
  <si>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</si>
  <si>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</si>
  <si>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</si>
  <si>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</si>
  <si>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</si>
  <si>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</si>
  <si>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</si>
  <si>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</si>
  <si>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</si>
  <si>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</si>
  <si>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</si>
  <si>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</si>
  <si>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</si>
  <si>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</si>
  <si>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</si>
  <si>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</si>
  <si>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</si>
  <si>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</si>
  <si>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</si>
  <si>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</si>
  <si>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</si>
  <si>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</si>
  <si>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</si>
  <si>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</si>
  <si>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</si>
  <si>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</si>
  <si>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</si>
  <si>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</si>
  <si>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</si>
  <si>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</si>
  <si>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</si>
  <si>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</si>
  <si>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</si>
  <si>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</si>
  <si>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</si>
  <si>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</si>
  <si>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</si>
  <si>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</si>
  <si>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</si>
  <si>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</si>
  <si>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</si>
  <si>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</si>
  <si>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</si>
  <si>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</si>
  <si>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</si>
  <si>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</si>
  <si>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</si>
  <si>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</si>
  <si>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</si>
  <si>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</si>
  <si>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</si>
  <si>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</si>
  <si>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</si>
  <si>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</si>
  <si>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</si>
  <si>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</si>
  <si>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</si>
  <si>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</si>
  <si>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</si>
  <si>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</si>
  <si>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</si>
  <si>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</si>
  <si>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</si>
  <si>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</si>
  <si>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</si>
  <si>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</si>
  <si>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</si>
  <si>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</si>
  <si>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</si>
  <si>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</si>
  <si>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</si>
  <si>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</si>
  <si>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</si>
  <si>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</si>
  <si>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</si>
  <si>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</si>
  <si>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</si>
  <si>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</si>
  <si>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</si>
  <si>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</si>
  <si>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</si>
  <si>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</si>
  <si>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</si>
  <si>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</si>
  <si>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</si>
  <si>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</si>
  <si>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</si>
  <si>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</si>
  <si>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</si>
  <si>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</si>
  <si>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</si>
  <si>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</si>
  <si>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</si>
  <si>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</si>
  <si>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</si>
  <si>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</si>
  <si>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</si>
  <si>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</si>
  <si>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</si>
  <si>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</si>
  <si>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</si>
  <si>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</si>
  <si>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</si>
  <si>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</si>
  <si>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</si>
  <si>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</si>
  <si>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</si>
  <si>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</si>
  <si>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</si>
  <si>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</si>
  <si>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</si>
  <si>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</si>
  <si>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</si>
  <si>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</si>
  <si>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</si>
  <si>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</si>
  <si>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</si>
  <si>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</si>
  <si>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</si>
  <si>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</si>
  <si>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</si>
  <si>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</si>
  <si>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</si>
  <si>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</si>
  <si>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</si>
  <si>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</si>
  <si>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</si>
  <si>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</si>
  <si>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</si>
  <si>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</si>
  <si>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</si>
  <si>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</si>
  <si>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</si>
  <si>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</si>
  <si>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</si>
  <si>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</si>
  <si>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</si>
  <si>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</si>
  <si>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</si>
  <si>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</si>
  <si>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</si>
  <si>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</si>
  <si>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</si>
  <si>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</si>
  <si>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</si>
  <si>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</si>
  <si>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</si>
  <si>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</si>
  <si>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</si>
  <si>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</si>
  <si>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</si>
  <si>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</si>
  <si>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</si>
  <si>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</si>
  <si>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</si>
  <si>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</si>
  <si>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</si>
  <si>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</si>
  <si>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</si>
  <si>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</si>
  <si>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</si>
  <si>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</si>
  <si>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</si>
  <si>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</si>
  <si>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</si>
  <si>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</si>
  <si>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</si>
  <si>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</si>
  <si>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</si>
  <si>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</si>
  <si>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</si>
  <si>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</si>
  <si>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</si>
  <si>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</si>
  <si>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</si>
  <si>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</si>
  <si>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</si>
  <si>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</si>
  <si>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</si>
  <si>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</si>
  <si>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</si>
  <si>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</si>
  <si>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</si>
  <si>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</si>
  <si>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</si>
  <si>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</si>
  <si>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</si>
  <si>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</si>
  <si>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</si>
  <si>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</si>
  <si>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</si>
  <si>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</si>
  <si>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</si>
  <si>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</si>
  <si>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</si>
  <si>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</si>
  <si>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</si>
  <si>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</si>
  <si>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</si>
  <si>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</si>
  <si>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</si>
  <si>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</si>
  <si>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</si>
  <si>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</si>
  <si>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</si>
  <si>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</si>
  <si>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</si>
  <si>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</si>
  <si>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</si>
  <si>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</si>
  <si>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</si>
  <si>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</si>
  <si>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</si>
  <si>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</si>
  <si>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</si>
  <si>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</si>
  <si>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</si>
  <si>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</si>
  <si>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</si>
  <si>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</si>
  <si>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</si>
  <si>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</si>
  <si>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</si>
  <si>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</si>
  <si>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</si>
  <si>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</si>
  <si>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</si>
  <si>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</si>
  <si>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</si>
  <si>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</si>
  <si>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</si>
  <si>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</si>
  <si>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</si>
  <si>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</si>
  <si>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</si>
  <si>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</si>
  <si>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</si>
  <si>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</si>
  <si>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</si>
  <si>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</si>
  <si>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</si>
  <si>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</si>
  <si>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</si>
  <si>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</si>
  <si>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</si>
  <si>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</si>
  <si>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</si>
  <si>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</si>
  <si>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</si>
  <si>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</si>
  <si>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</si>
  <si>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</si>
  <si>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</si>
  <si>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</si>
  <si>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</si>
  <si>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</si>
  <si>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</si>
  <si>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</si>
  <si>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</si>
  <si>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</si>
  <si>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</si>
  <si>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</si>
  <si>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</si>
  <si>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</si>
  <si>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</si>
  <si>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</si>
  <si>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</si>
  <si>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</si>
  <si>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</si>
  <si>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</si>
  <si>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</si>
  <si>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</si>
  <si>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</si>
  <si>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</si>
  <si>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</si>
  <si>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</si>
  <si>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</si>
  <si>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</si>
  <si>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</si>
  <si>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</si>
  <si>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</si>
  <si>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</si>
  <si>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</si>
  <si>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</si>
  <si>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</si>
  <si>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</si>
  <si>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</si>
  <si>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</si>
  <si>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</si>
  <si>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</si>
  <si>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</si>
  <si>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</si>
  <si>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</si>
  <si>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</si>
  <si>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</si>
  <si>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</si>
  <si>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</si>
  <si>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</si>
  <si>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</si>
  <si>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</si>
  <si>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</si>
  <si>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</si>
  <si>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</si>
  <si>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</si>
  <si>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</si>
  <si>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</si>
  <si>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</si>
  <si>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</si>
  <si>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</si>
  <si>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</si>
  <si>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</si>
  <si>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</si>
  <si>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</si>
  <si>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</si>
  <si>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</si>
  <si>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</si>
  <si>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</si>
  <si>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</si>
  <si>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</si>
  <si>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</si>
  <si>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</si>
  <si>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</si>
  <si>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</si>
  <si>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</si>
  <si>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</si>
  <si>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</si>
  <si>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</si>
  <si>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</si>
  <si>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</si>
  <si>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</si>
  <si>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</si>
  <si>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</si>
  <si>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</si>
  <si>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</si>
  <si>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</si>
  <si>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</si>
  <si>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</si>
  <si>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</si>
  <si>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</si>
  <si>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</si>
  <si>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</si>
  <si>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</si>
  <si>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</si>
  <si>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</si>
  <si>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</si>
  <si>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</si>
  <si>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</si>
  <si>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</si>
  <si>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</si>
  <si>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</si>
  <si>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</si>
  <si>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</si>
  <si>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</si>
  <si>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</si>
  <si>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</si>
  <si>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</si>
  <si>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</si>
  <si>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</si>
  <si>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</si>
  <si>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</si>
  <si>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</si>
  <si>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</si>
  <si>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</si>
  <si>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</si>
  <si>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Mensual</t>
  </si>
  <si>
    <t>3. Implementar de manera transversal el enfoque de género y las políticas públicas lideradas por la SdMujer, en los 15 sectores de la administración distrital</t>
  </si>
  <si>
    <t>N/A</t>
  </si>
  <si>
    <t>7662 - Fortalecimiento a la gestión institucional de la SDMujer en Bogotá</t>
  </si>
  <si>
    <t>05 - Construir Bogotá Región con gobierno abierto, transparente y ciudadanía consciente</t>
  </si>
  <si>
    <t>Avanzar en el 80% en las políticas de Gobierno Digital y Seguridad Digital contenidas en la Dimensión Gestión con valores para Resultados</t>
  </si>
  <si>
    <t>30 - Incrementar la efectividad de la gestión pública distrital y local.</t>
  </si>
  <si>
    <t>Ejecutar el 100%  las actividades programadas para una correcta gestión administrativa y organizacional</t>
  </si>
  <si>
    <t>56 - Gestión Pública Efectiva</t>
  </si>
  <si>
    <t>Soportar al 100% la implementación de las políticas del Modelo Integrado de Planeación y Gestión</t>
  </si>
  <si>
    <t>Ejecutar al 90% la implementación de la Política de Gestión Documental institucional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</si>
  <si>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</si>
  <si>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rPr>
        <b/>
        <sz val="11"/>
        <rFont val="Times New Roman"/>
        <family val="1"/>
      </rPr>
      <t>CONTRATACIÓN :</t>
    </r>
    <r>
      <rPr>
        <sz val="11"/>
        <rFont val="Times New Roman"/>
        <family val="1"/>
      </rPr>
      <t xml:space="preserve"> Tramitar las diferentes solicitudes radicadas en la Dirección de contratación  en las etapas (Precontractual, Contractual y Postcontractual).</t>
    </r>
  </si>
  <si>
    <r>
      <t xml:space="preserve">ADMINISTRATIVA Y FINANCIERA : </t>
    </r>
    <r>
      <rPr>
        <sz val="11"/>
        <rFont val="Times New Roman"/>
        <family val="1"/>
      </rPr>
      <t>Atender los requerimientos administrativos y financieros que impactan el desarrollo de las actividades transversales de la Secretaría Distrital de la Mujer a cargo de la Dirección de Gestión Administrativa y Financiera</t>
    </r>
  </si>
  <si>
    <r>
      <t xml:space="preserve">TALENTO HUMANO : </t>
    </r>
    <r>
      <rPr>
        <sz val="11"/>
        <rFont val="Times New Roman"/>
        <family val="1"/>
      </rPr>
      <t xml:space="preserve"> Realizar la formulación, ejecución y evaluación de los planes y programas a cargo de la Dirección de Talento Humano.</t>
    </r>
  </si>
  <si>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</si>
  <si>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</si>
  <si>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</si>
  <si>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</si>
  <si>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t>Soportar la  implementación del Sistema de Gestión en el marco de MIPG</t>
  </si>
  <si>
    <t>Planeación y Gestión</t>
  </si>
  <si>
    <t>NA</t>
  </si>
  <si>
    <t xml:space="preserve">Soportar el 100% en la implementación del Modelo Integrado de Planeación y Gestión </t>
  </si>
  <si>
    <t>%</t>
  </si>
  <si>
    <t>Trimestral</t>
  </si>
  <si>
    <t>Seguimiento al plan de adecución y sostenibilidad de MIPG</t>
  </si>
  <si>
    <t>Efectuar el 100% de los acompañamientos a los procesos  que lo requieran para la formulación de planes de mejoramiento derivados de las auditorias internas y externas.</t>
  </si>
  <si>
    <r>
      <t>Correos electrónicos y/o evidencias de reuniones</t>
    </r>
    <r>
      <rPr>
        <b/>
        <sz val="11"/>
        <color indexed="8"/>
        <rFont val="Times New Roman"/>
        <family val="1"/>
      </rPr>
      <t xml:space="preserve">(actas) </t>
    </r>
  </si>
  <si>
    <t>Ejecutar el 100% del Plan Institucional de Gestión Ambiental - PIGA 2022</t>
  </si>
  <si>
    <t>PAAC</t>
  </si>
  <si>
    <t>Revisar y actualizar el 100% de los documentos asociados a los riesgos de la entidad, de acuerdo con los lineamientos vigentes</t>
  </si>
  <si>
    <r>
      <t xml:space="preserve">Correos electrónicos y/o evidencias de reuniones - </t>
    </r>
    <r>
      <rPr>
        <b/>
        <sz val="11"/>
        <rFont val="Times New Roman"/>
        <family val="1"/>
      </rPr>
      <t>actas</t>
    </r>
  </si>
  <si>
    <t>Mantener actualizada al 100% la información que se debe publicar en el Botón de transparencia de acuerdo con la normatividad vigente</t>
  </si>
  <si>
    <t>Matriz de seguimiento que refleje la actualización de información en el botón de transparencia en cada numeral y dependencia responsable.</t>
  </si>
  <si>
    <t xml:space="preserve">Gestión Tecnológica </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</si>
  <si>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</si>
  <si>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</si>
  <si>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 xml:space="preserve">Constante </t>
  </si>
  <si>
    <t>Desarrollar acciones para la formulación, ejecución y seguimiento de los diferentes instrumentos de gestión en el marco de la planeación institucional y del Sistema de gestión.</t>
  </si>
  <si>
    <t>Apoyar el desarrollo del Plan Anual de Auditoría de la entidad, en ejercicio de los roles de la Oficina de Control Interno para la evaluación del Sistema de Control Interno</t>
  </si>
  <si>
    <t>Seguimiento Evaluación y Control</t>
  </si>
  <si>
    <t>Planear, ejecutar las auditorías programadas en el Plan Anual de Auditoría, asi como emitir y publicar el informe con los resultados.</t>
  </si>
  <si>
    <t>Auditorías planeadas y ejecutadas de acuerdo con el Plan Anual de Auditoría, con sus informes de resultados emitidos y publicados.</t>
  </si>
  <si>
    <t>Constante</t>
  </si>
  <si>
    <t>Informes de auditorías emitidos.</t>
  </si>
  <si>
    <t>Elaborar, remitir y publicar los informes de seguimiento establecidos en el Plan Anual de Auditoría aprobado.</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</si>
  <si>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</si>
  <si>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</si>
  <si>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</si>
  <si>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Informes reglamentarios emitidos.</t>
  </si>
  <si>
    <t>Formulación y seguimiento al Plan Anual de Auditoría; 
Actas de CICCI;
Actas del CDA; 
Actas de otras instancias internas y externas;
Evidencia de reuniones;
Actas de visitas;
 Documentos del proceso revisados.</t>
  </si>
  <si>
    <t>Transferencia Documental Primaria de 80 metros lineales de los archivos de gestión al  Archivo Central de la Entidad</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</si>
  <si>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</si>
  <si>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</si>
  <si>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</si>
  <si>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</si>
  <si>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Gestión Documental</t>
  </si>
  <si>
    <t>Ejecutar al 90% la implementación de la politica de Gestión Documental institucional</t>
  </si>
  <si>
    <t>Archivos de la entidad organizados y transferidos, dispuestos para consulta</t>
  </si>
  <si>
    <t>Suma</t>
  </si>
  <si>
    <t xml:space="preserve">Metros lineales de archivo transferido </t>
  </si>
  <si>
    <t>Actas de legalización de trasnferencia</t>
  </si>
  <si>
    <t>Archivos de la entidad organizados e intervenidos, dispuestos para trasnferencia primaria</t>
  </si>
  <si>
    <t xml:space="preserve">Metros lineales de archivo intervenido </t>
  </si>
  <si>
    <t>Reporte de seguimiento a la intervención</t>
  </si>
  <si>
    <t>Instrumentos archivisticos actualizados y publicados, dispuestos para consulta</t>
  </si>
  <si>
    <t>Instrumento actualizado y publicado</t>
  </si>
  <si>
    <t>Reporte de seguimiento a la actividad</t>
  </si>
  <si>
    <t>Gestión Administrativa</t>
  </si>
  <si>
    <t xml:space="preserve">Realizar oportunamente los informes de Austeridad en el Gasto Público que sean solicitados por las partes interesadas. </t>
  </si>
  <si>
    <t xml:space="preserve">Informes enviados a control interno y al Concejo en la fechas establecidas </t>
  </si>
  <si>
    <t>Consolidar e implementar la herramienta técnologica para administrar automaticamente la información de inventarios de la Entidad</t>
  </si>
  <si>
    <t>Reportes generados por el aplicativo</t>
  </si>
  <si>
    <t xml:space="preserve">Mantener actualizado el inventario físico de los bienes y elementos de la Entidad. </t>
  </si>
  <si>
    <t>Semestral</t>
  </si>
  <si>
    <t>Informe parcial y final de la toma fisica de inventarios</t>
  </si>
  <si>
    <t>Gestión Financiera</t>
  </si>
  <si>
    <t>Presentar los Estados Financieros oportunamente de acuerdo con la normatividad establecida</t>
  </si>
  <si>
    <t>Publicaciones en la web</t>
  </si>
  <si>
    <t>Presentar la información tributaria (información exógena), de acuerdo con la normativa vigente</t>
  </si>
  <si>
    <t>Informames enviados</t>
  </si>
  <si>
    <t>De acuerdo a los tiempos establecidos por la SDH</t>
  </si>
  <si>
    <t>Informes enviados:
* Enero estampillas
* Abril exogena nacional
* Julio estampillas
* Agosto exogena Distrital</t>
  </si>
  <si>
    <t>Tramitar las solicitudes de CDP y CRP requeridas en la Entidad.</t>
  </si>
  <si>
    <t>Cantidad CDP y CRP</t>
  </si>
  <si>
    <t>Reporte mensual de CDP y CRP registrados en Bogdata</t>
  </si>
  <si>
    <t>Elaborar y publicar reportes de seguimiento de la ejecución presupuestal y pagos programados a través de los aplicativos establecidos por la SDHacienda para tal fin</t>
  </si>
  <si>
    <t>Reportes publicados en la página web</t>
  </si>
  <si>
    <t xml:space="preserve">Informes publicados en la página web </t>
  </si>
  <si>
    <t>Gestión de Talento Humano</t>
  </si>
  <si>
    <t>Plan de Bienestar Social, Estímulos e Incentivos.</t>
  </si>
  <si>
    <t>Formular, ejecutar y evaluar el Plan de Bienestar Social, Estímulos e Incentivos en la Entidad, para la vigencia 2022.</t>
  </si>
  <si>
    <t>TRIMESTRAL</t>
  </si>
  <si>
    <t>Actas, registros de asistencia, registros fotográficos, videos, piezas de comunicaciones, correos electrónicos, certificados, comunicaciones internas y externas, archivos de excel, presentaciones power point, invitaciones, entre otros, de las actividades ejecutadas.</t>
  </si>
  <si>
    <t>Plan Institucional de Formación y Capacitación.</t>
  </si>
  <si>
    <t>Formular, ejecutar y evaluar el Plan Institucional de Formación y Capacitación de la Secretaría Distrital de la Mujer, para la vigencia 2022.</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</si>
  <si>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</si>
  <si>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2022.</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</si>
  <si>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</si>
  <si>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</si>
  <si>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</si>
  <si>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</si>
  <si>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</si>
  <si>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</si>
  <si>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</si>
  <si>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</si>
  <si>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</si>
  <si>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</si>
  <si>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</si>
  <si>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</si>
  <si>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</si>
  <si>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</si>
  <si>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</si>
  <si>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</si>
  <si>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</si>
  <si>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</si>
  <si>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</si>
  <si>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</si>
  <si>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</si>
  <si>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</si>
  <si>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</si>
  <si>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</si>
  <si>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</si>
  <si>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</si>
  <si>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</si>
  <si>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</si>
  <si>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</si>
  <si>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</si>
  <si>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</si>
  <si>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</si>
  <si>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</si>
  <si>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Porcentaje de actividades del Plan de Bienestar Social, Estímulos e Incentivos ejecutadas</t>
  </si>
  <si>
    <t>(No de actividades ejecutadas en el Plan de Bienestar durante el periodo de medición / No de actividades programadas del Plan de Bienestar) *100</t>
  </si>
  <si>
    <t>suma</t>
  </si>
  <si>
    <t>Porcentaje de actividades previstas en el Plan Institucional de Formación y Capacitación ejecutadas</t>
  </si>
  <si>
    <t>(No de actividades ejecutadas en el Plan de Capacitación durante el periodo de medición/ No de actividades programadas en el Plan de Capacitación) *100</t>
  </si>
  <si>
    <t>Porcentaje de las actividades previstas en el Plan de Trabajo Anual de Seguridad y Salud en el Trabajo ejecutadas</t>
  </si>
  <si>
    <t>(No de actividades ejecutadas en el Plan Anual en Seguridad y Salud en el Trabajo durante el periodo de medición / No de actividades programadas en el Plan Anual de Seguridad y Salud en el Trabajo) *100</t>
  </si>
  <si>
    <t>Porcentaje de ejecución al Plan de Adecuación y Sostenibilidad del MIPG</t>
  </si>
  <si>
    <t>(No. acciones ejecutadas del plan de adecuación y sostenibilidad de MIPG durante el periodo de medición / No. de acciones totales del plan de adecuación y sostenibilidad de MIPG)*100</t>
  </si>
  <si>
    <t>Porcentaje de solicitudes atendidas de acompañamiento a los procesos de la entidad para la formulacion de planes de mejoramiento derivados de las auditorias internas y externas.</t>
  </si>
  <si>
    <t xml:space="preserve">((No. de solicitudes de acompañamiento a la formulación de planes de mejoramiento atendidos / No. Total de solicitudes de acompañamiento recibidas)*100) </t>
  </si>
  <si>
    <t>Porcentaje de ejecución del Plan Institucional de Gestión Ambiental - PIGA 2022</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</si>
  <si>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</si>
  <si>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</si>
  <si>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Porcentaje de documentos actualización asociados a riesgos </t>
  </si>
  <si>
    <t>(No. de documentos asociados a riesgos actualizados / No. de documentos asociados a riesgos a actualizar) * 100</t>
  </si>
  <si>
    <t>Porcentaje de información actualizada en el Botón de transparencia</t>
  </si>
  <si>
    <t>(No. de informes publicados en el período de medición / No. de informes a publicar en el periodo de medición)* 100</t>
  </si>
  <si>
    <t>(No de auditorias realizadas en el periodo de medición con informes emitidos/No de auditoria programados)*100</t>
  </si>
  <si>
    <t>Porcentaje de informes de seguimiento elaborados, remitidos y publicados de acuerdo con el Plan Anual de Auditoría aprobado.</t>
  </si>
  <si>
    <t>(No de Informes de seguimiento emitidos durante el periodo de medición / Número de Informes de seguimiento programados)*100</t>
  </si>
  <si>
    <t>(No de Informes reglamentarios emitidos durante el periodo de medición /Número de Informes reglamentarios programados)*100</t>
  </si>
  <si>
    <t>Ejecutar actividades de consultoría (asesoría y acompañamiento) requeridas, que contribuyan al mejoramiento de la gestión y desempeño de la entidad.</t>
  </si>
  <si>
    <t>Porcentaje de actividades de consultoría (asesoría y acompañamiento) ejecutadas, que contribuyan al mejoramiento de la gestión y desempeño de la entidad.</t>
  </si>
  <si>
    <t>(No de actividades de consultoría que contribuyan al mejoramiento de la gestión y desempeño de la entidad ejecutadas/No de actividades de consultoría que contribuyan al mejoramiento de la gestión y desempeño de la entidad requeridas) * 100</t>
  </si>
  <si>
    <t>Sumatoria de metros lineales de archivo tranferido dispuestos para consulta durante el periodo de medición</t>
  </si>
  <si>
    <t>Sumatoria de metros lineales de archivo intervenido y dispuesto para transferencia primaria</t>
  </si>
  <si>
    <t>Instrumentos actualizados y publicados</t>
  </si>
  <si>
    <t>Sumatoria de instrumentos actualizados y publicados</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</si>
  <si>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</si>
  <si>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</si>
  <si>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</si>
  <si>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</si>
  <si>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Informes de austeridad del gasto enviados al Concejo de Bogotá y entregados a la Oficina de Control Interno en los tiempos establecidos</t>
  </si>
  <si>
    <t xml:space="preserve">Sumatoria de informes de austeridad del gasto enviados </t>
  </si>
  <si>
    <t>Porcentaje de reportes extaridos del aplicativo de acuerdo con la necesidad de gestión</t>
  </si>
  <si>
    <t>(No de reportes extraidos del aplicativo / No de requerimientos de información para cubrir necesidad de gestión)</t>
  </si>
  <si>
    <t>Informes de identificación y actualización del inventario de la entidad elaborados</t>
  </si>
  <si>
    <t>Informes elaborados</t>
  </si>
  <si>
    <t>Sumatoria de los informes elaborados de la actualización del inventario físico</t>
  </si>
  <si>
    <t>Porcentaje de publicaciones de estados financieros de la entidad realizados</t>
  </si>
  <si>
    <t>No de publicaciones realizadas en la página web de estados financieros / No de publicaciones establecidas por la normatividad</t>
  </si>
  <si>
    <t>Porcentaje de reportes de información exogena presentados da la SDH</t>
  </si>
  <si>
    <t>No de informes enviados a la SHD / No de reportes a presetar de acuerdo con la normatividad vigente</t>
  </si>
  <si>
    <t xml:space="preserve">Porcentaje de CDP y CRP solicitados y emitidos </t>
  </si>
  <si>
    <t>No de CDP y CRP emitidos / No de CDP y CRP solicitados</t>
  </si>
  <si>
    <t>Porcentaje de reportes de  ejecución presupuestal elaborados y publicados.</t>
  </si>
  <si>
    <t>No de reportes publicados de ejecución presupuestal en la página web en el periodo de medición / 12</t>
  </si>
  <si>
    <t xml:space="preserve">Nombre: </t>
  </si>
  <si>
    <t>1.1</t>
  </si>
  <si>
    <t xml:space="preserve">Control Disciplinario Interno </t>
  </si>
  <si>
    <t>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t>
  </si>
  <si>
    <t>Numero de  jornadas de trabajo con las servidoras y servidores de la SDMujer</t>
  </si>
  <si>
    <t>Jornadas</t>
  </si>
  <si>
    <t xml:space="preserve">Listado de asistencia </t>
  </si>
  <si>
    <t>1.2</t>
  </si>
  <si>
    <t xml:space="preserve">Numero de autos proferidos </t>
  </si>
  <si>
    <t xml:space="preserve">Autos </t>
  </si>
  <si>
    <t xml:space="preserve">Anual </t>
  </si>
  <si>
    <t>1.3</t>
  </si>
  <si>
    <t>Numero de jornadas de sensibilización</t>
  </si>
  <si>
    <t>1.4</t>
  </si>
  <si>
    <t xml:space="preserve">Llevar a cabo una semana de la Oficina de Control Interno Disciplinario </t>
  </si>
  <si>
    <t xml:space="preserve">Listados y encuestas de satisfaccion </t>
  </si>
  <si>
    <t xml:space="preserve">Dirección de Contratación </t>
  </si>
  <si>
    <t>Contrataciòn</t>
  </si>
  <si>
    <t>Desarrollo del 100% de los procesos radicados en la Dirección de Contratación, que cumplan con todos los requisitos definidos en la normativa vigente.</t>
  </si>
  <si>
    <t xml:space="preserve">Trimestral </t>
  </si>
  <si>
    <t>Porcentaje de contratos firmados y legalizados</t>
  </si>
  <si>
    <t>(No. de contratos firmados y legalizados / No. de solicitudes de contratación recibidas)*100 (peso porcentual del periodo)</t>
  </si>
  <si>
    <t>(No. de liquidaciones realizadas  /No. de soliciutdes liquidaciones radicadas ) * 100 (peso porcentual del periodo)</t>
  </si>
  <si>
    <t>Memorandos y/o correos remitidos a las dependencias.</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</si>
  <si>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</si>
  <si>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</si>
  <si>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</si>
  <si>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</si>
  <si>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</si>
  <si>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Registros de participaciones en Ferias de Servicio a la Ciudadanía</t>
  </si>
  <si>
    <t>Desarrollar actividades para evaluar el cumplimiento de los aspectos de accesibilidad al medio físico en los puntos de atención a la ciudadanía.</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</si>
  <si>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</si>
  <si>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</si>
  <si>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</si>
  <si>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Recibir, registrar, asignar y hacer seguimiento a la gestión de las peticiones ciudadanas (PQRS) y al manejo del Sistema Distrital para la Gestión de Peticiones Ciudadanas, Bogotá Te Escucha.</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</si>
  <si>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</si>
  <si>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</si>
  <si>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Adoptar al 100%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</si>
  <si>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Elaborar informes de seguimiento a la gestión de las peticiones ciudadanas y a la gestión del proceso de Atención a la Ciudadanía.</t>
  </si>
  <si>
    <t>Medir la satisfacción de la ciudadanía con respecto a la atención y retroalimentar sus resultados.</t>
  </si>
  <si>
    <t xml:space="preserve"> Firma:</t>
  </si>
  <si>
    <t>APROBÓ</t>
  </si>
  <si>
    <t xml:space="preserve">Firma: </t>
  </si>
  <si>
    <t>REVISIÓN OFICINA ASESORA DE PLANEACIÓN</t>
  </si>
  <si>
    <t xml:space="preserve"> Firmas:</t>
  </si>
  <si>
    <t>Nombre: Zareth Ivana Doncel Baracaldo</t>
  </si>
  <si>
    <t>Nombre: Catalina Campos Romero</t>
  </si>
  <si>
    <t>x</t>
  </si>
  <si>
    <t>Direccionamiento Estratégico</t>
  </si>
  <si>
    <t>Cargo: Contratista - Lideresa Técnica</t>
  </si>
  <si>
    <t>Contratación</t>
  </si>
  <si>
    <t xml:space="preserve">Porcentaje de estudios previos (procesos precontractuales) revisados </t>
  </si>
  <si>
    <t>(No. de estudios previos revisados en el periodo de medición / No. de estudios  previos recibidos en el periodo de medición)</t>
  </si>
  <si>
    <t>Estudios previos recibidos para revisión 
Estudios previos revisados remitidos al área solicitante</t>
  </si>
  <si>
    <r>
      <t xml:space="preserve">Minutas (Secop II) de los Contratos Electrónicos y Minutas (Secop I) cuando aplique
</t>
    </r>
    <r>
      <rPr>
        <sz val="11"/>
        <color indexed="10"/>
        <rFont val="Times New Roman"/>
        <family val="1"/>
      </rPr>
      <t>Actas de inicio?</t>
    </r>
  </si>
  <si>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</si>
  <si>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</si>
  <si>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</si>
  <si>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</si>
  <si>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</si>
  <si>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</si>
  <si>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 xml:space="preserve">Porcentaje de respuestas a requerimientos emitidas. </t>
  </si>
  <si>
    <t>(No. De respuestas a requerimientos emitidas o expedidas / No. de requerimientos recibidos)*100 (peso porcentual del periodo)</t>
  </si>
  <si>
    <t xml:space="preserve">Correos, oficios o memorandos con respuestas emitidas
</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</si>
  <si>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</si>
  <si>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</si>
  <si>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</si>
  <si>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</si>
  <si>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</si>
  <si>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</si>
  <si>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</si>
  <si>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(No de actualizaciones desarrolladas en plataformas virtuales/No de actualizaciones programadas o solicitadas en plataformas virtuales)*100*(peso ponderado del periodo de medición)</t>
  </si>
  <si>
    <t>Porcentaje de ferias de servicio a la ciudadanía con participación de la SDMujer</t>
  </si>
  <si>
    <t>(No de ferias de servicio a la ciudadanía con participación de la SDMujer/No de ferias de servicio a la ciudadanía programadas o solicitadas)*100*porcentaje de ponderación del periodo</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</si>
  <si>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</si>
  <si>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</si>
  <si>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</si>
  <si>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</si>
  <si>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</si>
  <si>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</si>
  <si>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</si>
  <si>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</si>
  <si>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</si>
  <si>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</si>
  <si>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</si>
  <si>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Porcentaje de avance en la ejecución de las actividades programadas para el seguimiento y actualización a la documentación del proceso de atención a la ciudadanía.</t>
  </si>
  <si>
    <t>(Número de actividades de seguimiento a la documentación realizadas en el periodo de medición/Número de actividades programadas o solicitadas de seguimiento a la documentación)*100</t>
  </si>
  <si>
    <t>Reportes de las actividades de seguimiento realizadas</t>
  </si>
  <si>
    <t>Porcentaje de respuestas peticiones ciudadanas con respuesta oportuna de acuerdo con la normatividad vigente</t>
  </si>
  <si>
    <t>(No de peticiones ciudadanas atendidas oportunamente/No de peticiones ciudadana recibidas)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</si>
  <si>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</si>
  <si>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</si>
  <si>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</si>
  <si>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</si>
  <si>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</si>
  <si>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 xml:space="preserve">Reportes de seguimiento a las sugerencias recibidas </t>
  </si>
  <si>
    <t>Porcentaje de informes de seguimiento a la Atención a la Ciudadanía elaborados</t>
  </si>
  <si>
    <t>(No de informes de seguimiento a la Atención a la Ciudadanía elaborados/ No de informes de seguimiento a la Atención a la Ciudadanía programados para la vigencia)*100</t>
  </si>
  <si>
    <t xml:space="preserve">Informes de seguimiento </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</si>
  <si>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</si>
  <si>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</si>
  <si>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</si>
  <si>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 xml:space="preserve">Brindar asesoría jurídica dentro del marco de sus competencias a la Secretaría conforme a la normatividad vigente. </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</si>
  <si>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</si>
  <si>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</si>
  <si>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</si>
  <si>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</si>
  <si>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</si>
  <si>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</si>
  <si>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</si>
  <si>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</si>
  <si>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</si>
  <si>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</si>
  <si>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ejerccicio de defensa y representación judicial de la entidad</t>
  </si>
  <si>
    <t>constante</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</si>
  <si>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</si>
  <si>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</si>
  <si>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</si>
  <si>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</si>
  <si>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</si>
  <si>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</si>
  <si>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</si>
  <si>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</si>
  <si>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</si>
  <si>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</si>
  <si>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</si>
  <si>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</si>
  <si>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</si>
  <si>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</si>
  <si>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</si>
  <si>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</si>
  <si>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</si>
  <si>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</si>
  <si>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Nombre: Claudia González Alfonso</t>
  </si>
  <si>
    <t>Cargo: Contratista DGAF</t>
  </si>
  <si>
    <t>Nombre: Ana Rocío Murcia Gómez</t>
  </si>
  <si>
    <t>Cargo: Directora de Gestión Administrativa y Financiera</t>
  </si>
  <si>
    <t>Cargo: Contratista-Oficina Asesora de Planeación</t>
  </si>
  <si>
    <t xml:space="preserve">Nombre: Diana Milena Blanco Jaimes </t>
  </si>
  <si>
    <t>Nombre: Laura Marcela Tami Leal</t>
  </si>
  <si>
    <t>Cargo: Subsecretaria de Gestión Corporativa</t>
  </si>
  <si>
    <t>Nombre: Luz Amparo Macías Quintana</t>
  </si>
  <si>
    <t>Cargo: Contratista - Subsecretaria de Gestión Corporativa</t>
  </si>
  <si>
    <t>Nombre: Diego Andrés Pedraza Peña</t>
  </si>
  <si>
    <t>Nombre: Luis Guillermo Flechas Salcedo</t>
  </si>
  <si>
    <t>Nombre:  Jennifer Lorena Moreno Arcila</t>
  </si>
  <si>
    <t>Cargo: Abogada - Contratista Dirección de Contratación</t>
  </si>
  <si>
    <t>Cargo: Jefe Oficina Asesora Jurídica</t>
  </si>
  <si>
    <t>Nombre: Kelly Carolina Morantes Pérez</t>
  </si>
  <si>
    <t xml:space="preserve">Cargo: Profesional Especializado </t>
  </si>
  <si>
    <t>Informe semestral de las decisones de fondo que son proferidas por la OCDI Sdmujer</t>
  </si>
  <si>
    <t xml:space="preserve">Cargo: Gerenta de Proyecto - Jefa Oficina Asesora de Planeación </t>
  </si>
  <si>
    <t>Nombre: Sonia Orjuela Perilla</t>
  </si>
  <si>
    <t>Cargo: Contratista - Oficina Asesora de Planeación</t>
  </si>
  <si>
    <t>Nombre: Andrea Milena Parada Ortiz</t>
  </si>
  <si>
    <t>Nombre: Monica Libia De la cruz Villota</t>
  </si>
  <si>
    <t>Cargo: Jefa Oficina de Control Interno</t>
  </si>
  <si>
    <t>Nombre: Angela Johanna Márquez Mora</t>
  </si>
  <si>
    <t>Nombre: Erika de Lourdes Cervantes Linero</t>
  </si>
  <si>
    <t>Cargo: Jefe de Oficina de Control Interno Disciplinario</t>
  </si>
  <si>
    <t>Cargo: Director de Contratación</t>
  </si>
  <si>
    <t xml:space="preserve">Cargo:  </t>
  </si>
  <si>
    <t>Nombre: Andrea Catalina Zota Berna</t>
  </si>
  <si>
    <t xml:space="preserve">Expedir cincuenta (50) decisiones de fondo dentro de los procesos disciplinarios iniciados en 2016, 2017, 2018, 2019, 2020, 2021 y 2022 </t>
  </si>
  <si>
    <t>Informe semestral soportado a traves de una matriz de las decisones de fondo que son proferidas por la OCDI Sdmujer</t>
  </si>
  <si>
    <t xml:space="preserve">Adelantar 10 jornadas de sensibilización a servidoras y contratistas de la SDMujer a fin de lograr una mayor visualizacion de la OCDI ante la entidad </t>
  </si>
  <si>
    <t>Informe bimestral de las diferentes jornadas adelantadas por la OCDI SDMujer</t>
  </si>
  <si>
    <t>Bimestral</t>
  </si>
  <si>
    <t xml:space="preserve">Semana de la Oficina de Control Interno Disciplinario </t>
  </si>
  <si>
    <t xml:space="preserve">Jornada de la semana de la Oficina de Control Interno Disciplinario </t>
  </si>
  <si>
    <t>META</t>
  </si>
  <si>
    <t>OBLIGACIONES</t>
  </si>
  <si>
    <t>VIGENCIA</t>
  </si>
  <si>
    <t>RESERVA</t>
  </si>
  <si>
    <t>ANULACIONES</t>
  </si>
  <si>
    <t>RES DEF</t>
  </si>
  <si>
    <t>Programcio de compromisos valor consituid y liberaciones</t>
  </si>
  <si>
    <t>Solo liberaciones</t>
  </si>
  <si>
    <t>PROGRAMACION COMPRO</t>
  </si>
  <si>
    <t>SPI</t>
  </si>
  <si>
    <t>PLAN DE ACCIÓN</t>
  </si>
  <si>
    <t>Acumulado es equivalente al 41%</t>
  </si>
  <si>
    <t xml:space="preserve">Cargo: Directora De Talento Humano (E) </t>
  </si>
  <si>
    <t>Nombre: Diana Paola Garavito Méndez</t>
  </si>
  <si>
    <t>Cargo: Contratista - Dirección de Talento Humano</t>
  </si>
  <si>
    <t xml:space="preserve">Cargo: Lideresa Técnica - Contratista Oficina Asesora de Planeación </t>
  </si>
  <si>
    <t>El valor ejecutado corresponde al valor de los giros realizados en el marco de los contratos con reserva constituida</t>
  </si>
  <si>
    <t>Nombre: Esperanza Gil Estevez</t>
  </si>
  <si>
    <t>Cargo: Contratista</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</si>
  <si>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</si>
  <si>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</si>
  <si>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</si>
  <si>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</si>
  <si>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</si>
  <si>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</si>
  <si>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</si>
  <si>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</si>
  <si>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</si>
  <si>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</si>
  <si>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 xml:space="preserve">Corresponde a la sumatoria de número de seguimientos semestrales que se realizarán al PEI de la entidad, teniendo en cuenta los siguientes cortes:
1 en el mes de enero correspondiente al segundo semestre de 2021
1 en el mes de julio correspondiente al primer semestre de 2022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</si>
  <si>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</si>
  <si>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</si>
  <si>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</si>
  <si>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</si>
  <si>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</si>
  <si>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COMP AGO</t>
  </si>
  <si>
    <t>Con corte al mesde agosto de 2022, se continua con los seguimientos a planes de mejora FURAG 2021, se presentan resultados en comité de MIPG y se inician seguimientos a planes de mejro FURAG 2022, se realizarón los pre encuentros de RDC 2022 de acuerdo con cronograma y se inicia preparación de Dialogos y Audiencia Pública, adicionalmente se presentarán los temas programados para esta vigencia de acuerdo con el cronograma de temas a presentar en Comité de Gestión y Desempeño.</t>
  </si>
  <si>
    <t xml:space="preserve">Puesta en marcha de las buenas practicas en la entidad para la implementacion de las politcas del MIPG enmarcadas en los planes de mejora FURAG    
   </t>
  </si>
  <si>
    <r>
      <rPr>
        <b/>
        <sz val="11"/>
        <color indexed="8"/>
        <rFont val="Times New Roman"/>
        <family val="1"/>
      </rPr>
      <t>1.Se actualizaron  22 documentos en el aplicativo L</t>
    </r>
    <r>
      <rPr>
        <sz val="11"/>
        <color indexed="8"/>
        <rFont val="Times New Roman"/>
        <family val="1"/>
      </rPr>
      <t xml:space="preserve">UCHA de los procesos Gestión Contractual, Gestión Disciplinaria, Gestión Financiera, Gestión Jurídica, Gestión Tecnológica, Planeación y Gestión, Promoción del Acceso a la Justicia para las Mujeres.  Se desarrollaron mesas de trabajo con diferentes procesos para la actualización de caracterizaciones y procedimientos.  </t>
    </r>
    <r>
      <rPr>
        <b/>
        <sz val="11"/>
        <color indexed="8"/>
        <rFont val="Times New Roman"/>
        <family val="1"/>
      </rPr>
      <t>2. Planes de mejoramiento</t>
    </r>
    <r>
      <rPr>
        <sz val="11"/>
        <color indexed="8"/>
        <rFont val="Times New Roman"/>
        <family val="1"/>
      </rPr>
      <t xml:space="preserve">: se tienen 316 planes abiertos y 7 reabiertos, 48% con un 100% de avance en su ejecución. Se realizaron entrenamientos sobre manejo de LUCHA, planes de mejoramiento, solicitudes de usuarios, entre otros </t>
    </r>
    <r>
      <rPr>
        <b/>
        <sz val="11"/>
        <color indexed="8"/>
        <rFont val="Times New Roman"/>
        <family val="1"/>
      </rPr>
      <t xml:space="preserve"> 3. Implementación de las políticas MIPG:</t>
    </r>
    <r>
      <rPr>
        <sz val="11"/>
        <color indexed="8"/>
        <rFont val="Times New Roman"/>
        <family val="1"/>
      </rPr>
      <t xml:space="preserve"> Se realizó seguimiento a planes de mejora FURAG 2021 de acuerdo con cronograma 2022, se hace seguimiento a planes de mejora FURAG 2022 y se realizarón los pre encuentros de RDC 2022  y se inicio preparacion Dialogos y Audiencia Pública</t>
    </r>
    <r>
      <rPr>
        <b/>
        <sz val="11"/>
        <color indexed="8"/>
        <rFont val="Times New Roman"/>
        <family val="1"/>
      </rPr>
      <t xml:space="preserve"> 4. Administración de Riesgos: </t>
    </r>
    <r>
      <rPr>
        <sz val="11"/>
        <color indexed="8"/>
        <rFont val="Times New Roman"/>
        <family val="1"/>
      </rPr>
      <t>Al 31 de Agosto, se realizó divulgacion de la Politica de administracion de riesgos acorde con las directrices dadas por el DAFP a los servidores de la entidad a través del Correo de ConectateMIPG y la mesa de enlaces del mes de agosto.</t>
    </r>
    <r>
      <rPr>
        <b/>
        <sz val="11"/>
        <color indexed="8"/>
        <rFont val="Times New Roman"/>
        <family val="1"/>
      </rPr>
      <t xml:space="preserve">  </t>
    </r>
    <r>
      <rPr>
        <sz val="11"/>
        <color indexed="8"/>
        <rFont val="Times New Roman"/>
        <family val="1"/>
      </rPr>
      <t xml:space="preserve"> </t>
    </r>
    <r>
      <rPr>
        <b/>
        <sz val="11"/>
        <color indexed="8"/>
        <rFont val="Times New Roman"/>
        <family val="1"/>
      </rPr>
      <t>5. PIGA:</t>
    </r>
    <r>
      <rPr>
        <sz val="11"/>
        <color indexed="8"/>
        <rFont val="Times New Roman"/>
        <family val="1"/>
      </rPr>
      <t>Se gestionó requerimientos de la SDA relacionados a Elementos plásticos de un solo uso EPSU, retransmisión de Plan de acción, publicación campaña expectativa para encuensta de movilidad, propuesta campaña Politica Cero Papel enviada a Dirección Admin y Financiera, se elaboró presentación para Comité MIPG informando ajustes que requiere el plan y la propuesta fue enviada a SDA para solicitar viabilidad en ajustes. campañas de sensibilización se gestiono publicación de piezas comunicativas en Boletina informativa, se adelanto proceso de convocatoria para Acuerdo de corresponsabilidad (residuos con potencial aprovchable) la que se declaro desierta. Se elaboró informe de residuos aprovechables enviado a la UAESP. Se atendieron solicitudes de recolección de residuos y se atendieron varios estudios previos.</t>
    </r>
  </si>
  <si>
    <t>Se da cumplimiento a las actividades propuestas en este plan teniendo en cuenta los planes que se desarrollan desde el año pasado y se formuló el plan para 2022 de acuerdo con recomendaciones FURAG, Formuario FURAG 2021 y Autodiagnosticos</t>
  </si>
  <si>
    <t>Incumlimientos en algunos planes de mejora FURAG los cuales se reprogramarón fechas dado que se formulo planes de 2022</t>
  </si>
  <si>
    <t>Se restablecieron fechas  nuevas para sus cumplimientos dutante la vigencia.y se revisarán en los siguientes seguimientos</t>
  </si>
  <si>
    <t>Se atienden el 100% de las solicitudes de asesoría, entrenamiento, asignación de usuarios y permisos, y acompañamiento en la revisión, actualización cargue y gestión de las oportunidades de mejora y planes de acción en LUCHA, así como de las solicitudes de actualización documental.</t>
  </si>
  <si>
    <t>Gestión de información a SDA, en retransmisión Plan de acción, preparación de información relacionada a Elementos plásticos de un solo uso - EPSU
2 publicaciones de piezas para encuesta de movilidad
3 publicaciones de piezas de uso eficiente del agua
1 publicación de uso eficiente de la energía
1 publicación de gestión de residuos
Recolección de residuos aprovechables del 100% de las sedes que lo requerian
Atención de revisión de criterios sostenibles de 3 estudios previos (100% de solicitudes)</t>
  </si>
  <si>
    <t>Se presenta retraso en ejecución de campañas de dos programas, se atienden solicitudes de información que impiden el avance de otras actividades</t>
  </si>
  <si>
    <t>Comtemplar la posibilidad de un apoyo para la gestión ambiental institucional</t>
  </si>
  <si>
    <t>Durante el mes de agosto se realizó la socializacion de la Política de Adminsitracion del Riesgo PG-PLT-1 - V6 en el comité de enlaces y a través del correo electronico de ConectateMIPG</t>
  </si>
  <si>
    <t>En el mes de agosto se realizaron actualizaciones ypublicación de información en los numerales descritos a continuación:
Numeral 2.1.3: Proyecto de resolución: "Por medio de la cual se desarrollan los objetivos, principios y componentes de la Estrategia de Justicia de Género, se deroga la Resolución 435 de 2020 y se dictan otras disposiciones";  Resolución 0264 del 05 de agosto 2022 "Por medio de la cual se adopta el proceso de elección de algunas representaciones del Consejo Consultivo de Mujeres de Bogotá D.C Espacio Autónomo según lo establecido en el Decreto 364 de 2021" y Resolución 0257 del 05 de agosto 2022: "Por medio de la cual se designa en la/el Directora /o del Sistema de Cuidado la facultad para autorizar la suscripción de los Acuerdos Particulares de Coordinación derivados del Convenio Interadministrativo Marco No. 913 de 2021".
Numeral 2.3.1: Proyectos normativos, Por medio de la cual se desarrollan los objetivos, principios y componentes de la Estrategia de Justicia de Género, se deroga la Resolución 435 de 2020 y se dictan otras disposiciones.
Numeral 2.4: Procesos Judiciales Secretaria de la Mujer 17 de agosto 2022
Numeral 3.1: Plan anual de adquisiciones versiones de la 20 a la 25
Numeral 3.1.1 Convocatorias: Proceso: Concurso de méritos Abierto SDMUJER-CM-003-2022;  Proceso: Selección abreviada menor cuantía SDMUJER-SAMC-003-2022 y Proceso: INVITACIÓN PÚBLICA ELECTRÓNICA PROCESO DE MÍNIMA CUANTÍA SDMUJER-MC-011-2022.
Numeral 3.2 Directorio de Contratistas de Junio y Julio 2022; Información contractual mayo, junio y julio de 2022
Numeral 4.1.1: Notas a los estados financieros Julio 2022; Situación financiera julio 2022; Estado actividad financiera julio 2022 y  Certificación Estados Financieros Julio 2022.
Numeral 4.2: Ejecución presupuestal vigencia a 31 de julio de 2022 y ejecución presupuestal reservas a 31 de julio de 2022. 
Numeral 4.7.1 Item Informes de gestión: Segundo seguimiento trimestral a los compromisos de rendición de cuentas
Item Informe de rendición de la cuenta fiscal a la Contraloria julio 2022
Ítem Informes a organismos de inspección, vigilancia y control: Informe  final de auditoria del desempeño PAD 2022 CÓDIGO 33
Numeral 4.7.3 Segundo seguimiento trimestral a los compromisos de rendición de cuentas
Numeral 4.8 Informe de resultados de seguimiento al plan de mejoramiento suscrito con la contraloría de Bogotá con corte a 31 de julio de 2022; Seguimiento plan institucional de gestión ambiental - PIGA; Seguimiento a medidas tomadas por la emergencia sanitaria; Informe de Seguimiento austeridad del gasto; Informe de Seguimiento Comité de Contratación y Seguimiento a planes de mejoramiento interno
Numeral 4.10 Informe de PQRS: Informe de getión de PQRS y de Atención a la Ciudadania - Segundo Trimestre 2022; Informe de seguimiento mensual PQRS julio 2022.
Numeral 4.11 Informe de medición de satisfacción de servicio y estrategias primer semestre de 2022.
Numeral 7.1.3 Esquema de publicación 2022 y resolución 0306 del 31 de Agosto Por medio de la cual se actualiza el esquema de publicación.</t>
  </si>
  <si>
    <t xml:space="preserve">Algunos de los principales beneficios que se han logrado en el mes son: 
1. Contar con un porcentaje significativo del personal contratado para que brinde apoyo al cumplimiento de la Misión, objetivos y metas de la SDMujer.
2. Dar respuesta en los tiempos establecidos por la ley a los diferentes requerimientos allegados a la SDMujer.
3. Tramitar en el menor tiempo las órdenes de pago a contratistas.  </t>
  </si>
  <si>
    <r>
      <t>Desde la Subsecretaría de Gestión Corporativa, en el marco del proyecto de inversión 7662, en agosto de 2022, se realizó:  1. Apoyo en el análisis y revisión jurídica de la contratación de la entidad en sus etapas pre contractual, contractual y pos contractual  2. Revisión de liquidaciones y modificaciones contractuales 3. Seguimiento a los planes de mejoramiento internos y externos en el Sistema Integrado de Gestión- aplicativo Lucha, de las direcciones y/o equipos que hacen parte de la Subcorporativa  4.Seguimiento al PAAC 2do cuatrimestre 2022 y a los riesgos asociados a los procesos que hacen parte de la Subcorporativa  5. Elaboración y publicación del informe mensual (julio 2022) de seguimiento a la gestión de PQRS y atención a la ciudadanía. 6. Seguimiento semanal a las dependencias de la entidad de la gestión de peticiones ciudadanas, dentro de los términos estipulados por la ley en Bogotá te escucha   7. Revisión de actos administrativos  8.Apoyo en la consolidación y justificación técnica de los procesos que serán financiados en la vigencia 2023 desde la Subsecretaría de Gestión Corporativa, por el proyecto de inversión 7662  9. Respuesta a peticiones y requerimientos a Órganos de Control</t>
    </r>
    <r>
      <rPr>
        <b/>
        <sz val="11"/>
        <rFont val="Times New Roman"/>
        <family val="1"/>
      </rPr>
      <t xml:space="preserve"> </t>
    </r>
    <r>
      <rPr>
        <sz val="11"/>
        <rFont val="Times New Roman"/>
        <family val="1"/>
      </rPr>
      <t xml:space="preserve"> 10. Consolidación, rendición y publicación de la cuenta mensual de julio en la plataforma Sivicof  11. PublicaciónPlan de Mejoramiento Informe Final Auditoría de Regularidad PAD 2022 Código 33  12. Revisión de gestión de pagos sobre cuentas registradas por contratistas y proveedores 13. seguimiento financiero del presupuesto de la Entidad.  Apoyo en la revisión de los documentos de carácter presupuestal y financiero 14. Reporte de los indicadores POA 
</t>
    </r>
  </si>
  <si>
    <t>La Dirección de Contratación, en el marco del proyecto de inversión 7662 con corte al mes de agosto  de 2022, ha recibido de las diferentes áreas 155 solicitudes de contracción y 805 solicitudes de otros proyectos, para un total de 960 solicitudes, las cuales fueron tramitadas y a su vez se suscribieron los respectivos contratos. 
Así mismo, se realizó un total de 323  modificaciones aproximandamente  entre las cuales se encuentran, Adiciones, Adiciones y Prórroga, Prórroga, Terminaciones Anticipadas, Otro Sí Modificatorios, Cesiones, Suspensiones,  liquidaciones, Aclaratorios entre otros</t>
  </si>
  <si>
    <t>Desde la direciión Administrativa y financiera, en el marco del proyecto de inversión 7662 con corte al mes de agosto  de 2022, en aspectos presupuestales, se expidió 250 Certificados de Disponibilidad Presupuestal - CDP y 93 Certificados de Registro Presupuestal - CRP, para un acumulado en lo corrido del año, de 1522 CDP y 1326 CRP, lo que refleja un avance en la ejecución presupuestal del 80,13% y de giros de 44,05% con corte al mes de agosto. (Evidencia: Informe de Ejecución presupuestal).</t>
  </si>
  <si>
    <r>
      <t xml:space="preserve">Con corte a agosto de 2022, la DTH formuló el Plan Estratégico de Talento Humano y sus 5 planes anexos, los cuales fueron aprobados por el comité de MIPG de la entidad.
</t>
    </r>
    <r>
      <rPr>
        <b/>
        <sz val="11"/>
        <color indexed="8"/>
        <rFont val="Times New Roman"/>
        <family val="1"/>
      </rPr>
      <t>Bienestar:</t>
    </r>
    <r>
      <rPr>
        <sz val="11"/>
        <color indexed="8"/>
        <rFont val="Times New Roman"/>
        <family val="1"/>
      </rPr>
      <t xml:space="preserve"> cumpleaños, conmemoración 8M, condolencias, día de las profesiones o fechas especiales, actividades Compensar, primeros auxilios psicológicos, entrega de bonos y boletas, práctica de natación, voces de mujeres, caminata, pausas mentales, feria de servicios, taller de manualidades, capacitaciones gestión del cambio, respiro emocional, competencias blandas y salud financiera, clases de culinaria, ciclopaseo y torneo de bolos.
</t>
    </r>
    <r>
      <rPr>
        <b/>
        <sz val="11"/>
        <color indexed="8"/>
        <rFont val="Times New Roman"/>
        <family val="1"/>
      </rPr>
      <t>Capacitación</t>
    </r>
    <r>
      <rPr>
        <sz val="11"/>
        <color indexed="8"/>
        <rFont val="Times New Roman"/>
        <family val="1"/>
      </rPr>
      <t xml:space="preserve">: se socializó la oferta del SENA, capacitaciones de evaluación desempeño, PPMYEG, atención de las mujeres, temas contables, ORFEO, gestión documental, Forms, enfoque de género, MIPG, SIMISIONAL, PPLGTBI, sindicalismo, atención al ciudadano, servicios de la SDMUJER, derecho a la cultura, mesa de ayuda, procesos contractuales, competencias blandas, PQRS, lineamientos SIDICU, acoso laboral y sexual, Teams, To Do, Planner, Yammer, inducción, derecho a una vida libre de violencias, responsabilidad disciplinaria y lenguaje incluyente.
</t>
    </r>
    <r>
      <rPr>
        <b/>
        <sz val="11"/>
        <color indexed="8"/>
        <rFont val="Times New Roman"/>
        <family val="1"/>
      </rPr>
      <t>Seguridad y Salud en el Trabajo</t>
    </r>
    <r>
      <rPr>
        <sz val="11"/>
        <color indexed="8"/>
        <rFont val="Times New Roman"/>
        <family val="1"/>
      </rPr>
      <t xml:space="preserve">: afiliaciones a ARL, exámenes médicos, seguimiento a condiciones de salud, vacunación, entrega de EPP, estrategia psicosocial, reunión COPASST, autoevaluación SG-SST, actualización indicadores y documentación, reporte e investigación de accidentes de trabajo, inspecciones puestos de trabajo, levantamiento matrices, capacitación al CCL, mediciones ambientales, pausas activas, encuesta PESV, capacitaciones brigada, teletrabajo, prevención de riesgos y política de SST.
</t>
    </r>
    <r>
      <rPr>
        <b/>
        <sz val="11"/>
        <color indexed="8"/>
        <rFont val="Times New Roman"/>
        <family val="1"/>
      </rPr>
      <t>Situaciones Administrativas:</t>
    </r>
    <r>
      <rPr>
        <sz val="11"/>
        <color indexed="8"/>
        <rFont val="Times New Roman"/>
        <family val="1"/>
      </rPr>
      <t xml:space="preserve"> se adelantaron las acciones correspondientes a la contratación de personal para el fortalecimiento de la DTH, se realizaron los trámites requeridos para la provisión de empleos vacantes y se gestionaron las situaciones administrativas allegadas a la Dirección (retiros, licencias, primas técnicas, entre otras).</t>
    </r>
  </si>
  <si>
    <r>
      <rPr>
        <b/>
        <u val="single"/>
        <sz val="10"/>
        <color indexed="8"/>
        <rFont val="Times New Roman"/>
        <family val="1"/>
      </rPr>
      <t>Agosto:</t>
    </r>
    <r>
      <rPr>
        <sz val="10"/>
        <color indexed="8"/>
        <rFont val="Times New Roman"/>
        <family val="1"/>
      </rPr>
      <t xml:space="preserve"> Durante este mes se adelantaron las siguientes acciones, de acuerdo con el Plan de Bienestar Social e Incentivos aprobado para la vigencia 2022:
</t>
    </r>
    <r>
      <rPr>
        <b/>
        <u val="single"/>
        <sz val="10"/>
        <color indexed="8"/>
        <rFont val="Times New Roman"/>
        <family val="1"/>
      </rPr>
      <t>1. Autocuidado:</t>
    </r>
    <r>
      <rPr>
        <sz val="10"/>
        <color indexed="8"/>
        <rFont val="Times New Roman"/>
        <family val="1"/>
      </rPr>
      <t xml:space="preserve"> Se remitieron correos electrónicos de felicitación a las servidoras y servidores públicos que cumplieron años y se envíó a su domicilio un detalle a 11 servidoras y servidores .
</t>
    </r>
    <r>
      <rPr>
        <b/>
        <u val="single"/>
        <sz val="10"/>
        <color indexed="8"/>
        <rFont val="Times New Roman"/>
        <family val="1"/>
      </rPr>
      <t>2. Expresión emotiva:</t>
    </r>
    <r>
      <rPr>
        <sz val="10"/>
        <color indexed="8"/>
        <rFont val="Times New Roman"/>
        <family val="1"/>
      </rPr>
      <t xml:space="preserve"> Se remitió correo electrónico de condolencias en la situación presentada en este mes.
</t>
    </r>
    <r>
      <rPr>
        <b/>
        <u val="single"/>
        <sz val="10"/>
        <color indexed="8"/>
        <rFont val="Times New Roman"/>
        <family val="1"/>
      </rPr>
      <t>3. Primeros Auxilios Psicológicos:</t>
    </r>
    <r>
      <rPr>
        <sz val="10"/>
        <color indexed="8"/>
        <rFont val="Times New Roman"/>
        <family val="1"/>
      </rPr>
      <t xml:space="preserve"> Se ejecutaron 6 horas de consulta individuales para 10 servidoras públicas.
</t>
    </r>
    <r>
      <rPr>
        <b/>
        <u val="single"/>
        <sz val="10"/>
        <color indexed="8"/>
        <rFont val="Times New Roman"/>
        <family val="1"/>
      </rPr>
      <t>4. Conmemoración de día de profesiones</t>
    </r>
    <r>
      <rPr>
        <b/>
        <sz val="10"/>
        <color indexed="8"/>
        <rFont val="Times New Roman"/>
        <family val="1"/>
      </rPr>
      <t>:</t>
    </r>
    <r>
      <rPr>
        <sz val="10"/>
        <color indexed="8"/>
        <rFont val="Times New Roman"/>
        <family val="1"/>
      </rPr>
      <t xml:space="preserve"> Se enviaron las trajetas del día de las ingenieras e ingenieros para servidoras, servidores y contratistas con esta profesion.  
</t>
    </r>
    <r>
      <rPr>
        <b/>
        <u val="single"/>
        <sz val="10"/>
        <color indexed="8"/>
        <rFont val="Times New Roman"/>
        <family val="1"/>
      </rPr>
      <t>5. Capacitación en gestion del cambio:</t>
    </r>
    <r>
      <rPr>
        <sz val="10"/>
        <color indexed="8"/>
        <rFont val="Times New Roman"/>
        <family val="1"/>
      </rPr>
      <t xml:space="preserve"> Se realizó la capacitación de liderazgo empático con las y los colaboradores de la Subsecretaria de Gestion Corporativa con la asistencia de 18 servidoras y servidores. 
</t>
    </r>
    <r>
      <rPr>
        <b/>
        <u val="single"/>
        <sz val="10"/>
        <color indexed="8"/>
        <rFont val="Times New Roman"/>
        <family val="1"/>
      </rPr>
      <t>6. Capacitación en competencias blandas para el nivel directivo:</t>
    </r>
    <r>
      <rPr>
        <sz val="10"/>
        <color indexed="8"/>
        <rFont val="Times New Roman"/>
        <family val="1"/>
      </rPr>
      <t xml:space="preserve"> Asistencia de 23 personas.
</t>
    </r>
    <r>
      <rPr>
        <b/>
        <u val="single"/>
        <sz val="10"/>
        <color indexed="8"/>
        <rFont val="Times New Roman"/>
        <family val="1"/>
      </rPr>
      <t>7. Pausa mental:</t>
    </r>
    <r>
      <rPr>
        <sz val="10"/>
        <color indexed="8"/>
        <rFont val="Times New Roman"/>
        <family val="1"/>
      </rPr>
      <t xml:space="preserve"> Se llevó a cabo la actividad de sana mente con la asistencia de 51 personas.
</t>
    </r>
    <r>
      <rPr>
        <b/>
        <u val="single"/>
        <sz val="10"/>
        <color indexed="8"/>
        <rFont val="Times New Roman"/>
        <family val="1"/>
      </rPr>
      <t>8. Cumpleaños de Bogotá:</t>
    </r>
    <r>
      <rPr>
        <sz val="10"/>
        <color indexed="8"/>
        <rFont val="Times New Roman"/>
        <family val="1"/>
      </rPr>
      <t xml:space="preserve"> Se envió información sobre privilegios compensar y almacenes Olímpica.
</t>
    </r>
    <r>
      <rPr>
        <b/>
        <u val="single"/>
        <sz val="10"/>
        <color indexed="8"/>
        <rFont val="Times New Roman"/>
        <family val="1"/>
      </rPr>
      <t>9. Práctica libre de Natación:</t>
    </r>
    <r>
      <rPr>
        <sz val="10"/>
        <color indexed="8"/>
        <rFont val="Times New Roman"/>
        <family val="1"/>
      </rPr>
      <t xml:space="preserve"> Se realizó la inscripción para el disfrute de 15 tiqueteras de 10 sesiones de práctica libre de natación en las instalaciones de la caja de compensación familiar.
</t>
    </r>
    <r>
      <rPr>
        <b/>
        <u val="single"/>
        <sz val="10"/>
        <color indexed="8"/>
        <rFont val="Times New Roman"/>
        <family val="1"/>
      </rPr>
      <t>10. Entrega de bono de cuidadoras y cuidadores:</t>
    </r>
    <r>
      <rPr>
        <sz val="10"/>
        <color indexed="8"/>
        <rFont val="Times New Roman"/>
        <family val="1"/>
      </rPr>
      <t xml:space="preserve"> Se entregaron 75 bonos de pasadía para el disfrute de actividades de recreación y deportes en las instalaciones de la sede compensar 220</t>
    </r>
  </si>
  <si>
    <r>
      <rPr>
        <b/>
        <sz val="10"/>
        <color indexed="8"/>
        <rFont val="Times New Roman"/>
        <family val="1"/>
      </rPr>
      <t>La actividad de bici paseo</t>
    </r>
    <r>
      <rPr>
        <sz val="10"/>
        <color indexed="8"/>
        <rFont val="Times New Roman"/>
        <family val="1"/>
      </rPr>
      <t xml:space="preserve"> se realizará en el mes de septiembre dado que la organización logística se está preparandop para brindar seguridad en el desarrollo de la actividad y que la misma sea cercana a la ciudad de Bogotá.
</t>
    </r>
    <r>
      <rPr>
        <b/>
        <sz val="10"/>
        <color indexed="8"/>
        <rFont val="Times New Roman"/>
        <family val="1"/>
      </rPr>
      <t>Boletas de cine:</t>
    </r>
    <r>
      <rPr>
        <sz val="10"/>
        <color indexed="8"/>
        <rFont val="Times New Roman"/>
        <family val="1"/>
      </rPr>
      <t xml:space="preserve"> Aunque las boletas llegaron a la entidad el 31 de agosto, la entrega se realizará durantes los primeros 5 días del mes de septiembre. 
</t>
    </r>
  </si>
  <si>
    <t>Las actividades que no se lograron ejecutar dentro del mes de agosto, están programadas para el mes de septiembre.</t>
  </si>
  <si>
    <r>
      <t>Agosto:</t>
    </r>
    <r>
      <rPr>
        <b/>
        <sz val="10"/>
        <color indexed="8"/>
        <rFont val="Times New Roman"/>
        <family val="1"/>
      </rPr>
      <t xml:space="preserve"> </t>
    </r>
    <r>
      <rPr>
        <sz val="10"/>
        <color indexed="8"/>
        <rFont val="Times New Roman"/>
        <family val="1"/>
      </rPr>
      <t>Durante este mes se adelantaron las siguientes acciones, de acuerdo con el Plan Institucional de Capacitación aprobado para la vigencia 2022:
1. Capacitación en ORFEO y gestión documental, con asistencia de 15 personas.  
2. Capacitación socialización derecho a la educación con equidad (PPMYEG), con asistencia de 56 personas.
3. Capacitación sobre manejo de la herramienta YAMMER con la asistencia de 59 personas.
4. Capacitación sobre protocolos de atencion para el servicio a la ciudadanía para las CIOM, con la asistencia de 87 personas.
5. Capcitación sobre recomendaciones de atención para las mujeres en sus diferencias y diversidades, con la asistencia de 18 personas.
6. Capacitación sobre las rutas de ateción para las mujeres víctimas de violencias, con asistencia de 92 personas 
7. Capcitación sobre procesos contractuales con asistencia de 79 personas.
8. Capacitación en competencias blandas - imteligencia emocional - y trabajo en equipo, con asistencia de 23 personas.
9. Capacitación sobre gestión de PQRS, con asistencia de 19 personas.
10 Inducción institucional con asistencia de 18 personas. 6 servidoras nuevas.</t>
    </r>
  </si>
  <si>
    <r>
      <rPr>
        <b/>
        <u val="single"/>
        <sz val="10"/>
        <color indexed="8"/>
        <rFont val="Times New Roman"/>
        <family val="1"/>
      </rPr>
      <t xml:space="preserve">Agosto: </t>
    </r>
    <r>
      <rPr>
        <sz val="10"/>
        <color indexed="8"/>
        <rFont val="Times New Roman"/>
        <family val="1"/>
      </rPr>
      <t>Durante este mes se adelantaron las siguientes acciones, de acuerdo con el Plan Anual de Seguridad y Salud en el Trabajo aprobado para la vigencia 2022:
1. Se realizaron las afiliaciones a la ARL requeridas.
2. Se realizó el envío de la encuesta del Plan Estratégico de Seguridad Vial.
3. Se realizó la sesión ordinaria del COPASST.
4. Se realizó el reporte e investigación de un accidente de trabajo.
5. Se realizó la entrega de los elementos de protección personal requeridos.
6. Se realizó la capacitación de comunicación asertiva y de manejo eficaz del tiempo, en el marco del programa de prevención de riesgo psicosocial.
7. Se realizó una sesión de pausas activas, en el marco del programa de prevención de desórdenes musculoesqueléticos.
8. Se envío la invitación a participar en el taller de prevención de riesgo público.
9. Se programaron las evaluaciones médicas ocupacionales requeridas.
10. Se realizó el registro de los indicadores del SG-SST.</t>
    </r>
  </si>
  <si>
    <t>Por parte de los profesionales de la Direccion de Contratacion se procedio con la revision de los Estudios Previos radicados en el area y se adelanta revision de papeleria, arrendamiento, encuestas automaticas, soporte TOAD y de prestacion de servicios profesionales y 
de apoyo a la gestion.</t>
  </si>
  <si>
    <t>Se procedio con la elaboracion y publicacion de los contratos de seguros y proteccion de datos con personas juridicas. Asimismo se realizo la elaboracion y publicacion de contratos y de prestacion de servicos profesionales y apoyo a la gestion.</t>
  </si>
  <si>
    <t>Se procedio con la elaboracion del proyecto de pliego de condiciones de impresión de piezas graficas y el proyecto de pliego del concurso de meritos del proceso de Diseñar una estrategia de divulgación y comunicación de los resultados de la Línea Base de la PPMyEG de 
conformidad con el anexo técnico</t>
  </si>
  <si>
    <t>Se remiten correos de seguimiento de publicacion de PAABS</t>
  </si>
  <si>
    <t>Se expidieron comunicaciones oficiales, respuesta a SDQS, 
Derechos de Peticion a entes internos y externos.
Se emitieron certificaciones.</t>
  </si>
  <si>
    <t xml:space="preserve">No se realizaron capacitaciones para el mes de agosto, sin embargo en el mes de junio se realizaron 2 socializaciones a traves de la platafroma TEAMS. Para el mes de septiembre se tiene prevista una capacitacion para enlaces y contratistas. </t>
  </si>
  <si>
    <t xml:space="preserve">Se emitieron seis liquidaciones de contratos suscritos con personas naturales y juridicas. Se remite muestreo de contratos liquidados.  </t>
  </si>
  <si>
    <t>Se remitieron alertas a los supervisores de los contratos de 
prestacion de servicios y apoyo a la gestion y de bienes y servicios para que realicen el tramite de liquidacion.</t>
  </si>
  <si>
    <t>En el  mes de agosto, se presentó el informe semestral definitivo a la mesa técnica de austeridad para su aprobación; y se procedió al envío al Concejo de Bogotá mediante la comunicación Con rad. No.  2-008890 de Fecha: 18-08-2022, En el marco de las disposiciones normativas contenidas en el Decreto 492 de 2019.
De igual manera se procedió al envío del informe a la OCI, mediante correo electrónico y a la publicación en la página Web de la Entidad así:  Pestaña de "Transparencia y acceso a la Información Pública", numeral 4 planeación 4.1.2/ Plan de austeridad del gasto vigencia 2022, Informe de seguimiento a las medidas de Austeridad del Gasto I semestre 2022.</t>
  </si>
  <si>
    <t>Con corte a julio de la presente vigencia se presentaron los reportes de depreciacón mensual y acumulada extraidos directamente del aplicativo de inventarios de la SDM.</t>
  </si>
  <si>
    <t>El avance de la toma física en las sedes de la entidad va en un 88%, la verificación de bienes muebles en la plataforma de inventarios es de 7751 con corte a agosto 31 de 2022.</t>
  </si>
  <si>
    <t>De conformidad con lo establecido en la Resolución No. DDC-000002 de 2018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aunado con lo establecido en el Manual de Operaciones Contables adoptado mediante Resolución No 177 de 2020, numeral 7 indica... "Publicación de los Estados Contables.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En virtud de lo anterior, el 19 de agosto del 2022 se publicó en la página Web de la entidad los Estados Financieros comparativos periodo de julio 2022-2021, los cuales se relacionan a continuación:   ESTADO DE SITUACION FINANCIERA – ESTADO DE ACTIVIDAD FINANCIERA ECONOMICA SOCIAL Y AMBIENTAL –– CERTIFICACION A LOS ESTADOS FINANCIEROS – NOTAS A LOS ESTADOS FINANCIEROS.</t>
  </si>
  <si>
    <t>Se presentaron en el validador de archivos de la SDH el 12 de julio de 2022,  la información de  los artículos 1º y 2º de la Resolución SDH 415 de 2016, correspondiente al informe de estampillas distritales del período comprendido entre el 1 de enero al 30 de junio de 2022.
Se presentaron en el validador de archivos de la SDH, el 22 de julio de 2022, los archivos de los articulo 2° y 4° de la exogena distrital vigencia 2021 Resolucion  DDI-006006 abril 4 de 2022.</t>
  </si>
  <si>
    <t>Se atendieron todas las solicitudes de certificados presupuestales recibidas, expidiendo durante el mes de agosto 250 Certificados de Disponibilidad Presupuestal - CDP, con lo que se llega a un acumulado de 1522 CDP expedidos entre enero y agosto. Respecto a Certificados de Registro Presupuestal - CRP, se expidieron 93 en el mes de agosto, para un acumulado de 1326 CRP expedidos entre enero y agosto.</t>
  </si>
  <si>
    <t>En agosto se publica la ejecución presupuestal de julio 2022.
La publicación mensual se hace mes vencido, teniendo en cuenta los tiempos para firma por parte de la ordenadora del gasto y responsable del presupuesto en la ejecución.</t>
  </si>
  <si>
    <t>Con corte a 31 de agosto, se realizó ejecución del cronograma de transferencia documental primaria, recibiendo archivos de las dependencias Oficina Asesora Jurídica, Oficina Control Disciplinario Interno con un total de 3,50 metros lineales, para un total acumulado de 47,50 metros lineales.</t>
  </si>
  <si>
    <t>Con corte al 31 de agosto, se continúa con el alistamiento de la transferencia documental de la Dirección de Contratación de la Serie Documental Expedientes Contractuales, de la vigencia 2018 y 2019 y del archivo de la Dirección de Talento Humano Serie documental Historias Laborales, en el cual se efectúa el proceso de ordenación organización, descripción con un total (22,25) metros lineales, para un total de 104,75 metros lineales ala fecha. Así mismo se han atendido un total de (142) consultas descriptas en Formato Afuera, digitalización de (7.316) imágenes y elaboración del FUID con un total de (354) registros.</t>
  </si>
  <si>
    <t>Con corte al 31 de agosto, se continúa realizando Mesas Técnicas de Actualización de Tablas de Retención Documental en las cuales fueron realizadas 4 Mesas Técnicas con la Dirección del Sistema de Cuidado entregando propuesta de TRD; así mismo se entrega propuesta a la Dirección de Contratación. Así mismo, se dio acompañamiento técnico para identificar los documentos que ya cumplieron su tiempo de retención de a las TRD en Archivo Central, Dirección de Enfoque Diferencial - Casa de Todas, reunión de seguimiento a las actividades GD, Implementación Formato Afuera en las dependencias. Se realizó seguimiento a la implementación de la nueva herramienta del aplicativo de Inventarios FUID en línea en las Casas de Igualdad de Barrios Unidos, Candelaria y Mártires.</t>
  </si>
  <si>
    <t>Con corte a 31 de agosto, se realizó la capacitación a 1 técnico y 3 auxiliares del equipo de trabajo, sobre biodeterioro y acciones para la desinfección de documentos contaminados con deterioro biológico. Se realizó visita de inspección de espacios a la CIOM Suba para identificar condiciones de la infraestructura y del mobiliario, teniendo en cuenta que es una sede nueva. Se realizó reunión con la profesional encargada del mantenimiento de bienes de la entidad para hacer el reporte de los hallazgos identificados en las visitas de inspección a casas de igualdad, archivo central y archivos de edificio elemento con el fin de establecer correctivos. Se elaboro documentos precontractuales para la contratación del saneamiento ambiental de los espacios de archivo. Se realizó el monitoreo de condiciones ambientales del archivo central y archivos del edificio elemento, resultado de la medición se observa que los datos obtenidos están dentro de los rangos definidos por la normatividad para la conservación de archivos. Se realizó Validación de las características técnicas con el contratista de los insumos a adquirir para los kits de emergencias.</t>
  </si>
  <si>
    <t xml:space="preserve">Con corte a 31 de agosto, se inicia el desarrollo del Módulo de formatos y formularios, se avanza en el 20 % del desarrollo y se programa el 100% para el mes de diciembre, esto; como parte del desarrollo de actividades de la estratégia de cumplimiento del modelo de requisitos de los Sistemas de Gestión de Documentos Electrónicos de Archivo (SGDEA). De igual forma, se avanza en el desarrollo de los web services con ICOPS poniendo en ambiente de pruebas los servicios desarrollados del lado de Orfeo. </t>
  </si>
  <si>
    <r>
      <t>En el mes de agosto se recibieron y respondieron 42</t>
    </r>
    <r>
      <rPr>
        <sz val="9"/>
        <color indexed="8"/>
        <rFont val="Times New Roman"/>
        <family val="1"/>
      </rPr>
      <t xml:space="preserve"> peticiones y solicitudes de concepto, relacionadas</t>
    </r>
    <r>
      <rPr>
        <sz val="9"/>
        <rFont val="Times New Roman"/>
        <family val="1"/>
      </rPr>
      <t xml:space="preserve">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r>
  </si>
  <si>
    <t>No se presentaron retrasos</t>
  </si>
  <si>
    <t xml:space="preserve">En el mes de agosto se recibieron 13 solicitudes de pronunciamiento de Proyectos de Acuerdo y/o Ley y se emitieron 13 conceptos en respuesta a las solicitudes.   </t>
  </si>
  <si>
    <t xml:space="preserve">En el mes de agosto se recibieron y tramitaron 8 acciones de tutela. Asi mismo en el mes de marzo la Entidad fue notificada de 2 nuevos procesos  en calidad de demandada, para un total de 6 procesos judiciales en los que es parte procesal la SDMujer. </t>
  </si>
  <si>
    <t>En el mes de agosto no se requirió proyectar decisiones de segunda instancia en los procesos disciplinarios de la entidad.</t>
  </si>
  <si>
    <t>En el mes de agosto se recibieron 5 solicitudes por control político referentes a proposiciones del Concejo de Bogotá y se dio respuesta a las 5 solicitudes.</t>
  </si>
  <si>
    <t>En el mes de agosto se asistió a 5 Comités de enlaces ordinario virtual ralizado por la plataforma teams, y se asiganarón por parte de  la secretaría técnica del comité 6 casos para estudio, los cuales fueron presentados ante el comité.</t>
  </si>
  <si>
    <r>
      <t xml:space="preserve">En el mes de agosto se realizarón 2 sesiones ordinarias del Comité de Conciliación, conforme a las 2 sesiones planeadas por mes y una sesion extraordinaria. Mediante COMITÉ INSTITUCIONAL DE GESTIÓN Y DESEMPEÑO – MIPG del 19 de julio de 2022 se aprobó la modificacion de la programación de los dos primeros trimestres del indicador </t>
    </r>
    <r>
      <rPr>
        <i/>
        <sz val="9"/>
        <rFont val="Times New Roman"/>
        <family val="1"/>
      </rPr>
      <t>"Sesiones realizadas del Comité de Conciliación de conformidad con el marco legal</t>
    </r>
    <r>
      <rPr>
        <sz val="9"/>
        <rFont val="Times New Roman"/>
        <family val="1"/>
      </rPr>
      <t>", quedando ésta meta con programación de ejecucion trimestral del 25% para los cuatro trimestres del año, aclarando que para el primer y segundo trimestre se cumplió con la meta (19% y 27%) respectivamente, la cual se ajustó conforme a recomendacion hecha por Auditoria de Control Interno de fecha 29 de junio de 2022, ya que de acuerdo con las sesiones ordinarias realizadas por el Comité de Conciliacion el indicador de los cuatro trimestres debe ser del 25% como quiera que en todos los meses se realiza el mismo numero de sesiones ordinarias del comite de conciliacion.</t>
    </r>
  </si>
  <si>
    <t>Desde la Oficina Asesora Jurídica, en el marco del proyecto de inversión 7662, en 2022 se gestionaron los procesos de contratación de 5 profesionales para apoyar las estrategias y procesos jurídicos a cargo de la Entidad, dando inicio a su ejecuciòn a partir del  17 de enero conforme a las actas de inicio. Así, con CORTE A 31 DE AGOSTO se han tramitado 338 respuestas a requerimientos asignados a la OAJ en los términos legales establecidos y de acuerdo con el marco normativo vigente. Se anexa excel con evidencias.</t>
  </si>
  <si>
    <t>Se realizó proyección y revisión de la Guía de Anonimización de Datos Personales.
Se realizó proyección, ajustes y revisión de la Política de Privacidad y Tratamiento de Datos Personales
Se realizó reunión de seguimiento al plan de mejora FURAG de la política de seguridad digital.
Se inicia contrato 923 de 2022 con 4.562 suscripciones de productos con Microsoft
Se inicia contrato 925 de 2022 de licenciamiento adobe
Se inicia contrato de aire acondicionado No.924 de 2022
Se inicia orden de compra 90009 contrato 921 oracle Cloud
Se inicia contrato licenciamiento adobe contrato 925 de 2022, 
Se inicia contrato firmas electrónicas contrato 927  de 2022
Se inicial contrato SSL contrato 929 de 2022
Se inicia contrato Kawaw contrato 935 de 2022
Se inicia contrato UPS contrato 932 de 2022
Se inicia contrato Aire acondicionado 924 de 2022
Se inicia contrato herramienta de desarrollo 1007 de 2022, 
Se inicia contrato soporte de licencias Oracle 968 de 2022
se inicia contrato DLP 969 de 2022
Se inicia contrato comunicaciones convergentes 1016 de 2022</t>
  </si>
  <si>
    <t>A la fecha no se presentan retrasos en la ejecución de las actividades</t>
  </si>
  <si>
    <t xml:space="preserve">
Se realiza seguimiento continuo a los proyectos del PETI y a los planes de gobierno y seguridad Digital, en los cuales se refleja el avance en las actividades proyectadas y se presenta al comite institucional de gestión y desempeño.
Se realiza revisión y monitoreo a la infraestructura tecnológica con el fin de garantizar el correcto funcionamiento de los servicios de la entidad.
Se realiza mantenimiento y actualización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</si>
  <si>
    <t>Se realizó seguimiento al avance de las actividades concerniente a las recomendaciones de FURAG de la Política de Seguridad Digital 2020, 2021 y 2022, cuyo objetivo fue verificar el estado de las actividades y sus avances para consolidación de información y presentación al Comité Institucional de Gestión y Desempeño.
Se presentó al Comité Institucional de Gestión y Desempeño el estado de avance de las actividades de Gobierno Digital y Seguridad Digital.
Se realizó la publicación y divulgación del Manual de Identificación de Riesgos de Seguridad de la Información y del instrumento de riesgos en Kawak.
Se realizó la actualización del plan de comunicación, sensibilización y capacitación en seguridad de la información y datos personales y fue aprobado en el Comité Institucional de Gestión y Desempeño #10 del 25 de agosto de 2022.
Se realizó capacitación de las políticas de seguridad de la información y datos personales en la jornada de inducción a funcionarios que se realizó el 22 de agosto de 2022.
Se realizó capacitación y primer mesa de trabajo para identificación y gestión de riesgos de seguridad de la información para direccionamiento estratégico, planeación y gestión, Gestión del Conocimiento y Comunicaciones.
Se realizó socialización de la Política de Privacidad y Tratamiento de Datos Personales de la Secretaría Distrital de la Mujer, la cual fue dirigida al equipo de trabajo de la Dirección Territorialización y Participación, en la cual participaron 126 personas.
Se realizó reunión y seguimiento a los riesgos de gestión y corrupción, correspondiente al segundo cuatrimestre de 2022 del proceso de gestión tecnológica. Se realizó carga de evidencias, diligenciamiento y verificación del acta correspondiente con el equipo de trabajo de Gestión Tecnológica y la jefa de la OAP.</t>
  </si>
  <si>
    <t>Se inicia contrato 923 de 2022 con 4.562 suscripciones de productos con Microsoft, incluyendo las Powers BI, de las cuales se están utilizando 4.513 (99% de utilización).se solicito nueva cotización por vencimiento por 6 meses 
Del contrato de ETB se solicito instalación de SUBA y  CIOM y CID Kennedy, 
Se realizo instalación de switches en los centros de inclusión digital, CIOM y CID del contrato 933 de 2021.
Este mes no  se realizo  mantenimiento de aire acondicionado  y UPS  
A la fecha se han recibido 4429 requerimientos por mesa de ayuda, de los cuales se atendieron 4231, quedando 198  para ser atendidos en el mes de septiembre, debido a su complejidad.
Se dio inicio a los siguientes procesos de contratación: Licenciamiento adobe contrato 925 de 2022, firmas electrónicas contrato 927 de 2022, SSL contrato 929 de 2022, oracle Cloud contrato 921, Kawak contrato 935 de 2022,UPS contrato 932 de 2022. mantenimiento de Aire (924 de 2022), herramienta de desarrollo contrato 1007 de 2022, soporte de licencias Oracle 968 de 2022, DLP contrato 969 de 2022, comunicaciones convergentes contrato 1016 de 2022
Los siguientes procesos se encuentran en tramite:, soporte toad (se publicó proceso se cierra 06 de septiembre, Smartnet switch se (se dio  respuesta a observaciones de contratación), computadores (se dio respuesta a observaciones, se enviaron justificaciones actualizadas a abogada y direccionamiento estratégico), consumibles (se esta esperando respuesta de Colombia compra para adicionar producto faltante para definir proceso), telefonía fija (se dieron respuesta a observaciones y revisión de abogada)</t>
  </si>
  <si>
    <t>Se han atendido 749 requerimientos de soporte a la fecha , 31 actualizaciones al aplicativo, 5 requerimientos adicional para mejoras en sistema del aplicativo Icops.
A la fecha se han atendido 1480 requerimientos, relacionados con soporte a la página Web, los cuales corresponden a actualización de contenido y de funcionalidades.
Se esta realizando la integración  del sistema de inventarios y almacén SAE-SAI.
Se entrego maquina en los servidores de Oracle para migración de Icops y Simisional
Se realizo alistamiento y entrega del servidor de Oracle  para el SIMISIONAL 2.
Se realizo  alistamiento y puesta en funcionamiento del nuevo aplicativo de GLPI-mesa de ayuda versión 10.0.1</t>
  </si>
  <si>
    <t>Se realizó seguimiento al avance de las actividades concerniente a las recomendaciones de FURAG de la Política de Seguridad Digital 2020, 2021 y 2022, cuyo objetivo fue verificar el estado de las actividades y sus avances para consolidación de información y presentación al Comité Institucional de Gestión y Desempeño.
Se presentó al Comité Institucional de Gestión y Desempeño el estado de avance de las actividades de Gobierno Digital y Seguridad Digital.
Se realizó la publicación y divulgación del Manual de Identificación de Riesgos de Seguridad de la Información y del instrumento de riesgos en Kawak.
Se realizó la actualización del plan de comunicación, sensibilización y capacitación en seguridad de la información y datos personales y fue aprobado en el Comité Institucional de Gestión y Desempeño #10 del 25 de agosto de 2022</t>
  </si>
  <si>
    <t>Se realizó capacitación de las políticas de seguridad de la información y datos personales en la jornada de inducción a funcionarios que se realizó el 22 de agosto de 2022.
Se realizó capacitación y primer mesa de trabajo para identificación y gestión de riesgos de seguridad de la información para direccionamiento estratégico, planeación y gestión, Gestión del Conocimiento y Comunicaciones.
Se realizó socialización de la Política de Privacidad y Tratamiento de Datos Personales de la Secretaría Distrital de la Mujer, la cual fue dirigida al equipo de trabajo de la Dirección Territorialización y Participación, en la cual participaron 126 personas.
Se realizó reunión y seguimiento a los riesgos de gestión y corrupción, correspondiente al segundo cuatrimestre de 2022 del proceso de gestión tecnológica. Se realizó carga de evidencias, diligenciamiento y verificación del acta correspondiente con el equipo de trabajo de Gestión Tecnológica y la jefa de la OAP.</t>
  </si>
  <si>
    <t xml:space="preserve">Se inicia contrato 923 de 2022 con 4.562 suscripciones de productos con Microsoft, incluyendo las Powers BI, de las cuales se están utilizando 4.513 (99% de utilización).se solicito nueva cotización para realizar adición al contrato teniendo en cuenta que la vigencia de la cotización se supero. </t>
  </si>
  <si>
    <t>Se dio inicio a los siguientes procesos de contratación: Licenciamiento adobe contrato 925 de 2022, firmas electrónicas contrato 927 de 2022, SSL contrato 929 de 2022, oracle Cloud contrato 921, Kawak contrato 935 de 2022,UPS contrato 932 de 2022. mantenimiento de Aire (924 de 2022), herramienta de desarrollo contrato 1007 de 2022, soporte de licencias Oracle 968 de 2022, DLP contrato 969 de 2022, comunicaciones convergentes contrato 1016 de 2022
Los siguientes procesos se encuentran en tramite:, soporte toad (se publicó proceso se cierra 06 de septiembre, Smartnet switch se (se dio  respuesta a observaciones de contratación), computadores (se dio respuesta a observaciones, se enviaron justificaciones actualizadas a abogada y direccionamiento estratégico), consumibles (se esta esperando respuesta de Colombia compra para adicionar producto faltante para definir proceso), telefonía fija (se dieron respuesta a observaciones y revisión de abogada)</t>
  </si>
  <si>
    <t xml:space="preserve">En el mes de agosto se recibieron 663 requerimientos de los cuales se atendieron en el mes 541 quedando pendiente 122 para ser atendidos en el mes de septiembre, debido a su complejidad. 
 </t>
  </si>
  <si>
    <t>Los requerimientos pendientes se atienden a principio de mes debido a que por su complejidad requieren mas tiempo para ser solucionados, la mayoria de casos pendiente son de SIMISIONAL y orfeo estos requieren de mayor tiempo para su cierre</t>
  </si>
  <si>
    <t>Continuar realizando seguimiento  al ciere de casos en el momento de su atención</t>
  </si>
  <si>
    <t xml:space="preserve">Del contrato de ETB se solicito instalación de SUBA y  CIOM y CID Kennedy, 
Se realizo instalación de switches en los centros de inclusión digital, CIOM y CID del contrato 933 de 2021.
Este mes no  se realizaron  mantenimiento de aire acondicionado  y UPS  </t>
  </si>
  <si>
    <t xml:space="preserve">
Se esta realizando la integración  del sistema de inventarios y almacén SAE-SAI.
Se entrego maquina en los servidores de Oracle para migración de Icops y Simisional
Se realizo alistamiento y entrega del servidor de Oracle  para el SIMISIONAL 2.
Se realizo  alistamiento y puesta en funcionamiento del nuevo aplicativo de GLPI-mesa de ayuda versión 10.0.1</t>
  </si>
  <si>
    <t>Se han atendido 749 requerimientos de soporte a la fecha , 31 actualizaciones al aplicativo, 5 requerimientos adicional para mejoras en sistema del aplicativo Icops.
A la fecha se han atendido 1480 requerimientos, relacionados con soporte a la página Web, los cuales corresponden a actualización de contenido y de funcionalidades.</t>
  </si>
  <si>
    <t xml:space="preserve">AUDITORIA, Se solicitó concepto a la Oficina Asesora Jurídica sobre adopción Manual de contratación y supervisión mediante acto admvo rad. 3-2022-003291 (18.08.22) y se envió anuncio inicio de Auditoría para el proceso de GContractual con rad. 3-2022-003479 (30.08.22) </t>
  </si>
  <si>
    <t xml:space="preserve">SEGUIMIENTOS, se elaboró el seguimiento a las acciones de mejora para los planes de mejoramiento institucionales de lo cual se envió informe final a los procesos responsables mediante rad. 3-2022-003168 (08.08.22) para PM Internos con anexos del estado de acciones y la revisión de efectividad.  Con ocasión de la revisión se enviaron memorandos de solicitud modificación de acciones de mejora con rad. 3-2022-003455 (29.08.22) y 3-2022-002131 (29.04.22) y además se solicitó reformulación de acciones con rad. 3-2022-003217, 18 (11.08.22) y 3-2022-003245 (12.08.22). Para Segto a PMExternos se dio a conocer informe final con rad. 3-2022-003430 (26.08.22), con anexo sobre ejecución de acciones para auditorías externas. Para el Segto Comité de Contratación del cual se comunicó informe preliminar con rad .3-2022-003074 (01.08.22), luego de réplica se dio a conocer informe final con 3-2022-003187 (09.08.22) y se reiteró PMejora a la Dirección de Contratación para el mes de septiembre 2022.  Segto PIGA se envió preliminar rad.3-2022-003284 (17.08.22) y después de revisada la réplica (3-2022-003319-19.08.22) se dio a conocer informe final rad 3-2022-003354 (23.08.22). Segto Medidas Emergencia Sanitaria se continuo con la solicitud de inf con rad. 3-2022-003207 (10.08.22) para JOCID y se elaboró informe final con rad.3-2022-003337 (22.08.22), Segto Política Daño Antijuridico, se solicitó información rad.  3-2022-003097 para OAJ y -2022-003098 para Dirección de Contratación respectivamente (02.08.22) y se dio a conocer informe final con rad. 3-2022-003508 (31.08.22). </t>
  </si>
  <si>
    <t xml:space="preserve">INF. REGLAMENTARIOS, Segto PAAC 2o Cuatrim se anunció con rad. 3-2022-003355 (23.08.22) e inició la etapa de planeación mediante solicitud de información a OAP con rad. 3-2022-003356 (23.08.22). Informe PQRS I semestre 2022, del cual se envió informe preliminar con rad. 3-2022-003359 (23.08.22) y se comunicó informe final mediante rad.3-2022-003478 (30.03.22), se elaboró Segto Austeridad 2 Trim 2022, del cual se comunicó informe final mediante rad .3-2022-003142 (04.08.22) y se reiteró PM a la Dirección de Talento Humano rad. 3-2022-003425 (26.08.22). </t>
  </si>
  <si>
    <t>ASESORIAS: participación en mesa de trabajo Enlaces MIPG 05.08.22, participación reuniones SARLAFT (02.08.22), asesoría en líneas de defensa procesos misionales (03.08.22) y (16.08.22), participación en 9a y 10ª sesión CIGD del 04.08.22 y 25.08.22 respectivamente, Asesoría Planes Mejora DAF (11.08.22)</t>
  </si>
  <si>
    <t>Se participó en una jornada de trabajo con la Dirección de Talento Humano donde se realizó charla sobre temas relacionadas con las funciones que desarrolla la Oficina de Control Disciplinario  y el Código General Disciplinario, para servidoras y servidores de la Entidad.</t>
  </si>
  <si>
    <t xml:space="preserve">Se continua con el avance de esta meta/indicador en relación con la expedición de  decisiones de fondo dentro de los procesos discicplinarios iniciados en las vigencias 2016, 2017, 2018,2019, 2020, 2021, 2022. </t>
  </si>
  <si>
    <t>La Oficina de Control Disciplinario Interno realizó cuatro (4) jornadas de sensibilización a las servidoras y servidores públicos y contratistas de la Entidad, sobre temas relacionados con las funciones de esta Oficina, derechos, deberes,  prohibiciones, el conflicto de intereses, PQRS en el marco de la función preventiva, de forma que se va dando alcance con estas actividades a la mayoría de la dependencias.</t>
  </si>
  <si>
    <t>Esta actividad se encuentra programada para el mes de octubre.</t>
  </si>
  <si>
    <t>Se realizó la actualización mensual de los servicios de la SDMujer en la Guía de Trámites y Servicios, y se remitió el certificado de confiabilidad a la Secretaría General de la Alcaldía Mayor de Bogotá. Esta información puede ser consultada en el siguiente enlace:
http://guiatramitesyservicios.bogota.gov.co/entidad/secretaria_distrital_de_la_mujer</t>
  </si>
  <si>
    <t>Del 01 de enero al 31 de agosto de la vigencia 2022, el proceso de Atención a la Ciudadanía de la SDMujer no ha recibido invitaciones por parte de la Secretaría General de Bogotá D.C. u otras entidades distritales para participar en ferias de servicio a la ciudadanía.</t>
  </si>
  <si>
    <t>Esta actividad esta programada para su cumplimiento en el mes de diciembre, por lo cual no se reportan avances en el mes de agosto.</t>
  </si>
  <si>
    <t>Al mes de agosto, se han ejecutado un total de dieciseis (16) actividades de capacitación dirigidas a las servidoras, servidores y contratistas de la Entidad, realizadas en las siguientes fechas y temas:
- 25 de enero: Sensibilización de usuarios del sistema Bogotá te escucha.
- 03 de febrero: Sensibilización de usuarios del sistema Bogotá te escucha.
- 11 de febrero: Sensibilización en normatividad y trámite de PQRS.
- 2 de marzo: Sensibilización de usuarios del sistema Bogotá te escucha.
- 15 de marzo: Capacitación en servicio a la ciudadanía y protocolos de atención, Línea Púrpura.
- 04 de mayo: Capacitación de usuarios del sistema Bogotá te escucha, Subsecretaría de Fortalecimiento de Capacidades y Oportunidades.
- 13 de mayo: Capacitación en gestión de peticiones de la ciudadanía, DEVAJ y Dir. Administrativa y Financiera.
- 18 de mayo: Sensibilización de usuarios del sistema Bogotá te escucha, Dirección del Sistema del Cuidado.
- 03 y 07 de junio: Taller virtual manejo de PQRS - sistema Bogotá te escucha.
- 22 de junio: Inducción y reinducción Atención a la Ciudadanía SDMujer a las nuevas colaboradoras y colaboradores de la Línea Púrpura Distrital (Grupo 1 y grupo 2).
- 22 de junio: Sensibilización del módulo de atención de primer nivel del aplicativo Simisional.
- 23 de junio: Capacitación en protocolos de atención, preferencial y con enfoque diferencial.
- 28 de junio: Sensibilización de usuarios del sistema Bogotá te escucha.
- 01 de julio: Sensibilización de usuarios del sistema Bogotá te escucha, Control Interno Disciplinario.
- 05 de agosto: Sensibilización en servicio a la ciudadanía y protocolos de atención, Dir. de Territorialización – CIOM.
- 27 de agosto: Sensibilización en servicio a la ciudadanía y protocolos de atención, Guardas de Seguridad.</t>
  </si>
  <si>
    <t>Al mes de agosto, se ha realizado la difución de cinco (5) piezas comunicacionales en la Boletina Informativa, en las siguientes fechas y temáticas:
- 02 de febrero: Manual de Atención a la Ciudadanía - Protocolos de atención con enfoque diferencial.
- 01 de marzo: Actualización del Procedimiento para la Gestión de Peticiones de la Ciudadanía (V7).
- 12 de julio: Nueva versión del Procedimiento para la Gestión de PQRSD de la ciudadanía (V8).
- 19 de julio: Criterios de calidad de la respuesta de las PQRSD.
- 26 de julio: Protocolos de atención en el canal telefónico.
El próximo reporte esta programado para su cumplimiento en el mes de diciembre, por lo cual no se reportan avances en el mes de agosto.</t>
  </si>
  <si>
    <t>En el mes de mayo se realizó el seguimiento a la documentación asociada al proceso de atención a la ciudadanía y en este, se identificaron los documentos que deben ser actualizados y las respectivas fechas en que se debe adelantar dichas actualizaciones. Esta información fue reportada mediante un acta de reunión de seguimiento. 
El próximo reporte esta programado para su cumplimiento en el mes de diciembre, por lo cual no se reportan avances en el mes de agosto.</t>
  </si>
  <si>
    <t>Teniendo en cuenta que la información estadística es remitida por la Secretaría General los primeros días del mes siguiente, durante el mes anterior (julio) se registraron 168 peticiones y se realizó el cierre de 218 peticiones (108 del mismo mes y 110 correspondientes al mes anterior), todas ellas recibidas a través de los distintos canales de atención dispuestos por la Secretaría Distrital de la Mujer y por traslado en el Sistema Distrital para la Gestión de Peticiones Ciudadanas - Bogotá te escucha.</t>
  </si>
  <si>
    <t xml:space="preserve">Al mes de agosto, el equipo de Atención a la Ciudadanía ha participado en un total de quincee (15) actividades y capacitaciones organizadas por la Secretaría General de la Alcaldía Mayor de Bogotá y la Veeduría Distrital, realizadas en las siguientes fechas y temas::
- 17 de febrero: Capacitación para administradores funcionales del sistema Bogotá te escucha, Secretaría General.
- 18 de febrero: Asistencia al Nodo Central, Veeduría Distrital.
- 17 de marzo: Capacitación de administradores funcionales del sistema Bogotá te escucha, Secretaría General.
- 24 de marzo: Asistencia al Nodo Sectorial Mujeres, Veeduría Distrital.
- 30 de marzo. Asistencia al Nodo Intersectorial de Formación y Capacitación, Veeduría Distrital.
- 05 de abril: Asistencia al Nodo Intersectorial de Comunicaciones y Lenguaje Claro, Veeduría Distrital.
- 21 de abril: Reunión de acompañamiento estrategia de comunicación, Veeduría Distrital.
- 28 de abril: Capacitación de administradores funcionales del sistema Bogotá te escucha, Secretaría General.
- 19 de mayo: Capacitación de reportes dirigida a administradores funcionales del sistema Bogotá te escucha,Secretaría General.
- 22 de junio: Manejo funcional para la administración del sistema Bogotá te escucha, Secretaría General.
- 23 de junio: Asistencia al Nodo Intersectorial de Formación y Capacitación, Veeduría Distrital.
- 29 de junio: Asistencia al Nodo Intersectorial de Comunicaciones y Lenguaje Claro, Veeduría Distrital.
- 18 de julio: Asistencia al Nodo Sectorial, Veeduría Distrital.
- 28 de julio: Capacitación de reportes dirigida a administradores funcionales del sistema Bogotá te escucha, Secretaría General.
- 18 de agosto: Capacitación funcional para administradores del Sistema Distrital para la Gestión de Peticiones Ciudadanas - Bogotá te escucha, Secretaría General. </t>
  </si>
  <si>
    <t>En el mes de junio se elaboró el informe del primer semestre de la vigencia 2022 del seguimiento a la gestión adelantada para la adopción de sugerencias emitidas por la Dirección Distrital de Calidad del Servicio de la Secretaría General respecto de la emisión de respuestas y la operatividad del sistema Bogotá te escucha.
El próximo reporte esta programado para su cumplimiento en el mes de diciembre, por lo cual no se reportan avances en el mes de agosto.</t>
  </si>
  <si>
    <t>En el mes de agosto, se elaboró el informe mensual seguimiento de PQRS y atención a la ciudadanía correspondiente al mes de julio.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</si>
  <si>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En el mes de julio se realizó el envío masivo de la encuesta de satisfacción de servicios y estrategias de la SDMujer, cuyos resultados fueron incorporados en el informe de gestión de PQRS y atención a la ciudadanía del segundo trimestre que fue presentado ante el Comité Institucional de Gestión y Desempeño del mes de julio.
En el mes de agosto se realizó el informe de resultados de la encuesta de satisfacción y la publicación del mismo en la página web de la SDMujer, en el link:
https://www.sdmujer.gov.co/ley-de-transparencia-y-acceso-a-la-informacion-publica/planeacion/informe-trimestral-de-medicion-de-satisfaccion</t>
  </si>
  <si>
    <t>Se ha desarrollado el PAA 2022 así: AUDITORIA, Se solicitó concepto a OAJ rad. 3-2022-003291 (18.08.22) y se envió anuncio Auditoría Proceso GContractual rad. 3-2022-003479 (30.08.22) REGLAMENTARIOS, Segto PAAC 2o Cuatrim se anunció rad. 3-2022-003355 (23.08.22) e inició con solicitud información a OAP con rad. 3-2022-003356 (23.08.22). Informe PQRS I sem 2022, se envió inf preliminar rad. 3-2022-003359 (23.08.22) y se comunicó inf final rad.3-2022-003478 (30.03.22), Segto Austeridad 2 Trim 2022 se comunicó inf final rad .3-2022-003142 (04.08.22) y se reiteró PM a DTH rad. 3-2022-003425 (26.08.22). SEGUIMIENTOS, se envió inf final procesos responsables rad. 3-2022-003168 (08.08.22) para PM Internos con anexos del estado acciones y revisión efectividad. Se enviaron solicitudes de modificación de acciones mejora rad. 3-2022-003455 (29.08.22) y 3-2022-002131 (29.04.22) y se solicitó reformulación de acciones rad. 3-2022-003217, 18 (11.08.22) y 3-2022-003245 (12.08.22). Para Segto a PMExternos se tiene inf final rad. 3-2022-003430 (26.08.22), con anexo de acciones auditorías externas. Para Segto Comité Contratación, se dio inf preliminar rad .3-2022-003074 (01.08.22), luego de réplica se dio inf final 3-2022-003187 (09.08.22) y se reiteró PMejora a la DContratación para sept 2022.  Segto PIGA se envió preliminar rad.3-2022-003284 (17.08.22) y se dio inf final rad 3-2022-003354 (23.08.22). Segto Medidas Emergencia Sanitaria, con solicitud de inf con rad. 3-2022-003207 (10.08.22) para JOCID y se elaboró inf final rad.3-2022-003337 (22.08.22), Segto Pol Daño Antijuridico, se solicitó información rad.  3-2022-003097 para OAJ y -2022-003098 para DContratación (02.08.22) y se dio inf final rad. 3-2022-003508 (31.08.22). ASESORIAS: participación Enlaces MIPG 05.08.22, participación SARLAFT (02.08.22), asesoría en líneas de defensa procesos misionales (03.08.22) y (16.08.22), participación en 9a y 10ª sesión CIGD del 04.08.22 y 25.08.22 y asesoría Planes Mejora DAF (11.08.22)</t>
  </si>
  <si>
    <t>A  31 de agosto de 2022, se realizaron las actividades de: Transferencias, intervención archivística, actualización de herramientas archivísticas, actividades en el marco de la implementación de la tercera fase del sistema integrado de conservación y plan de preservación digital a largo plazo.  Se desarrollaron capacitaciones del aplicativo ORFEO y soporte técnico, de igual forma, seguimiento a la implementación  del aplicativo FUID- Inventarios Documentales.</t>
  </si>
  <si>
    <t>Se presentó un retraso en la metodología para la actualización del Instrumento Archivístico Tabla de Retención Documental de la entidad, por cuanto aumentó el número de entrevistas con los productores documentales de los procesos nuevos. Se propuso ampliar el plazode entrega de la actualización de la TRD ante a la OCI, quien lo concedió, mediante comunicación interna 3-2022-003031 y copio a la OAP.</t>
  </si>
  <si>
    <t>Contar con archivos de gestión y central, en cumplimiento de la normatividad emitida a nivel distrital, por la Dirección de Archivo de Bogotá y a nivel Nacional por el Archivo General de la Nación, garantizando la conservación de la memoria institucional de la SDMujer, permitiendo la disponibilidad de los archivos para atender con oportunidad los requerimientos y observaciones de ciudadanas, ciudadanos, entidades del orden distrital, nacional,  entes de control y vigilancia en materia de gestión documental.</t>
  </si>
  <si>
    <t>Con corte al 31 de agosto, se continúa con el alistamiento de la transferencia documental de la Dirección de Contratación de la Serie Documental   Expedientes Contractuales, de la vigencia 2018 y 2019 y del archivo de la Dirección de Talento Humano Serie documental Historias Laborales, en el cual se efectúa el proceso de ordenación organización, descripción    con un total (22,25) metros lineales, para un total de 104,75 metros lineales ala fecha. Así mismo se han atendido un total de (142) consultas descriptas en Formato Afuera, digitalización de (7.316) imágenes y elaboración del FUID con un total de (354) registros.</t>
  </si>
  <si>
    <t>Con corte al 31 de agosto, se continúa realizando Mesas Técnicas de Actualización de Tablas de Retención Documental en las cuales fueron realizadas 4 Mesas Técnicas con la Dirección del Sistema de Cuidado entregando propuesta de TRD; así mismo   se entrega propuesta a la Dirección de Contratación. Así mismo, se dio acompañamiento técnico para identificar los documentos que ya cumplieron su tiempo de retención de a las TRD en Archivo Central, Dirección de Enfoque Diferencial - Casa de Todas, reunión de seguimiento a las actividades GD, Implementación Formato Afuera en las dependencias. Se realizó seguimiento a la implementación de la nueva herramienta del aplicativo de Inventarios  FUID en línea en las Casas de Igualdad de  Barrios Unidos, Candelaria y Mártires.</t>
  </si>
  <si>
    <t xml:space="preserve">Con corte a 31 de agosto, se realizó la capacitación a 1 técnico y 3 auxiliares del equipo de trabajo, sobre biodeterioro y acciones para la desinfección de documentos contaminados con deterioro biológico. Se realizó visita de inspección de espacios a la CIOM Suba para identificar condiciones de la infraestructura y del mobiliario, teniendo en cuenta que es una sede nueva. Se realizó reunión con la profesional encargada del mantenimiento de bienes de la entidad para hacer el reporte de los hallazgos identificados en las visitas de inspección a casas de igualdad, archivo central y archivos de edificio elemento con el fin de establecer correctivos. Se elaboro documentos precontractuales para la contratación del saneamiento ambiental de los espacios de archivo.  Se realizó el monitoreo de condiciones ambientales del archivo central y archivos del edificio elemento, resultado de la medición se observa que los datos obtenidos están dentro de los rangos definidos por la normatividad para la conservación de archivos. Se realizó Validación de las características técnicas con el contratista de los insumos a adquirir para los kits de emergencias. </t>
  </si>
  <si>
    <t>obligado</t>
  </si>
  <si>
    <r>
      <t xml:space="preserve">Para dar cumplimiento a los objetivos del proyecto de inversión 7662, y poder brindar el soporte transversal necesario para la óptima ejecución de los recursos, la SD de la Mujer, en aras de cumplir con su misional, presentan los siguientes avances: 
1. Se realizan trámites de contratación en la SDMujer, se da respuestas a órganos de control, se da trámite de pago a contratistas y proveedores. Consolidación, rendición y publicación de la cuenta mensual de </t>
    </r>
    <r>
      <rPr>
        <sz val="11"/>
        <color indexed="10"/>
        <rFont val="Times New Roman"/>
        <family val="1"/>
      </rPr>
      <t>junio</t>
    </r>
    <r>
      <rPr>
        <sz val="11"/>
        <color indexed="8"/>
        <rFont val="Times New Roman"/>
        <family val="1"/>
      </rPr>
      <t xml:space="preserve"> en la plataforma Sivicof. Formulación, aprobación y publicación en la página web de la entidad del Plan Estratégico de Talento Humano y sus 5 planes anexo. Generación de certificados de inexistencia y afiliaciones a ARL. Proyección y consolidación del reporte de la proyección presupuestal para la vigencia 2023 de la Corporativa.
2. Se realizó proyección y revisión de la Guía de Anonimización de Datos Personales, proyección, ajustes y revisión de la Política de Privacidad y Tratamiento de Datos Personales. Se realizó reunión de seguimiento al plan de mejora FURAG de la política de seguridad digital. Se suscribieron los contratos con 4.562 suscripciones de productos con Microsoft, licenciamiento adobe, aire acondicionado, firmas elecrónicas, herramienta de desarrollo, comunicaciones convergentes, UPS, KAWAW, SSL, DLP y la orden de compra de oracle Cloud, 
3. Con corte al mesde agosto de 2022, se continua con los seguimientos a planes de mejora FURAG 2021, se presentan resultados en comité de MIPG y se inician seguimientos a planes de mejro FURAG 2022, se realizarón los pre encuentros de RDC 2022 de acuerdo con cronograma y se inicia preparación de Dialogos y Audiencia Pública, adicionalmente se presentarán los temas programados para esta vigencia de acuerdo con el cronograma de temas a presentar en Comité de Gestión y Desempeño.</t>
    </r>
  </si>
  <si>
    <t>Se realizó revisión y aprobación de la documentación de Planes de Acción de los 11 proyectos de inversión para la vigencia 2022 en el Comité Institucional de Gestión y Desempeño mediante acta número 002 del 28 de enero de 2022.</t>
  </si>
  <si>
    <t>En lo corrido de la vigencia se ha realizado la revisión de los reportes de seguimiento del plan de acción hasta el corte a 31 de julio de 2022 de los 11 proyectos de inversión.</t>
  </si>
  <si>
    <t>Se realizó informe y presentación de seguimiento al Plan Estratégico Institucional con corte al 31 de dicimebre de 2021. El seguimiento fue presentado en el Comité Institucional de Gestión y Desempeño del 24 de marzo de 2022 dejando soporte de la presentación en el acta número 004.
Se realizó informe y presentación de seguimiento al Plan Estratégico Institucional con corte al 30 de junio de 2022. El seguimiento fue presentado en el Comité Institucional de Gestión y Desempeño número 11 del 25 de agosto de 2022 dejando soporte de la presentación en el acta.</t>
  </si>
  <si>
    <t>En el marco del proceso de anteproyecto presupuestal para la vigencia 2023, desde la Oficina Asesora de Planeación fueron expedidos los lineamientos y cronograma para la elaboración, consolidación y presentación del documento de anteproyecto para la SHD en la fecha establecida. 
En cumplimiento del cronograma, en el mes de julio se recibieron las versiones preliminares de la programación presupuestal las cuales fueron revisadas en el mes de agosto por el equipo de Direccionamiento Estratégico.
Entre el 11 y el 25 de agosto se realizaron las mesas de sustentación de anteproyecto presupuestal ante el despacho y el día 31 de agosto, en cumplimiento a los lineamientos y cronograma establecido por la SHD se remitió presentación de anteproyecto presupuestal, formato de homologación para cadenas nuevas de Bogdata e información de elementos PEP.</t>
  </si>
  <si>
    <t>En lo corrido de la vigencia se ha realizado la revisión de los reportes de seguimiento del plan de acción hasta el corte a 31 de julio de 2022 de los proyectos de inversión, se realizó el correspondiente acompañamiento en el cargue del seguimiento mensual DNP-SPI y se realizó el cargue trimestral en la plataforma Segplan. Se ha realizado validación de necesidad de inclusión u homologación de elementos POSPRE de recursos de inversión en el sistema BOGDATA y se han tramitado las solicitudes necesarias. Se han elaborado respuestas y consolidado insumos para atender derechos de petición, proposiciones y requerimientos de información de Contraloría, Personería, Concejo y Secretaría de Cultura. A partir del mes de marzo, se ha elaborado el informe de ejecución mensual.</t>
  </si>
  <si>
    <t>En el mes de agosto de 2022 se realizó la contratación del personal de apoyo en la SDMujer. A continuación se describen algunos de los avances y/o logros:
1.  Respuestas a órganos de control.
2.  Trámites de pago a contratistas y proveedores.                                                                                                                                  
3.  Consolidación, rendición y publicación de la cuenta mensual de junio en la plataforma Sivicof.
4. Formulación, aprobación y publicación en la página web de la entidad del Plan Estratégico de Talento Humano y sus 5 planes anexo.
5. Generación de certificados de inexistencia y afiliaciones a ARL
6. Proyección y consolidación del reporte de la proyección presupuestal para la vigencia 2023 de la Corporativa</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</si>
</sst>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Red]0"/>
    <numFmt numFmtId="210" formatCode="#,##0.0"/>
    <numFmt numFmtId="211" formatCode="0.000"/>
  </numFmts>
  <fonts count="98">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0"/>
      <name val="Calibri"/>
      <family val="2"/>
    </font>
    <font>
      <b/>
      <sz val="10"/>
      <name val="Calibri"/>
      <family val="2"/>
    </font>
    <font>
      <sz val="8"/>
      <name val="Calibri"/>
      <family val="2"/>
    </font>
    <font>
      <sz val="11"/>
      <color indexed="10"/>
      <name val="Times New Roman"/>
      <family val="1"/>
    </font>
    <font>
      <sz val="10"/>
      <color indexed="8"/>
      <name val="Times New Roman"/>
      <family val="1"/>
    </font>
    <font>
      <sz val="9"/>
      <name val="Times New Roman"/>
      <family val="1"/>
    </font>
    <font>
      <b/>
      <u val="single"/>
      <sz val="10"/>
      <color indexed="8"/>
      <name val="Times New Roman"/>
      <family val="1"/>
    </font>
    <font>
      <sz val="9"/>
      <color indexed="8"/>
      <name val="Times New Roman"/>
      <family val="1"/>
    </font>
    <font>
      <b/>
      <sz val="10"/>
      <color indexed="8"/>
      <name val="Times New Roman"/>
      <family val="1"/>
    </font>
    <font>
      <i/>
      <sz val="9"/>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sz val="11"/>
      <color indexed="63"/>
      <name val="Times New Roman"/>
      <family val="1"/>
    </font>
    <font>
      <sz val="11.5"/>
      <color indexed="8"/>
      <name val="Times New Roman"/>
      <family val="1"/>
    </font>
    <font>
      <sz val="10"/>
      <color indexed="8"/>
      <name val="Calibri"/>
      <family val="2"/>
    </font>
    <font>
      <sz val="12"/>
      <color indexed="8"/>
      <name val="Times New Roman"/>
      <family val="1"/>
    </font>
    <font>
      <b/>
      <sz val="18"/>
      <color indexed="55"/>
      <name val="Calibri"/>
      <family val="2"/>
    </font>
    <font>
      <b/>
      <sz val="11"/>
      <color indexed="55"/>
      <name val="Times New Roman"/>
      <family val="1"/>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1"/>
      <color rgb="FF242424"/>
      <name val="Times New Roman"/>
      <family val="1"/>
    </font>
    <font>
      <sz val="10"/>
      <color theme="1"/>
      <name val="Times New Roman"/>
      <family val="1"/>
    </font>
    <font>
      <sz val="11.5"/>
      <color theme="1"/>
      <name val="Times New Roman"/>
      <family val="1"/>
    </font>
    <font>
      <sz val="9"/>
      <color theme="1"/>
      <name val="Times New Roman"/>
      <family val="1"/>
    </font>
    <font>
      <sz val="10"/>
      <color rgb="FF000000"/>
      <name val="Calibri"/>
      <family val="2"/>
    </font>
    <font>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90">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medium">
        <color rgb="FF000000"/>
      </right>
      <top style="thin"/>
      <bottom>
        <color indexed="63"/>
      </bottom>
    </border>
    <border>
      <left>
        <color indexed="63"/>
      </left>
      <right style="medium">
        <color rgb="FF000000"/>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49" fontId="6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1" fillId="21" borderId="0" applyNumberFormat="0" applyBorder="0" applyAlignment="0" applyProtection="0"/>
    <xf numFmtId="0" fontId="62" fillId="22" borderId="4" applyNumberFormat="0" applyAlignment="0" applyProtection="0"/>
    <xf numFmtId="0" fontId="63" fillId="23" borderId="5" applyNumberFormat="0" applyAlignment="0" applyProtection="0"/>
    <xf numFmtId="0" fontId="64" fillId="0" borderId="6" applyNumberFormat="0" applyFill="0" applyAlignment="0" applyProtection="0"/>
    <xf numFmtId="0" fontId="65" fillId="24" borderId="0" applyNumberFormat="0" applyProtection="0">
      <alignment horizontal="left" wrapText="1" indent="4"/>
    </xf>
    <xf numFmtId="0" fontId="66" fillId="24" borderId="0" applyNumberFormat="0" applyProtection="0">
      <alignment horizontal="left" wrapText="1" indent="4"/>
    </xf>
    <xf numFmtId="0" fontId="67" fillId="0" borderId="0" applyNumberFormat="0" applyFill="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63" fillId="30" borderId="0" applyNumberFormat="0" applyBorder="0" applyAlignment="0" applyProtection="0"/>
    <xf numFmtId="0" fontId="68" fillId="31" borderId="4" applyNumberFormat="0" applyAlignment="0" applyProtection="0"/>
    <xf numFmtId="16" fontId="38" fillId="0" borderId="0" applyFont="0" applyFill="0" applyBorder="0" applyAlignment="0">
      <protection/>
    </xf>
    <xf numFmtId="0" fontId="69" fillId="32" borderId="0" applyNumberFormat="0" applyBorder="0" applyProtection="0">
      <alignment horizontal="center" vertical="center"/>
    </xf>
    <xf numFmtId="0" fontId="70" fillId="0" borderId="0" applyNumberFormat="0" applyFill="0" applyBorder="0" applyAlignment="0" applyProtection="0"/>
    <xf numFmtId="0" fontId="71" fillId="0" borderId="0" applyNumberFormat="0" applyFill="0" applyBorder="0" applyAlignment="0" applyProtection="0"/>
    <xf numFmtId="0" fontId="72"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44" fontId="1" fillId="0" borderId="0" applyFont="0" applyFill="0" applyBorder="0" applyAlignment="0" applyProtection="0"/>
    <xf numFmtId="170" fontId="0" fillId="0" borderId="0" applyFont="0" applyFill="0" applyBorder="0" applyAlignment="0" applyProtection="0"/>
    <xf numFmtId="0" fontId="73" fillId="34" borderId="0" applyNumberFormat="0" applyBorder="0" applyAlignment="0" applyProtection="0"/>
    <xf numFmtId="0" fontId="7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0" fillId="35" borderId="7"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5" fillId="22" borderId="8" applyNumberFormat="0" applyAlignment="0" applyProtection="0"/>
    <xf numFmtId="0" fontId="76" fillId="0" borderId="0" applyNumberFormat="0" applyFill="0" applyBorder="0" applyAlignment="0" applyProtection="0"/>
    <xf numFmtId="0" fontId="66" fillId="0" borderId="0" applyFill="0" applyBorder="0">
      <alignment wrapText="1"/>
      <protection/>
    </xf>
    <xf numFmtId="0" fontId="59"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10" applyNumberFormat="0" applyFill="0" applyAlignment="0" applyProtection="0"/>
    <xf numFmtId="0" fontId="67" fillId="0" borderId="11" applyNumberFormat="0" applyFill="0" applyAlignment="0" applyProtection="0"/>
    <xf numFmtId="0" fontId="81" fillId="24" borderId="0" applyNumberFormat="0" applyBorder="0" applyProtection="0">
      <alignment horizontal="left" indent="1"/>
    </xf>
    <xf numFmtId="0" fontId="82" fillId="0" borderId="12" applyNumberFormat="0" applyFill="0" applyAlignment="0" applyProtection="0"/>
  </cellStyleXfs>
  <cellXfs count="894">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0"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1"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0"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0"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0" applyNumberFormat="1" applyFont="1" applyFill="1" applyBorder="1" applyAlignment="1" applyProtection="1">
      <alignment horizontal="center" vertical="center" wrapText="1"/>
      <protection/>
    </xf>
    <xf numFmtId="9" fontId="3" fillId="13" borderId="20" xfId="70"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2"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0" applyFont="1" applyFill="1" applyBorder="1" applyAlignment="1" applyProtection="1">
      <alignment vertical="center" wrapText="1"/>
      <protection/>
    </xf>
    <xf numFmtId="0" fontId="11" fillId="38" borderId="24" xfId="70" applyFont="1" applyFill="1" applyBorder="1" applyAlignment="1" applyProtection="1">
      <alignment vertical="center" wrapText="1"/>
      <protection/>
    </xf>
    <xf numFmtId="0" fontId="11" fillId="38" borderId="25" xfId="70" applyFont="1" applyFill="1" applyBorder="1" applyAlignment="1" applyProtection="1">
      <alignment vertical="center" wrapText="1"/>
      <protection/>
    </xf>
    <xf numFmtId="0" fontId="11" fillId="38" borderId="0" xfId="70" applyFont="1" applyFill="1" applyBorder="1" applyAlignment="1" applyProtection="1">
      <alignment vertical="center" wrapText="1"/>
      <protection/>
    </xf>
    <xf numFmtId="0" fontId="13" fillId="38" borderId="0" xfId="70" applyFont="1" applyFill="1" applyBorder="1" applyAlignment="1" applyProtection="1">
      <alignment vertical="center" wrapText="1"/>
      <protection/>
    </xf>
    <xf numFmtId="0" fontId="11" fillId="38" borderId="26" xfId="70" applyFont="1" applyFill="1" applyBorder="1" applyAlignment="1" applyProtection="1">
      <alignment vertical="center" wrapText="1"/>
      <protection/>
    </xf>
    <xf numFmtId="0" fontId="10" fillId="38" borderId="26" xfId="70" applyFont="1" applyFill="1" applyBorder="1" applyAlignment="1" applyProtection="1">
      <alignment vertical="center" wrapText="1"/>
      <protection/>
    </xf>
    <xf numFmtId="0" fontId="10" fillId="38" borderId="27" xfId="70" applyFont="1" applyFill="1" applyBorder="1" applyAlignment="1" applyProtection="1">
      <alignment vertical="center" wrapText="1"/>
      <protection/>
    </xf>
    <xf numFmtId="0" fontId="11" fillId="38" borderId="28" xfId="70" applyFont="1" applyFill="1" applyBorder="1" applyAlignment="1" applyProtection="1">
      <alignment vertical="center" wrapText="1"/>
      <protection/>
    </xf>
    <xf numFmtId="0" fontId="10" fillId="38" borderId="0" xfId="70" applyFont="1" applyFill="1" applyBorder="1" applyAlignment="1" applyProtection="1">
      <alignment vertical="center" wrapText="1"/>
      <protection/>
    </xf>
    <xf numFmtId="0" fontId="10" fillId="38" borderId="29" xfId="70"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0" applyFont="1" applyFill="1" applyBorder="1" applyAlignment="1">
      <alignment horizontal="center" vertical="center" wrapText="1"/>
      <protection/>
    </xf>
    <xf numFmtId="0" fontId="11" fillId="0" borderId="29" xfId="70" applyFont="1" applyFill="1" applyBorder="1" applyAlignment="1">
      <alignment horizontal="center" vertical="center" wrapText="1"/>
      <protection/>
    </xf>
    <xf numFmtId="0" fontId="11" fillId="38" borderId="28" xfId="70" applyFont="1" applyFill="1" applyBorder="1" applyAlignment="1">
      <alignment horizontal="center" vertical="center" wrapText="1"/>
      <protection/>
    </xf>
    <xf numFmtId="0" fontId="11" fillId="38" borderId="33" xfId="70" applyFont="1" applyFill="1" applyBorder="1" applyAlignment="1">
      <alignment horizontal="center" vertical="center" wrapText="1"/>
      <protection/>
    </xf>
    <xf numFmtId="0" fontId="14" fillId="38" borderId="0" xfId="70" applyFont="1" applyFill="1" applyBorder="1" applyAlignment="1">
      <alignment horizontal="center" vertical="center" wrapText="1"/>
      <protection/>
    </xf>
    <xf numFmtId="0" fontId="11" fillId="38" borderId="0" xfId="70" applyFont="1" applyFill="1" applyBorder="1" applyAlignment="1">
      <alignment horizontal="center" vertical="center" wrapText="1"/>
      <protection/>
    </xf>
    <xf numFmtId="0" fontId="14" fillId="0" borderId="0" xfId="70"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0" applyFont="1" applyFill="1" applyBorder="1" applyAlignment="1" applyProtection="1">
      <alignment vertical="center" wrapText="1"/>
      <protection/>
    </xf>
    <xf numFmtId="0" fontId="10" fillId="38" borderId="35" xfId="70"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0" applyFont="1" applyFill="1" applyBorder="1" applyAlignment="1" applyProtection="1">
      <alignment vertical="center" wrapText="1"/>
      <protection/>
    </xf>
    <xf numFmtId="0" fontId="83" fillId="38" borderId="28" xfId="0" applyFont="1" applyFill="1" applyBorder="1" applyAlignment="1">
      <alignment vertical="center"/>
    </xf>
    <xf numFmtId="0" fontId="83" fillId="38" borderId="0" xfId="0" applyFont="1" applyFill="1" applyBorder="1" applyAlignment="1">
      <alignment vertical="center"/>
    </xf>
    <xf numFmtId="0" fontId="83" fillId="38" borderId="29" xfId="0" applyFont="1" applyFill="1" applyBorder="1" applyAlignment="1">
      <alignment vertical="center"/>
    </xf>
    <xf numFmtId="0" fontId="11" fillId="38" borderId="0" xfId="70" applyFont="1" applyFill="1" applyBorder="1" applyAlignment="1" applyProtection="1">
      <alignment horizontal="left" vertical="center" wrapText="1"/>
      <protection/>
    </xf>
    <xf numFmtId="0" fontId="11" fillId="38" borderId="0" xfId="70"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0"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0" applyFont="1" applyFill="1" applyBorder="1" applyAlignment="1" applyProtection="1">
      <alignment horizontal="left" vertical="center" wrapText="1"/>
      <protection/>
    </xf>
    <xf numFmtId="175" fontId="11" fillId="0" borderId="22" xfId="58" applyFont="1" applyFill="1" applyBorder="1" applyAlignment="1" applyProtection="1">
      <alignment horizontal="center" vertical="center" wrapText="1"/>
      <protection/>
    </xf>
    <xf numFmtId="174" fontId="0" fillId="0" borderId="0" xfId="62" applyFont="1" applyAlignment="1">
      <alignment vertical="center"/>
    </xf>
    <xf numFmtId="0" fontId="11" fillId="5" borderId="13" xfId="70" applyFont="1" applyFill="1" applyBorder="1" applyAlignment="1" applyProtection="1">
      <alignment horizontal="center" vertical="center" wrapText="1"/>
      <protection/>
    </xf>
    <xf numFmtId="0" fontId="11" fillId="0" borderId="22" xfId="70" applyFont="1" applyFill="1" applyBorder="1" applyAlignment="1" applyProtection="1">
      <alignment horizontal="center" vertical="center" wrapText="1"/>
      <protection/>
    </xf>
    <xf numFmtId="0" fontId="11" fillId="0" borderId="16" xfId="70" applyFont="1" applyFill="1" applyBorder="1" applyAlignment="1" applyProtection="1">
      <alignment horizontal="left" vertical="center" wrapText="1"/>
      <protection/>
    </xf>
    <xf numFmtId="0" fontId="11" fillId="11" borderId="38" xfId="70" applyFont="1" applyFill="1" applyBorder="1" applyAlignment="1" applyProtection="1">
      <alignment horizontal="left" vertical="center" wrapText="1"/>
      <protection/>
    </xf>
    <xf numFmtId="9" fontId="84"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82" fillId="0" borderId="0" xfId="62"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0" applyNumberFormat="1" applyFont="1" applyFill="1" applyBorder="1" applyAlignment="1" applyProtection="1">
      <alignment horizontal="center" vertical="center" wrapText="1"/>
      <protection/>
    </xf>
    <xf numFmtId="9" fontId="11" fillId="0" borderId="0" xfId="70" applyNumberFormat="1" applyFont="1" applyFill="1" applyBorder="1" applyAlignment="1" applyProtection="1">
      <alignment vertical="center" wrapText="1"/>
      <protection/>
    </xf>
    <xf numFmtId="0" fontId="82" fillId="0" borderId="0" xfId="0" applyFont="1" applyAlignment="1">
      <alignment vertical="center"/>
    </xf>
    <xf numFmtId="0" fontId="11" fillId="11" borderId="13" xfId="70"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0" applyNumberFormat="1" applyFont="1" applyFill="1" applyBorder="1" applyAlignment="1" applyProtection="1">
      <alignment horizontal="center" vertical="center" wrapText="1"/>
      <protection/>
    </xf>
    <xf numFmtId="0" fontId="11" fillId="0" borderId="13" xfId="70"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0" applyNumberFormat="1" applyFont="1" applyFill="1" applyBorder="1" applyAlignment="1" applyProtection="1">
      <alignment horizontal="center" vertical="center" wrapText="1"/>
      <protection/>
    </xf>
    <xf numFmtId="0" fontId="83" fillId="0" borderId="0" xfId="0" applyFont="1" applyAlignment="1">
      <alignment vertical="center"/>
    </xf>
    <xf numFmtId="0" fontId="85" fillId="11" borderId="41" xfId="0" applyFont="1" applyFill="1" applyBorder="1" applyAlignment="1">
      <alignment vertical="center"/>
    </xf>
    <xf numFmtId="0" fontId="85" fillId="11" borderId="42" xfId="0" applyFont="1" applyFill="1" applyBorder="1" applyAlignment="1">
      <alignment vertical="center"/>
    </xf>
    <xf numFmtId="0" fontId="85" fillId="11" borderId="0" xfId="0" applyFont="1" applyFill="1" applyBorder="1" applyAlignment="1">
      <alignment vertical="center"/>
    </xf>
    <xf numFmtId="0" fontId="85" fillId="11" borderId="43" xfId="0" applyFont="1" applyFill="1" applyBorder="1" applyAlignment="1">
      <alignment vertical="center"/>
    </xf>
    <xf numFmtId="0" fontId="85" fillId="11" borderId="15" xfId="0" applyFont="1" applyFill="1" applyBorder="1" applyAlignment="1">
      <alignment vertical="center"/>
    </xf>
    <xf numFmtId="0" fontId="85" fillId="11" borderId="44" xfId="0" applyFont="1" applyFill="1" applyBorder="1" applyAlignment="1">
      <alignment vertical="center"/>
    </xf>
    <xf numFmtId="0" fontId="85" fillId="11" borderId="13" xfId="0" applyFont="1" applyFill="1" applyBorder="1" applyAlignment="1">
      <alignment horizontal="center" vertical="center" wrapText="1"/>
    </xf>
    <xf numFmtId="0" fontId="83" fillId="0" borderId="13" xfId="0" applyFont="1" applyBorder="1" applyAlignment="1">
      <alignment horizontal="center" vertical="center"/>
    </xf>
    <xf numFmtId="0" fontId="83" fillId="0" borderId="13" xfId="0" applyFont="1" applyBorder="1" applyAlignment="1">
      <alignment horizontal="center" vertical="center" wrapText="1"/>
    </xf>
    <xf numFmtId="175" fontId="83" fillId="0" borderId="13" xfId="58" applyFont="1" applyBorder="1" applyAlignment="1">
      <alignment horizontal="center" vertical="center" wrapText="1"/>
    </xf>
    <xf numFmtId="0" fontId="83" fillId="0" borderId="13" xfId="0" applyFont="1" applyBorder="1" applyAlignment="1">
      <alignment vertical="center"/>
    </xf>
    <xf numFmtId="0" fontId="83"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6" fillId="11" borderId="13" xfId="0" applyFont="1" applyFill="1" applyBorder="1" applyAlignment="1">
      <alignment horizontal="center" vertical="center"/>
    </xf>
    <xf numFmtId="0" fontId="83" fillId="0" borderId="0" xfId="0" applyFont="1" applyAlignment="1">
      <alignment horizontal="center" vertical="center"/>
    </xf>
    <xf numFmtId="0" fontId="87" fillId="0" borderId="13" xfId="0" applyFont="1" applyBorder="1" applyAlignment="1">
      <alignment vertical="center"/>
    </xf>
    <xf numFmtId="0" fontId="86" fillId="11" borderId="13" xfId="0" applyFont="1" applyFill="1" applyBorder="1" applyAlignment="1">
      <alignment horizontal="left" vertical="center"/>
    </xf>
    <xf numFmtId="0" fontId="83" fillId="0" borderId="13" xfId="0" applyFont="1" applyBorder="1" applyAlignment="1">
      <alignment horizontal="left" vertical="center"/>
    </xf>
    <xf numFmtId="0" fontId="83" fillId="0" borderId="14" xfId="0" applyFont="1" applyFill="1" applyBorder="1" applyAlignment="1">
      <alignment horizontal="left" vertical="center"/>
    </xf>
    <xf numFmtId="0" fontId="83" fillId="0" borderId="13" xfId="0" applyFont="1" applyFill="1" applyBorder="1" applyAlignment="1">
      <alignment horizontal="left" vertical="center"/>
    </xf>
    <xf numFmtId="41" fontId="83" fillId="0" borderId="13" xfId="59" applyFont="1" applyFill="1" applyBorder="1" applyAlignment="1">
      <alignment vertical="center"/>
    </xf>
    <xf numFmtId="0" fontId="87" fillId="0" borderId="0" xfId="0" applyFont="1" applyAlignment="1">
      <alignment vertical="center"/>
    </xf>
    <xf numFmtId="0" fontId="16" fillId="0" borderId="13" xfId="0" applyFont="1" applyBorder="1" applyAlignment="1">
      <alignment horizontal="center" vertical="center" wrapText="1"/>
    </xf>
    <xf numFmtId="0" fontId="85" fillId="0" borderId="0" xfId="0" applyFont="1" applyAlignment="1">
      <alignment horizontal="left" vertical="center"/>
    </xf>
    <xf numFmtId="0" fontId="85" fillId="11" borderId="13" xfId="0" applyFont="1" applyFill="1" applyBorder="1" applyAlignment="1">
      <alignment vertical="center"/>
    </xf>
    <xf numFmtId="41" fontId="83" fillId="0" borderId="14" xfId="59" applyFont="1" applyFill="1" applyBorder="1" applyAlignment="1">
      <alignment vertical="center"/>
    </xf>
    <xf numFmtId="49" fontId="83" fillId="0" borderId="14" xfId="59" applyNumberFormat="1" applyFont="1" applyFill="1" applyBorder="1" applyAlignment="1">
      <alignment vertical="center"/>
    </xf>
    <xf numFmtId="49" fontId="83" fillId="0" borderId="13" xfId="59" applyNumberFormat="1" applyFont="1" applyFill="1" applyBorder="1" applyAlignment="1">
      <alignment vertical="center"/>
    </xf>
    <xf numFmtId="0" fontId="83" fillId="0" borderId="0" xfId="0" applyFont="1" applyAlignment="1">
      <alignment horizontal="left" vertical="center"/>
    </xf>
    <xf numFmtId="0" fontId="83" fillId="0" borderId="0" xfId="0" applyFont="1" applyFill="1" applyAlignment="1">
      <alignment horizontal="left" vertical="center"/>
    </xf>
    <xf numFmtId="0" fontId="85" fillId="17" borderId="13" xfId="0" applyFont="1" applyFill="1" applyBorder="1" applyAlignment="1">
      <alignment horizontal="center" vertical="center"/>
    </xf>
    <xf numFmtId="0" fontId="85" fillId="0" borderId="13" xfId="0" applyFont="1" applyFill="1" applyBorder="1" applyAlignment="1">
      <alignment horizontal="center" vertical="center"/>
    </xf>
    <xf numFmtId="0" fontId="83" fillId="0" borderId="16" xfId="0" applyFont="1" applyFill="1" applyBorder="1" applyAlignment="1">
      <alignment horizontal="left" vertical="center" wrapText="1"/>
    </xf>
    <xf numFmtId="0" fontId="83" fillId="0" borderId="13" xfId="0" applyFont="1" applyFill="1" applyBorder="1" applyAlignment="1">
      <alignment horizontal="left" vertical="center" wrapText="1"/>
    </xf>
    <xf numFmtId="0" fontId="85" fillId="0" borderId="13" xfId="0" applyFont="1" applyFill="1" applyBorder="1" applyAlignment="1">
      <alignment horizontal="center" vertical="center" wrapText="1"/>
    </xf>
    <xf numFmtId="0" fontId="83" fillId="0" borderId="13" xfId="0" applyFont="1" applyFill="1" applyBorder="1" applyAlignment="1">
      <alignment vertical="center" wrapText="1"/>
    </xf>
    <xf numFmtId="0" fontId="85" fillId="0" borderId="13" xfId="0" applyFont="1" applyFill="1" applyBorder="1" applyAlignment="1">
      <alignment vertical="center" wrapText="1"/>
    </xf>
    <xf numFmtId="0" fontId="83"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5" fillId="0" borderId="22" xfId="0" applyFont="1" applyFill="1" applyBorder="1" applyAlignment="1">
      <alignment horizontal="left" vertical="center" wrapText="1"/>
    </xf>
    <xf numFmtId="0" fontId="83" fillId="0" borderId="22" xfId="0" applyFont="1" applyFill="1" applyBorder="1" applyAlignment="1">
      <alignment horizontal="left" vertical="center"/>
    </xf>
    <xf numFmtId="0" fontId="11" fillId="5" borderId="13" xfId="70" applyFont="1" applyFill="1" applyBorder="1" applyAlignment="1" applyProtection="1">
      <alignment horizontal="center" vertical="center" wrapText="1"/>
      <protection/>
    </xf>
    <xf numFmtId="0" fontId="11" fillId="38" borderId="14" xfId="70" applyFont="1" applyFill="1" applyBorder="1" applyAlignment="1" applyProtection="1">
      <alignment horizontal="center" vertical="center" wrapText="1"/>
      <protection/>
    </xf>
    <xf numFmtId="0" fontId="11" fillId="38" borderId="17" xfId="70" applyFont="1" applyFill="1" applyBorder="1" applyAlignment="1" applyProtection="1">
      <alignment horizontal="center" vertical="center" wrapText="1"/>
      <protection/>
    </xf>
    <xf numFmtId="0" fontId="11" fillId="0" borderId="14" xfId="70" applyFont="1" applyFill="1" applyBorder="1" applyAlignment="1" applyProtection="1">
      <alignment horizontal="center" vertical="center" wrapText="1"/>
      <protection/>
    </xf>
    <xf numFmtId="0" fontId="11" fillId="0" borderId="45" xfId="70"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2"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0" applyFont="1" applyFill="1" applyBorder="1" applyAlignment="1" applyProtection="1">
      <alignment horizontal="center" vertical="center" wrapText="1"/>
      <protection/>
    </xf>
    <xf numFmtId="0" fontId="11" fillId="38" borderId="41" xfId="70" applyFont="1" applyFill="1" applyBorder="1" applyAlignment="1" applyProtection="1">
      <alignment horizontal="center" vertical="center" wrapText="1"/>
      <protection/>
    </xf>
    <xf numFmtId="0" fontId="11" fillId="38" borderId="42" xfId="70" applyFont="1" applyFill="1" applyBorder="1" applyAlignment="1" applyProtection="1">
      <alignment horizontal="center" vertical="center" wrapText="1"/>
      <protection/>
    </xf>
    <xf numFmtId="0" fontId="88" fillId="0" borderId="0" xfId="0" applyFont="1" applyFill="1" applyBorder="1" applyAlignment="1">
      <alignment horizontal="center" vertical="center"/>
    </xf>
    <xf numFmtId="0" fontId="8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0" applyFont="1" applyFill="1" applyBorder="1" applyAlignment="1" applyProtection="1">
      <alignment vertical="center" wrapText="1"/>
      <protection/>
    </xf>
    <xf numFmtId="0" fontId="11" fillId="0" borderId="0" xfId="70" applyFont="1" applyFill="1" applyBorder="1" applyAlignment="1" applyProtection="1">
      <alignment vertical="center" wrapText="1"/>
      <protection/>
    </xf>
    <xf numFmtId="0" fontId="13" fillId="0" borderId="0" xfId="70" applyFont="1" applyFill="1" applyBorder="1" applyAlignment="1" applyProtection="1">
      <alignment vertical="center" wrapText="1"/>
      <protection/>
    </xf>
    <xf numFmtId="0" fontId="10" fillId="0" borderId="0" xfId="70"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0" applyFont="1" applyFill="1" applyBorder="1" applyAlignment="1" applyProtection="1">
      <alignment vertical="center" wrapText="1"/>
      <protection/>
    </xf>
    <xf numFmtId="189" fontId="0" fillId="0" borderId="13" xfId="57" applyNumberFormat="1" applyFont="1" applyBorder="1" applyAlignment="1">
      <alignment vertical="center"/>
    </xf>
    <xf numFmtId="189" fontId="0" fillId="0" borderId="20" xfId="57" applyNumberFormat="1" applyFont="1" applyBorder="1" applyAlignment="1">
      <alignment vertical="center"/>
    </xf>
    <xf numFmtId="189" fontId="0" fillId="0" borderId="50" xfId="57" applyNumberFormat="1" applyFont="1" applyBorder="1" applyAlignment="1">
      <alignment vertical="center"/>
    </xf>
    <xf numFmtId="189" fontId="0" fillId="0" borderId="38" xfId="57" applyNumberFormat="1" applyFont="1" applyBorder="1" applyAlignment="1">
      <alignment vertical="center"/>
    </xf>
    <xf numFmtId="189" fontId="0" fillId="0" borderId="16" xfId="57" applyNumberFormat="1" applyFont="1" applyBorder="1" applyAlignment="1">
      <alignment vertical="center"/>
    </xf>
    <xf numFmtId="189" fontId="0" fillId="0" borderId="14" xfId="57" applyNumberFormat="1" applyFont="1" applyBorder="1" applyAlignment="1">
      <alignment vertical="center"/>
    </xf>
    <xf numFmtId="189" fontId="0" fillId="0" borderId="51" xfId="57" applyNumberFormat="1" applyFont="1" applyBorder="1" applyAlignment="1">
      <alignment vertical="center"/>
    </xf>
    <xf numFmtId="189" fontId="0" fillId="0" borderId="39" xfId="57"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2"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77" fontId="11" fillId="0" borderId="22" xfId="57"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0" fontId="10" fillId="0" borderId="37" xfId="70"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192" fontId="0" fillId="0" borderId="0" xfId="61" applyNumberFormat="1" applyFont="1" applyFill="1" applyBorder="1" applyAlignment="1">
      <alignment vertical="center"/>
    </xf>
    <xf numFmtId="9" fontId="10" fillId="38" borderId="13" xfId="0" applyNumberFormat="1" applyFont="1" applyFill="1" applyBorder="1" applyAlignment="1">
      <alignment horizontal="center" vertical="center" wrapText="1"/>
    </xf>
    <xf numFmtId="9" fontId="10" fillId="38" borderId="13" xfId="79" applyFont="1" applyFill="1" applyBorder="1" applyAlignment="1" applyProtection="1">
      <alignment horizontal="center" vertical="center" wrapText="1"/>
      <protection locked="0"/>
    </xf>
    <xf numFmtId="192" fontId="0" fillId="0" borderId="0" xfId="61" applyNumberFormat="1" applyFont="1" applyFill="1" applyBorder="1" applyAlignment="1">
      <alignment vertical="center"/>
    </xf>
    <xf numFmtId="0" fontId="83" fillId="0" borderId="13" xfId="0" applyFont="1" applyFill="1" applyBorder="1" applyAlignment="1">
      <alignment horizontal="center" vertical="center" wrapText="1"/>
    </xf>
    <xf numFmtId="175" fontId="83" fillId="0" borderId="13" xfId="58" applyFont="1" applyFill="1" applyBorder="1" applyAlignment="1">
      <alignment horizontal="center" vertical="center"/>
    </xf>
    <xf numFmtId="9" fontId="4" fillId="0" borderId="13" xfId="0" applyNumberFormat="1" applyFont="1" applyFill="1" applyBorder="1" applyAlignment="1">
      <alignment vertical="center" wrapText="1"/>
    </xf>
    <xf numFmtId="0" fontId="83" fillId="0" borderId="13" xfId="0" applyFont="1" applyFill="1" applyBorder="1" applyAlignment="1">
      <alignment vertical="center"/>
    </xf>
    <xf numFmtId="9" fontId="83" fillId="0" borderId="13" xfId="0" applyNumberFormat="1" applyFont="1" applyFill="1" applyBorder="1" applyAlignment="1">
      <alignment vertical="center"/>
    </xf>
    <xf numFmtId="9" fontId="83" fillId="0" borderId="13" xfId="78" applyNumberFormat="1" applyFont="1" applyFill="1" applyBorder="1" applyAlignment="1">
      <alignment horizontal="center" vertical="center"/>
    </xf>
    <xf numFmtId="0" fontId="83" fillId="0" borderId="13" xfId="78" applyNumberFormat="1" applyFont="1" applyFill="1" applyBorder="1" applyAlignment="1">
      <alignment vertical="center"/>
    </xf>
    <xf numFmtId="0" fontId="83" fillId="0" borderId="0" xfId="0" applyFont="1" applyFill="1" applyAlignment="1">
      <alignment vertical="center"/>
    </xf>
    <xf numFmtId="9" fontId="0" fillId="0" borderId="0" xfId="0" applyNumberFormat="1" applyFont="1" applyFill="1" applyAlignment="1">
      <alignment vertical="center"/>
    </xf>
    <xf numFmtId="9" fontId="11" fillId="0" borderId="22" xfId="70" applyNumberFormat="1" applyFont="1" applyFill="1" applyBorder="1" applyAlignment="1" applyProtection="1">
      <alignment horizontal="center" vertical="center" wrapText="1"/>
      <protection/>
    </xf>
    <xf numFmtId="189" fontId="0" fillId="0" borderId="13" xfId="57" applyNumberFormat="1" applyFont="1" applyFill="1" applyBorder="1" applyAlignment="1">
      <alignment vertical="center"/>
    </xf>
    <xf numFmtId="189" fontId="0" fillId="0" borderId="20" xfId="57" applyNumberFormat="1" applyFont="1" applyFill="1" applyBorder="1" applyAlignment="1">
      <alignment vertical="center"/>
    </xf>
    <xf numFmtId="9" fontId="10" fillId="0" borderId="22" xfId="78" applyFont="1" applyFill="1" applyBorder="1" applyAlignment="1" applyProtection="1">
      <alignment horizontal="center" vertical="center" wrapText="1"/>
      <protection/>
    </xf>
    <xf numFmtId="175" fontId="83" fillId="0" borderId="13" xfId="58" applyFont="1" applyFill="1" applyBorder="1" applyAlignment="1">
      <alignment horizontal="center" vertical="center" wrapText="1"/>
    </xf>
    <xf numFmtId="199" fontId="4" fillId="0" borderId="13" xfId="58" applyNumberFormat="1" applyFont="1" applyFill="1" applyBorder="1" applyAlignment="1">
      <alignment vertical="center" wrapText="1"/>
    </xf>
    <xf numFmtId="0" fontId="83" fillId="0" borderId="14" xfId="0" applyFont="1" applyFill="1" applyBorder="1" applyAlignment="1">
      <alignment horizontal="center" vertical="center"/>
    </xf>
    <xf numFmtId="0" fontId="10" fillId="0" borderId="22" xfId="70" applyFont="1" applyFill="1" applyBorder="1" applyAlignment="1" applyProtection="1">
      <alignment horizontal="left" vertical="center" wrapText="1"/>
      <protection/>
    </xf>
    <xf numFmtId="0" fontId="10" fillId="0" borderId="13" xfId="70" applyFont="1" applyFill="1" applyBorder="1" applyAlignment="1" applyProtection="1">
      <alignment horizontal="left" vertical="center" wrapText="1"/>
      <protection/>
    </xf>
    <xf numFmtId="9" fontId="83" fillId="0" borderId="13" xfId="78" applyFont="1" applyFill="1" applyBorder="1" applyAlignment="1">
      <alignment horizontal="center" vertical="center"/>
    </xf>
    <xf numFmtId="9" fontId="83" fillId="0" borderId="13" xfId="78" applyFont="1" applyFill="1" applyBorder="1" applyAlignment="1">
      <alignment vertical="center"/>
    </xf>
    <xf numFmtId="0" fontId="83" fillId="0" borderId="0" xfId="0" applyFont="1" applyFill="1" applyAlignment="1">
      <alignment vertical="center" wrapText="1"/>
    </xf>
    <xf numFmtId="0" fontId="83" fillId="0" borderId="22" xfId="0" applyFont="1" applyFill="1" applyBorder="1" applyAlignment="1">
      <alignment vertical="center" wrapText="1"/>
    </xf>
    <xf numFmtId="0" fontId="10" fillId="0" borderId="13" xfId="0" applyFont="1" applyFill="1" applyBorder="1" applyAlignment="1">
      <alignment horizontal="center" vertical="center" wrapText="1"/>
    </xf>
    <xf numFmtId="9" fontId="83" fillId="0" borderId="13" xfId="78"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22" xfId="0" applyFont="1" applyFill="1" applyBorder="1" applyAlignment="1">
      <alignment horizontal="center" vertical="center" wrapText="1"/>
    </xf>
    <xf numFmtId="9" fontId="83" fillId="0" borderId="13" xfId="0" applyNumberFormat="1" applyFont="1" applyFill="1" applyBorder="1" applyAlignment="1">
      <alignment horizontal="center" vertical="center" wrapText="1"/>
    </xf>
    <xf numFmtId="0" fontId="83" fillId="0" borderId="54" xfId="0" applyFont="1" applyFill="1" applyBorder="1" applyAlignment="1">
      <alignment vertical="center"/>
    </xf>
    <xf numFmtId="9" fontId="84" fillId="0" borderId="13" xfId="78" applyFont="1" applyFill="1" applyBorder="1" applyAlignment="1">
      <alignment horizontal="center" vertical="center"/>
    </xf>
    <xf numFmtId="9" fontId="10" fillId="0" borderId="22" xfId="70" applyNumberFormat="1" applyFont="1" applyFill="1" applyBorder="1" applyAlignment="1" applyProtection="1">
      <alignment horizontal="center" vertical="center" wrapText="1"/>
      <protection/>
    </xf>
    <xf numFmtId="9" fontId="10" fillId="0" borderId="22" xfId="0" applyNumberFormat="1" applyFont="1" applyFill="1" applyBorder="1" applyAlignment="1">
      <alignment horizontal="center" vertical="center" wrapText="1"/>
    </xf>
    <xf numFmtId="0" fontId="83" fillId="0" borderId="17" xfId="0" applyFont="1" applyFill="1" applyBorder="1" applyAlignment="1">
      <alignment horizontal="center" vertical="center"/>
    </xf>
    <xf numFmtId="175" fontId="10" fillId="0" borderId="16" xfId="58" applyFont="1" applyFill="1" applyBorder="1" applyAlignment="1" applyProtection="1">
      <alignment horizontal="center" vertical="center" wrapText="1"/>
      <protection locked="0"/>
    </xf>
    <xf numFmtId="198" fontId="83" fillId="0" borderId="13" xfId="58" applyNumberFormat="1" applyFont="1" applyFill="1" applyBorder="1" applyAlignment="1">
      <alignment vertical="center"/>
    </xf>
    <xf numFmtId="175" fontId="83" fillId="0" borderId="13" xfId="58" applyFont="1" applyFill="1" applyBorder="1" applyAlignment="1">
      <alignment vertical="center"/>
    </xf>
    <xf numFmtId="10" fontId="83" fillId="0" borderId="13" xfId="0" applyNumberFormat="1" applyFont="1" applyFill="1" applyBorder="1" applyAlignment="1">
      <alignment vertical="center"/>
    </xf>
    <xf numFmtId="0" fontId="83" fillId="0" borderId="22" xfId="0" applyFont="1" applyBorder="1" applyAlignment="1">
      <alignment horizontal="center" vertical="center"/>
    </xf>
    <xf numFmtId="0" fontId="83" fillId="0" borderId="22" xfId="0" applyFont="1" applyBorder="1" applyAlignment="1">
      <alignment horizontal="center" vertical="center" wrapText="1"/>
    </xf>
    <xf numFmtId="0" fontId="89" fillId="0" borderId="0" xfId="0" applyFont="1" applyAlignment="1">
      <alignment horizontal="center" vertical="center" wrapText="1"/>
    </xf>
    <xf numFmtId="9" fontId="83" fillId="0" borderId="13" xfId="0" applyNumberFormat="1" applyFont="1" applyBorder="1" applyAlignment="1">
      <alignment horizontal="center" vertical="center" wrapText="1"/>
    </xf>
    <xf numFmtId="9" fontId="83" fillId="0" borderId="13" xfId="58" applyNumberFormat="1" applyFont="1" applyFill="1" applyBorder="1" applyAlignment="1">
      <alignment horizontal="center" vertical="center"/>
    </xf>
    <xf numFmtId="9" fontId="83" fillId="0" borderId="13" xfId="78" applyFont="1" applyBorder="1" applyAlignment="1">
      <alignment horizontal="center" vertical="center"/>
    </xf>
    <xf numFmtId="0" fontId="83" fillId="0" borderId="54" xfId="0" applyFont="1" applyBorder="1" applyAlignment="1">
      <alignment vertical="center"/>
    </xf>
    <xf numFmtId="0" fontId="89" fillId="0" borderId="13" xfId="0" applyFont="1" applyBorder="1" applyAlignment="1">
      <alignment horizontal="center" vertical="center" wrapText="1"/>
    </xf>
    <xf numFmtId="209" fontId="83" fillId="0" borderId="13" xfId="58" applyNumberFormat="1" applyFont="1" applyFill="1" applyBorder="1" applyAlignment="1">
      <alignment horizontal="center" vertical="center"/>
    </xf>
    <xf numFmtId="209" fontId="11" fillId="0" borderId="22" xfId="70" applyNumberFormat="1" applyFont="1" applyFill="1" applyBorder="1" applyAlignment="1" applyProtection="1">
      <alignment horizontal="center" vertical="center" wrapText="1"/>
      <protection/>
    </xf>
    <xf numFmtId="9" fontId="83" fillId="11" borderId="38" xfId="80" applyFont="1" applyFill="1" applyBorder="1" applyAlignment="1" applyProtection="1">
      <alignment horizontal="center" vertical="center" wrapText="1"/>
      <protection/>
    </xf>
    <xf numFmtId="0" fontId="11" fillId="38" borderId="55" xfId="70" applyFont="1" applyFill="1" applyBorder="1" applyAlignment="1">
      <alignment vertical="center" wrapText="1"/>
      <protection/>
    </xf>
    <xf numFmtId="0" fontId="11" fillId="38" borderId="56" xfId="70" applyFont="1" applyFill="1" applyBorder="1" applyAlignment="1">
      <alignment vertical="center" wrapText="1"/>
      <protection/>
    </xf>
    <xf numFmtId="199" fontId="11" fillId="0" borderId="56" xfId="70" applyNumberFormat="1" applyFont="1" applyFill="1" applyBorder="1" applyAlignment="1">
      <alignment horizontal="center" vertical="center" wrapText="1"/>
      <protection/>
    </xf>
    <xf numFmtId="199" fontId="11" fillId="0" borderId="57" xfId="70" applyNumberFormat="1" applyFont="1" applyFill="1" applyBorder="1" applyAlignment="1">
      <alignment vertical="center" wrapText="1"/>
      <protection/>
    </xf>
    <xf numFmtId="199" fontId="11" fillId="0" borderId="58" xfId="70" applyNumberFormat="1" applyFont="1" applyFill="1" applyBorder="1" applyAlignment="1">
      <alignment vertical="center" wrapText="1"/>
      <protection/>
    </xf>
    <xf numFmtId="0" fontId="38" fillId="0" borderId="0" xfId="0" applyFont="1" applyAlignment="1">
      <alignment/>
    </xf>
    <xf numFmtId="0" fontId="11" fillId="11" borderId="22" xfId="0" applyFont="1" applyFill="1" applyBorder="1" applyAlignment="1">
      <alignment horizontal="center" vertical="center" wrapText="1"/>
    </xf>
    <xf numFmtId="175" fontId="83" fillId="0" borderId="13" xfId="58" applyFont="1" applyFill="1" applyBorder="1" applyAlignment="1">
      <alignment horizontal="left" vertical="center" wrapText="1"/>
    </xf>
    <xf numFmtId="9" fontId="83" fillId="0" borderId="13" xfId="0" applyNumberFormat="1" applyFont="1" applyFill="1" applyBorder="1" applyAlignment="1">
      <alignment horizontal="center" vertical="center"/>
    </xf>
    <xf numFmtId="0" fontId="84" fillId="0" borderId="13" xfId="0" applyFont="1" applyFill="1" applyBorder="1" applyAlignment="1">
      <alignment vertical="center"/>
    </xf>
    <xf numFmtId="0" fontId="10" fillId="0" borderId="22" xfId="0" applyFont="1" applyFill="1" applyBorder="1" applyAlignment="1">
      <alignment horizontal="center" vertical="center" wrapText="1"/>
    </xf>
    <xf numFmtId="9" fontId="83" fillId="0" borderId="13" xfId="78" applyFont="1" applyFill="1" applyBorder="1" applyAlignment="1">
      <alignment horizontal="right" vertical="center" wrapText="1"/>
    </xf>
    <xf numFmtId="9" fontId="83" fillId="0" borderId="0" xfId="0" applyNumberFormat="1" applyFont="1" applyFill="1" applyAlignment="1">
      <alignment vertical="center"/>
    </xf>
    <xf numFmtId="0" fontId="10" fillId="0" borderId="17" xfId="0" applyFont="1" applyFill="1" applyBorder="1" applyAlignment="1">
      <alignment horizontal="center" vertical="center" wrapText="1"/>
    </xf>
    <xf numFmtId="0" fontId="83" fillId="0" borderId="16" xfId="0" applyFont="1" applyFill="1" applyBorder="1" applyAlignment="1">
      <alignment vertical="center" wrapText="1"/>
    </xf>
    <xf numFmtId="0" fontId="83" fillId="0" borderId="0" xfId="0" applyFont="1" applyBorder="1" applyAlignment="1">
      <alignment vertical="center"/>
    </xf>
    <xf numFmtId="0" fontId="83" fillId="0" borderId="22" xfId="0" applyFont="1" applyFill="1" applyBorder="1" applyAlignment="1">
      <alignment vertical="center"/>
    </xf>
    <xf numFmtId="0" fontId="90" fillId="0" borderId="13" xfId="0" applyFont="1" applyFill="1" applyBorder="1" applyAlignment="1">
      <alignment horizontal="left" vertical="center" wrapText="1"/>
    </xf>
    <xf numFmtId="0" fontId="90" fillId="0" borderId="13" xfId="0" applyFont="1" applyFill="1" applyBorder="1" applyAlignment="1">
      <alignment horizontal="center" vertical="center" wrapText="1"/>
    </xf>
    <xf numFmtId="0" fontId="90" fillId="0" borderId="13" xfId="0" applyFont="1" applyFill="1" applyBorder="1" applyAlignment="1">
      <alignment horizontal="center" vertical="center"/>
    </xf>
    <xf numFmtId="9" fontId="90" fillId="0" borderId="13" xfId="78" applyFont="1" applyFill="1" applyBorder="1" applyAlignment="1">
      <alignment horizontal="center" vertical="center" wrapText="1"/>
    </xf>
    <xf numFmtId="175" fontId="90" fillId="0" borderId="13" xfId="58" applyFont="1" applyFill="1" applyBorder="1" applyAlignment="1">
      <alignment horizontal="center" vertical="center" wrapText="1"/>
    </xf>
    <xf numFmtId="175" fontId="90" fillId="0" borderId="13" xfId="58" applyFont="1" applyFill="1" applyBorder="1" applyAlignment="1">
      <alignment horizontal="left" vertical="center" wrapText="1"/>
    </xf>
    <xf numFmtId="0" fontId="83" fillId="0" borderId="0" xfId="0" applyFont="1" applyFill="1" applyBorder="1" applyAlignment="1">
      <alignment vertical="center"/>
    </xf>
    <xf numFmtId="0" fontId="90" fillId="0" borderId="13" xfId="0" applyFont="1" applyFill="1" applyBorder="1" applyAlignment="1">
      <alignment vertical="center" wrapText="1"/>
    </xf>
    <xf numFmtId="0" fontId="83" fillId="0" borderId="0" xfId="0" applyFont="1" applyAlignment="1">
      <alignment horizontal="left" vertical="center" indent="1"/>
    </xf>
    <xf numFmtId="0" fontId="83" fillId="0" borderId="13" xfId="78" applyNumberFormat="1" applyFont="1" applyFill="1" applyBorder="1" applyAlignment="1">
      <alignment vertical="center" wrapText="1"/>
    </xf>
    <xf numFmtId="9" fontId="83" fillId="0" borderId="13" xfId="78" applyFont="1" applyFill="1" applyBorder="1" applyAlignment="1">
      <alignment vertical="center" wrapText="1"/>
    </xf>
    <xf numFmtId="0" fontId="83" fillId="0" borderId="0" xfId="0" applyFont="1" applyAlignment="1">
      <alignment vertical="center" wrapText="1"/>
    </xf>
    <xf numFmtId="10" fontId="83" fillId="0" borderId="13" xfId="78" applyNumberFormat="1" applyFont="1" applyFill="1" applyBorder="1" applyAlignment="1">
      <alignment vertical="center"/>
    </xf>
    <xf numFmtId="0" fontId="83" fillId="0" borderId="16" xfId="0" applyFont="1" applyFill="1" applyBorder="1" applyAlignment="1">
      <alignment horizontal="center" vertical="center" wrapText="1"/>
    </xf>
    <xf numFmtId="0" fontId="83" fillId="0" borderId="13" xfId="78" applyNumberFormat="1" applyFont="1" applyFill="1" applyBorder="1" applyAlignment="1">
      <alignment vertical="top" wrapText="1"/>
    </xf>
    <xf numFmtId="9" fontId="83" fillId="0" borderId="13" xfId="78" applyFont="1" applyFill="1" applyBorder="1" applyAlignment="1">
      <alignment vertical="top" wrapText="1"/>
    </xf>
    <xf numFmtId="10" fontId="83" fillId="0" borderId="13" xfId="0" applyNumberFormat="1" applyFont="1" applyFill="1" applyBorder="1" applyAlignment="1">
      <alignment horizontal="center" vertical="center"/>
    </xf>
    <xf numFmtId="0" fontId="22" fillId="0" borderId="13" xfId="78" applyNumberFormat="1" applyFont="1" applyBorder="1" applyAlignment="1">
      <alignment horizontal="left" vertical="center" wrapText="1"/>
    </xf>
    <xf numFmtId="189" fontId="0" fillId="0" borderId="38" xfId="57" applyNumberFormat="1" applyFont="1" applyFill="1" applyBorder="1" applyAlignment="1">
      <alignment vertical="center"/>
    </xf>
    <xf numFmtId="0" fontId="11" fillId="11" borderId="22" xfId="0" applyFont="1" applyFill="1" applyBorder="1" applyAlignment="1">
      <alignment horizontal="center" vertical="center" wrapText="1"/>
    </xf>
    <xf numFmtId="199" fontId="83" fillId="0" borderId="13" xfId="58" applyNumberFormat="1" applyFont="1" applyFill="1" applyBorder="1" applyAlignment="1">
      <alignment vertical="center"/>
    </xf>
    <xf numFmtId="0" fontId="85" fillId="0" borderId="13" xfId="0" applyFont="1" applyBorder="1" applyAlignment="1">
      <alignment horizontal="center" vertical="center"/>
    </xf>
    <xf numFmtId="0" fontId="0" fillId="0" borderId="0" xfId="0" applyAlignment="1">
      <alignment horizontal="center"/>
    </xf>
    <xf numFmtId="9" fontId="83" fillId="38" borderId="13" xfId="0" applyNumberFormat="1" applyFont="1" applyFill="1" applyBorder="1" applyAlignment="1">
      <alignment horizontal="center" vertical="center"/>
    </xf>
    <xf numFmtId="9" fontId="83" fillId="0" borderId="13" xfId="78" applyFont="1" applyFill="1" applyBorder="1" applyAlignment="1">
      <alignment horizontal="justify" vertical="center" wrapText="1"/>
    </xf>
    <xf numFmtId="175" fontId="11" fillId="0" borderId="22" xfId="58" applyFont="1" applyFill="1" applyBorder="1" applyAlignment="1" applyProtection="1">
      <alignment vertical="center" wrapText="1"/>
      <protection/>
    </xf>
    <xf numFmtId="9" fontId="11" fillId="0" borderId="22" xfId="70" applyNumberFormat="1" applyFont="1" applyFill="1" applyBorder="1" applyAlignment="1" applyProtection="1">
      <alignment vertical="center" wrapText="1"/>
      <protection/>
    </xf>
    <xf numFmtId="1" fontId="11" fillId="0" borderId="22" xfId="70" applyNumberFormat="1" applyFont="1" applyFill="1" applyBorder="1" applyAlignment="1" applyProtection="1">
      <alignment horizontal="center" vertical="center" wrapText="1"/>
      <protection/>
    </xf>
    <xf numFmtId="9" fontId="83" fillId="0" borderId="13" xfId="78" applyNumberFormat="1" applyFont="1" applyFill="1" applyBorder="1" applyAlignment="1">
      <alignment vertical="center"/>
    </xf>
    <xf numFmtId="0" fontId="83" fillId="0" borderId="13" xfId="0" applyFont="1" applyBorder="1" applyAlignment="1">
      <alignment vertical="center" wrapText="1"/>
    </xf>
    <xf numFmtId="9" fontId="10" fillId="0" borderId="13" xfId="78" applyFont="1" applyFill="1" applyBorder="1" applyAlignment="1">
      <alignment vertical="center" wrapText="1"/>
    </xf>
    <xf numFmtId="175" fontId="0" fillId="0" borderId="0" xfId="58" applyFont="1" applyAlignment="1">
      <alignment/>
    </xf>
    <xf numFmtId="175" fontId="0" fillId="0" borderId="13" xfId="58" applyFont="1" applyBorder="1" applyAlignment="1">
      <alignment/>
    </xf>
    <xf numFmtId="0" fontId="0" fillId="0" borderId="13" xfId="0" applyBorder="1" applyAlignment="1">
      <alignment/>
    </xf>
    <xf numFmtId="0" fontId="82" fillId="0" borderId="0" xfId="0" applyFont="1" applyAlignment="1">
      <alignment/>
    </xf>
    <xf numFmtId="175" fontId="82" fillId="0" borderId="13" xfId="58" applyFont="1" applyBorder="1" applyAlignment="1">
      <alignment/>
    </xf>
    <xf numFmtId="0" fontId="0" fillId="0" borderId="13" xfId="0" applyBorder="1" applyAlignment="1">
      <alignment horizontal="center"/>
    </xf>
    <xf numFmtId="0" fontId="82" fillId="0" borderId="13" xfId="0" applyFont="1" applyBorder="1" applyAlignment="1">
      <alignment horizontal="center"/>
    </xf>
    <xf numFmtId="175" fontId="82" fillId="0" borderId="0" xfId="0" applyNumberFormat="1" applyFont="1" applyAlignment="1">
      <alignment/>
    </xf>
    <xf numFmtId="3" fontId="0" fillId="0" borderId="0" xfId="0" applyNumberFormat="1" applyAlignment="1">
      <alignment/>
    </xf>
    <xf numFmtId="9" fontId="83" fillId="38" borderId="13" xfId="78" applyFont="1" applyFill="1" applyBorder="1" applyAlignment="1">
      <alignment horizontal="left" vertical="center" wrapText="1"/>
    </xf>
    <xf numFmtId="0" fontId="83" fillId="38" borderId="13" xfId="0" applyFont="1" applyFill="1" applyBorder="1" applyAlignment="1">
      <alignment horizontal="left" vertical="center" wrapText="1"/>
    </xf>
    <xf numFmtId="175" fontId="82" fillId="42" borderId="13" xfId="58" applyFont="1" applyFill="1" applyBorder="1" applyAlignment="1">
      <alignment/>
    </xf>
    <xf numFmtId="175" fontId="0" fillId="42" borderId="13" xfId="0" applyNumberFormat="1" applyFill="1" applyBorder="1" applyAlignment="1">
      <alignment/>
    </xf>
    <xf numFmtId="0" fontId="0" fillId="42" borderId="0" xfId="0" applyFill="1" applyAlignment="1">
      <alignment/>
    </xf>
    <xf numFmtId="175" fontId="0" fillId="42" borderId="0" xfId="58" applyFont="1" applyFill="1" applyAlignment="1">
      <alignment/>
    </xf>
    <xf numFmtId="175" fontId="82" fillId="0" borderId="0" xfId="58" applyFont="1" applyAlignment="1">
      <alignment/>
    </xf>
    <xf numFmtId="10" fontId="82" fillId="0" borderId="0" xfId="78" applyNumberFormat="1" applyFont="1" applyAlignment="1">
      <alignment/>
    </xf>
    <xf numFmtId="0" fontId="11" fillId="5" borderId="13" xfId="70" applyFont="1" applyFill="1" applyBorder="1" applyAlignment="1" applyProtection="1">
      <alignment horizontal="center" vertical="center" wrapText="1"/>
      <protection/>
    </xf>
    <xf numFmtId="175" fontId="0" fillId="0" borderId="0" xfId="58" applyFont="1" applyAlignment="1">
      <alignment/>
    </xf>
    <xf numFmtId="189" fontId="0" fillId="0" borderId="51" xfId="57" applyNumberFormat="1" applyFont="1" applyFill="1" applyBorder="1" applyAlignment="1">
      <alignment vertical="center"/>
    </xf>
    <xf numFmtId="189" fontId="0" fillId="0" borderId="16" xfId="57" applyNumberFormat="1" applyFont="1" applyFill="1" applyBorder="1" applyAlignment="1">
      <alignment vertical="center"/>
    </xf>
    <xf numFmtId="189" fontId="0" fillId="0" borderId="50" xfId="57" applyNumberFormat="1" applyFont="1" applyFill="1" applyBorder="1" applyAlignment="1">
      <alignment vertical="center"/>
    </xf>
    <xf numFmtId="9" fontId="10" fillId="11" borderId="38" xfId="78" applyNumberFormat="1" applyFont="1" applyFill="1" applyBorder="1" applyAlignment="1" applyProtection="1">
      <alignment horizontal="center" vertical="center" wrapText="1"/>
      <protection locked="0"/>
    </xf>
    <xf numFmtId="175" fontId="0" fillId="0" borderId="13" xfId="58" applyFont="1" applyBorder="1" applyAlignment="1">
      <alignment/>
    </xf>
    <xf numFmtId="0" fontId="91" fillId="0" borderId="0" xfId="0" applyFont="1" applyFill="1" applyAlignment="1">
      <alignment horizontal="left" vertical="center" wrapText="1"/>
    </xf>
    <xf numFmtId="0" fontId="83" fillId="38" borderId="13" xfId="78" applyNumberFormat="1" applyFont="1" applyFill="1" applyBorder="1" applyAlignment="1">
      <alignment vertical="top" wrapText="1"/>
    </xf>
    <xf numFmtId="9" fontId="10" fillId="11" borderId="38" xfId="78" applyNumberFormat="1" applyFont="1" applyFill="1" applyBorder="1" applyAlignment="1" applyProtection="1">
      <alignment horizontal="center" vertical="center" wrapText="1"/>
      <protection/>
    </xf>
    <xf numFmtId="9" fontId="0" fillId="0" borderId="21" xfId="78" applyFont="1" applyBorder="1" applyAlignment="1">
      <alignment horizontal="center" vertical="center"/>
    </xf>
    <xf numFmtId="9" fontId="0" fillId="0" borderId="52" xfId="78" applyFont="1" applyBorder="1" applyAlignment="1">
      <alignment horizontal="center" vertical="center"/>
    </xf>
    <xf numFmtId="9" fontId="11" fillId="0" borderId="22" xfId="78" applyNumberFormat="1" applyFont="1" applyFill="1" applyBorder="1" applyAlignment="1" applyProtection="1">
      <alignment horizontal="center" vertical="center" wrapText="1"/>
      <protection/>
    </xf>
    <xf numFmtId="9" fontId="83" fillId="11" borderId="38" xfId="80" applyNumberFormat="1" applyFont="1" applyFill="1" applyBorder="1" applyAlignment="1" applyProtection="1">
      <alignment horizontal="center" vertical="center" wrapText="1"/>
      <protection/>
    </xf>
    <xf numFmtId="9" fontId="0" fillId="0" borderId="13" xfId="78" applyFont="1" applyFill="1" applyBorder="1" applyAlignment="1">
      <alignment vertical="center"/>
    </xf>
    <xf numFmtId="0" fontId="23" fillId="0" borderId="13" xfId="0" applyFont="1" applyBorder="1" applyAlignment="1">
      <alignment horizontal="left" vertical="center" wrapText="1"/>
    </xf>
    <xf numFmtId="0" fontId="92" fillId="0" borderId="13" xfId="0" applyFont="1" applyBorder="1" applyAlignment="1">
      <alignment horizontal="left" vertical="center" wrapText="1"/>
    </xf>
    <xf numFmtId="9" fontId="82" fillId="0" borderId="0" xfId="78" applyFont="1" applyAlignment="1">
      <alignment/>
    </xf>
    <xf numFmtId="199" fontId="82" fillId="0" borderId="0" xfId="58" applyNumberFormat="1" applyFont="1" applyAlignment="1">
      <alignment/>
    </xf>
    <xf numFmtId="43" fontId="0" fillId="0" borderId="0" xfId="0" applyNumberFormat="1" applyAlignment="1">
      <alignment/>
    </xf>
    <xf numFmtId="199" fontId="0" fillId="0" borderId="0" xfId="0" applyNumberFormat="1" applyAlignment="1">
      <alignment/>
    </xf>
    <xf numFmtId="0" fontId="82" fillId="0" borderId="0" xfId="0" applyFont="1" applyAlignment="1">
      <alignment horizontal="center"/>
    </xf>
    <xf numFmtId="199" fontId="82" fillId="42" borderId="0" xfId="58" applyNumberFormat="1" applyFont="1" applyFill="1" applyAlignment="1">
      <alignment/>
    </xf>
    <xf numFmtId="0" fontId="0" fillId="0" borderId="0" xfId="0" applyFont="1" applyAlignment="1">
      <alignment/>
    </xf>
    <xf numFmtId="2" fontId="83" fillId="0" borderId="13" xfId="0" applyNumberFormat="1" applyFont="1" applyFill="1" applyBorder="1" applyAlignment="1">
      <alignment vertical="center"/>
    </xf>
    <xf numFmtId="175" fontId="0" fillId="0" borderId="0" xfId="58" applyFont="1" applyAlignment="1">
      <alignment/>
    </xf>
    <xf numFmtId="9" fontId="83" fillId="0" borderId="0" xfId="78" applyFont="1" applyFill="1" applyAlignment="1">
      <alignment vertical="center"/>
    </xf>
    <xf numFmtId="9" fontId="83" fillId="38" borderId="13" xfId="0" applyNumberFormat="1" applyFont="1" applyFill="1" applyBorder="1" applyAlignment="1">
      <alignment vertical="center"/>
    </xf>
    <xf numFmtId="175" fontId="0" fillId="0" borderId="13" xfId="58" applyFont="1" applyBorder="1" applyAlignment="1">
      <alignment/>
    </xf>
    <xf numFmtId="175" fontId="0" fillId="0" borderId="13" xfId="0" applyNumberFormat="1" applyBorder="1" applyAlignment="1">
      <alignment/>
    </xf>
    <xf numFmtId="175" fontId="0" fillId="0" borderId="0" xfId="58" applyFont="1" applyAlignment="1">
      <alignment/>
    </xf>
    <xf numFmtId="9" fontId="82" fillId="29" borderId="0" xfId="78" applyFont="1" applyFill="1" applyAlignment="1">
      <alignment/>
    </xf>
    <xf numFmtId="175" fontId="0" fillId="0" borderId="0" xfId="0" applyNumberFormat="1" applyAlignment="1">
      <alignment/>
    </xf>
    <xf numFmtId="175" fontId="11" fillId="38" borderId="0" xfId="58" applyFont="1" applyFill="1" applyBorder="1" applyAlignment="1" applyProtection="1">
      <alignment horizontal="left" vertical="center" wrapText="1"/>
      <protection/>
    </xf>
    <xf numFmtId="175" fontId="0" fillId="0" borderId="13" xfId="58" applyFont="1" applyBorder="1" applyAlignment="1">
      <alignment/>
    </xf>
    <xf numFmtId="9" fontId="83" fillId="0" borderId="13" xfId="0" applyNumberFormat="1" applyFont="1" applyBorder="1" applyAlignment="1">
      <alignment vertical="center"/>
    </xf>
    <xf numFmtId="10" fontId="83" fillId="0" borderId="13" xfId="0" applyNumberFormat="1" applyFont="1" applyBorder="1" applyAlignment="1">
      <alignment vertical="center"/>
    </xf>
    <xf numFmtId="9" fontId="83" fillId="0" borderId="13" xfId="0" applyNumberFormat="1" applyFont="1" applyBorder="1" applyAlignment="1">
      <alignment horizontal="center" vertical="center"/>
    </xf>
    <xf numFmtId="0" fontId="0" fillId="0" borderId="0" xfId="0" applyAlignment="1">
      <alignment horizontal="center"/>
    </xf>
    <xf numFmtId="199" fontId="83" fillId="0" borderId="13" xfId="0" applyNumberFormat="1" applyFont="1" applyFill="1" applyBorder="1" applyAlignment="1">
      <alignment horizontal="center" vertical="center"/>
    </xf>
    <xf numFmtId="0" fontId="93" fillId="0" borderId="0" xfId="0" applyFont="1" applyFill="1" applyAlignment="1">
      <alignment horizontal="center" vertical="center" wrapText="1"/>
    </xf>
    <xf numFmtId="189" fontId="83" fillId="0" borderId="13" xfId="0" applyNumberFormat="1" applyFont="1" applyBorder="1" applyAlignment="1">
      <alignment vertical="center"/>
    </xf>
    <xf numFmtId="177" fontId="83" fillId="0" borderId="13" xfId="0" applyNumberFormat="1" applyFont="1" applyBorder="1" applyAlignment="1">
      <alignment vertical="center"/>
    </xf>
    <xf numFmtId="199" fontId="4" fillId="0" borderId="13" xfId="0" applyNumberFormat="1" applyFont="1" applyFill="1" applyBorder="1" applyAlignment="1">
      <alignment vertical="center" wrapText="1"/>
    </xf>
    <xf numFmtId="0" fontId="87" fillId="0" borderId="13" xfId="0" applyFont="1" applyBorder="1" applyAlignment="1">
      <alignment horizontal="left" vertical="center" wrapText="1"/>
    </xf>
    <xf numFmtId="175" fontId="83" fillId="0" borderId="13" xfId="58" applyFont="1" applyBorder="1" applyAlignment="1">
      <alignment vertical="center"/>
    </xf>
    <xf numFmtId="9" fontId="90" fillId="0" borderId="13" xfId="78" applyFont="1" applyFill="1" applyBorder="1" applyAlignment="1">
      <alignment vertical="center" wrapText="1"/>
    </xf>
    <xf numFmtId="175" fontId="4" fillId="0" borderId="13" xfId="58" applyNumberFormat="1" applyFont="1" applyFill="1" applyBorder="1" applyAlignment="1">
      <alignment vertical="center" wrapText="1"/>
    </xf>
    <xf numFmtId="0" fontId="87" fillId="0" borderId="13" xfId="0" applyFont="1" applyBorder="1" applyAlignment="1">
      <alignment horizontal="center" vertical="center" wrapText="1"/>
    </xf>
    <xf numFmtId="175" fontId="4" fillId="0" borderId="13" xfId="58" applyFont="1" applyFill="1" applyBorder="1" applyAlignment="1">
      <alignment vertical="center" wrapText="1"/>
    </xf>
    <xf numFmtId="175" fontId="0" fillId="0" borderId="13" xfId="58" applyFont="1" applyBorder="1" applyAlignment="1">
      <alignment/>
    </xf>
    <xf numFmtId="0" fontId="83" fillId="38" borderId="13" xfId="78" applyNumberFormat="1" applyFont="1" applyFill="1" applyBorder="1" applyAlignment="1">
      <alignment vertical="center" wrapText="1"/>
    </xf>
    <xf numFmtId="9" fontId="83" fillId="38" borderId="13" xfId="78" applyFont="1" applyFill="1" applyBorder="1" applyAlignment="1">
      <alignment horizontal="justify" vertical="center" wrapText="1"/>
    </xf>
    <xf numFmtId="9" fontId="83" fillId="38" borderId="13" xfId="78" applyFont="1" applyFill="1" applyBorder="1" applyAlignment="1">
      <alignment vertical="center" wrapText="1"/>
    </xf>
    <xf numFmtId="0" fontId="10" fillId="0" borderId="13" xfId="0" applyFont="1" applyBorder="1" applyAlignment="1">
      <alignment vertical="center" wrapText="1"/>
    </xf>
    <xf numFmtId="9" fontId="94" fillId="38" borderId="13" xfId="78" applyFont="1" applyFill="1" applyBorder="1" applyAlignment="1">
      <alignment vertical="top" wrapText="1"/>
    </xf>
    <xf numFmtId="0" fontId="24" fillId="0" borderId="13" xfId="78" applyNumberFormat="1" applyFont="1" applyBorder="1" applyAlignment="1">
      <alignment horizontal="left" vertical="center" wrapText="1"/>
    </xf>
    <xf numFmtId="9" fontId="22" fillId="0" borderId="13" xfId="78" applyFont="1" applyBorder="1" applyAlignment="1">
      <alignment vertical="center" wrapText="1"/>
    </xf>
    <xf numFmtId="175" fontId="83" fillId="0" borderId="13" xfId="58" applyNumberFormat="1" applyFont="1" applyFill="1" applyBorder="1" applyAlignment="1">
      <alignment vertical="center"/>
    </xf>
    <xf numFmtId="175" fontId="83" fillId="0" borderId="13" xfId="0" applyNumberFormat="1" applyFont="1" applyFill="1" applyBorder="1" applyAlignment="1">
      <alignment vertical="center"/>
    </xf>
    <xf numFmtId="175" fontId="83" fillId="0" borderId="13" xfId="0" applyNumberFormat="1" applyFont="1" applyFill="1" applyBorder="1" applyAlignment="1">
      <alignment horizontal="center" vertical="center"/>
    </xf>
    <xf numFmtId="0" fontId="87" fillId="0" borderId="17" xfId="0" applyFont="1" applyBorder="1" applyAlignment="1">
      <alignment horizontal="center" vertical="center" wrapText="1"/>
    </xf>
    <xf numFmtId="0" fontId="87" fillId="0" borderId="16" xfId="0" applyFont="1" applyBorder="1" applyAlignment="1">
      <alignment vertical="top" wrapText="1"/>
    </xf>
    <xf numFmtId="0" fontId="87" fillId="43" borderId="13" xfId="0" applyFont="1" applyFill="1" applyBorder="1" applyAlignment="1">
      <alignment horizontal="left" vertical="center" wrapText="1"/>
    </xf>
    <xf numFmtId="0" fontId="87" fillId="43" borderId="22" xfId="0" applyFont="1" applyFill="1" applyBorder="1" applyAlignment="1">
      <alignment vertical="center" wrapText="1"/>
    </xf>
    <xf numFmtId="0" fontId="87" fillId="0" borderId="13" xfId="0" applyFont="1" applyBorder="1" applyAlignment="1">
      <alignment vertical="center" wrapText="1"/>
    </xf>
    <xf numFmtId="175" fontId="0" fillId="0" borderId="13" xfId="58" applyFont="1" applyBorder="1" applyAlignment="1">
      <alignment/>
    </xf>
    <xf numFmtId="175" fontId="0" fillId="0" borderId="13" xfId="58" applyNumberFormat="1" applyFont="1" applyBorder="1" applyAlignment="1">
      <alignment/>
    </xf>
    <xf numFmtId="175" fontId="82" fillId="0" borderId="13" xfId="0" applyNumberFormat="1" applyFont="1" applyBorder="1" applyAlignment="1">
      <alignment/>
    </xf>
    <xf numFmtId="0" fontId="0" fillId="0" borderId="0" xfId="0" applyAlignment="1">
      <alignment horizontal="left"/>
    </xf>
    <xf numFmtId="189" fontId="0" fillId="0" borderId="13" xfId="57" applyNumberFormat="1" applyFont="1" applyBorder="1" applyAlignment="1">
      <alignment vertical="center"/>
    </xf>
    <xf numFmtId="175" fontId="0" fillId="0" borderId="0" xfId="0" applyNumberFormat="1" applyFont="1" applyAlignment="1">
      <alignment/>
    </xf>
    <xf numFmtId="0" fontId="22" fillId="0" borderId="13" xfId="78" applyNumberFormat="1" applyFont="1" applyBorder="1" applyAlignment="1">
      <alignment horizontal="center" vertical="center" wrapText="1"/>
    </xf>
    <xf numFmtId="0" fontId="87" fillId="43" borderId="22" xfId="0" applyFont="1" applyFill="1" applyBorder="1" applyAlignment="1">
      <alignment horizontal="left" vertical="center" wrapText="1"/>
    </xf>
    <xf numFmtId="0" fontId="87" fillId="0" borderId="0" xfId="0" applyFont="1" applyAlignment="1">
      <alignment vertical="top" wrapText="1"/>
    </xf>
    <xf numFmtId="0" fontId="87" fillId="0" borderId="22" xfId="0" applyFont="1" applyBorder="1" applyAlignment="1">
      <alignment vertical="center" wrapText="1"/>
    </xf>
    <xf numFmtId="9" fontId="87" fillId="0" borderId="13" xfId="0" applyNumberFormat="1" applyFont="1" applyBorder="1" applyAlignment="1">
      <alignment vertical="center" wrapText="1"/>
    </xf>
    <xf numFmtId="10" fontId="87" fillId="43" borderId="13" xfId="0" applyNumberFormat="1" applyFont="1" applyFill="1" applyBorder="1" applyAlignment="1">
      <alignment vertical="center" wrapText="1"/>
    </xf>
    <xf numFmtId="9" fontId="87" fillId="43" borderId="13" xfId="0" applyNumberFormat="1" applyFont="1" applyFill="1" applyBorder="1" applyAlignment="1">
      <alignment vertical="center" wrapText="1"/>
    </xf>
    <xf numFmtId="10" fontId="87" fillId="43" borderId="22" xfId="0" applyNumberFormat="1" applyFont="1" applyFill="1" applyBorder="1" applyAlignment="1">
      <alignment vertical="center" wrapText="1"/>
    </xf>
    <xf numFmtId="0" fontId="87" fillId="0" borderId="13" xfId="0" applyFont="1" applyBorder="1" applyAlignment="1">
      <alignment vertical="top" wrapText="1"/>
    </xf>
    <xf numFmtId="9" fontId="92" fillId="0" borderId="13" xfId="78" applyFont="1" applyFill="1" applyBorder="1" applyAlignment="1">
      <alignment vertical="center" wrapText="1"/>
    </xf>
    <xf numFmtId="0" fontId="82" fillId="0" borderId="13" xfId="0" applyFont="1" applyBorder="1" applyAlignment="1">
      <alignment horizontal="center" vertical="center"/>
    </xf>
    <xf numFmtId="175" fontId="82" fillId="0" borderId="13" xfId="58" applyFont="1" applyBorder="1" applyAlignment="1">
      <alignment horizontal="center"/>
    </xf>
    <xf numFmtId="175" fontId="82" fillId="42" borderId="13" xfId="58" applyFont="1" applyFill="1" applyBorder="1" applyAlignment="1">
      <alignment horizontal="center"/>
    </xf>
    <xf numFmtId="2" fontId="10" fillId="0" borderId="37" xfId="70" applyNumberFormat="1" applyFont="1" applyFill="1" applyBorder="1" applyAlignment="1" applyProtection="1">
      <alignment vertical="center" wrapText="1"/>
      <protection/>
    </xf>
    <xf numFmtId="0" fontId="0" fillId="0" borderId="59" xfId="0" applyFont="1" applyFill="1" applyBorder="1" applyAlignment="1">
      <alignment vertical="center" wrapText="1"/>
    </xf>
    <xf numFmtId="9" fontId="10" fillId="0" borderId="22"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60" xfId="70" applyNumberFormat="1" applyFont="1" applyFill="1" applyBorder="1" applyAlignment="1" applyProtection="1">
      <alignment vertical="center" wrapText="1"/>
      <protection/>
    </xf>
    <xf numFmtId="9" fontId="10" fillId="0" borderId="41" xfId="70" applyNumberFormat="1" applyFont="1" applyFill="1" applyBorder="1" applyAlignment="1" applyProtection="1">
      <alignment vertical="center" wrapText="1"/>
      <protection/>
    </xf>
    <xf numFmtId="9" fontId="10" fillId="0" borderId="42" xfId="70" applyNumberFormat="1" applyFont="1" applyFill="1" applyBorder="1" applyAlignment="1" applyProtection="1">
      <alignment vertical="center" wrapText="1"/>
      <protection/>
    </xf>
    <xf numFmtId="9" fontId="10" fillId="0" borderId="39" xfId="70" applyNumberFormat="1" applyFont="1" applyFill="1" applyBorder="1" applyAlignment="1" applyProtection="1">
      <alignment vertical="center" wrapText="1"/>
      <protection/>
    </xf>
    <xf numFmtId="9" fontId="10" fillId="0" borderId="15" xfId="70" applyNumberFormat="1" applyFont="1" applyFill="1" applyBorder="1" applyAlignment="1" applyProtection="1">
      <alignment vertical="center" wrapText="1"/>
      <protection/>
    </xf>
    <xf numFmtId="9" fontId="10" fillId="0" borderId="44" xfId="70" applyNumberFormat="1" applyFont="1" applyFill="1" applyBorder="1" applyAlignment="1" applyProtection="1">
      <alignment vertical="center" wrapText="1"/>
      <protection/>
    </xf>
    <xf numFmtId="2" fontId="10" fillId="0" borderId="13" xfId="70" applyNumberFormat="1" applyFont="1" applyFill="1" applyBorder="1" applyAlignment="1" applyProtection="1">
      <alignment vertical="center" wrapText="1"/>
      <protection/>
    </xf>
    <xf numFmtId="0" fontId="0" fillId="0" borderId="13" xfId="0" applyFont="1" applyFill="1" applyBorder="1" applyAlignment="1">
      <alignment vertical="center" wrapText="1"/>
    </xf>
    <xf numFmtId="9" fontId="83" fillId="0" borderId="60" xfId="70" applyNumberFormat="1" applyFont="1" applyFill="1" applyBorder="1" applyAlignment="1" applyProtection="1">
      <alignment vertical="center" wrapText="1"/>
      <protection/>
    </xf>
    <xf numFmtId="9" fontId="83" fillId="0" borderId="41" xfId="70" applyNumberFormat="1" applyFont="1" applyFill="1" applyBorder="1" applyAlignment="1" applyProtection="1">
      <alignment vertical="center" wrapText="1"/>
      <protection/>
    </xf>
    <xf numFmtId="9" fontId="83" fillId="0" borderId="42" xfId="70" applyNumberFormat="1" applyFont="1" applyFill="1" applyBorder="1" applyAlignment="1" applyProtection="1">
      <alignment vertical="center" wrapText="1"/>
      <protection/>
    </xf>
    <xf numFmtId="9" fontId="83" fillId="0" borderId="39" xfId="70" applyNumberFormat="1" applyFont="1" applyFill="1" applyBorder="1" applyAlignment="1" applyProtection="1">
      <alignment vertical="center" wrapText="1"/>
      <protection/>
    </xf>
    <xf numFmtId="9" fontId="83" fillId="0" borderId="15" xfId="70" applyNumberFormat="1" applyFont="1" applyFill="1" applyBorder="1" applyAlignment="1" applyProtection="1">
      <alignment vertical="center" wrapText="1"/>
      <protection/>
    </xf>
    <xf numFmtId="9" fontId="83" fillId="0" borderId="44" xfId="70" applyNumberFormat="1" applyFont="1" applyFill="1" applyBorder="1" applyAlignment="1" applyProtection="1">
      <alignment vertical="center" wrapText="1"/>
      <protection/>
    </xf>
    <xf numFmtId="0" fontId="11" fillId="5" borderId="61" xfId="70" applyFont="1" applyFill="1" applyBorder="1" applyAlignment="1" applyProtection="1">
      <alignment horizontal="center" vertical="center" wrapText="1"/>
      <protection/>
    </xf>
    <xf numFmtId="0" fontId="11" fillId="5" borderId="20" xfId="70" applyFont="1" applyFill="1" applyBorder="1" applyAlignment="1" applyProtection="1">
      <alignment horizontal="center" vertical="center" wrapText="1"/>
      <protection/>
    </xf>
    <xf numFmtId="0" fontId="11" fillId="5" borderId="62" xfId="70" applyFont="1" applyFill="1" applyBorder="1" applyAlignment="1" applyProtection="1">
      <alignment horizontal="center" vertical="center" wrapText="1"/>
      <protection/>
    </xf>
    <xf numFmtId="0" fontId="11" fillId="5" borderId="16" xfId="70" applyFont="1" applyFill="1" applyBorder="1" applyAlignment="1" applyProtection="1">
      <alignment horizontal="center" vertical="center" wrapText="1"/>
      <protection/>
    </xf>
    <xf numFmtId="0" fontId="11" fillId="5" borderId="63" xfId="70" applyFont="1" applyFill="1" applyBorder="1" applyAlignment="1" applyProtection="1">
      <alignment horizontal="center" vertical="center" wrapText="1"/>
      <protection/>
    </xf>
    <xf numFmtId="0" fontId="11" fillId="5" borderId="55" xfId="70" applyFont="1" applyFill="1" applyBorder="1" applyAlignment="1" applyProtection="1">
      <alignment horizontal="center" vertical="center" wrapText="1"/>
      <protection/>
    </xf>
    <xf numFmtId="0" fontId="11" fillId="5" borderId="56" xfId="70" applyFont="1" applyFill="1" applyBorder="1" applyAlignment="1" applyProtection="1">
      <alignment horizontal="center" vertical="center" wrapText="1"/>
      <protection/>
    </xf>
    <xf numFmtId="0" fontId="11" fillId="5" borderId="58" xfId="70" applyFont="1" applyFill="1" applyBorder="1" applyAlignment="1" applyProtection="1">
      <alignment horizontal="center" vertical="center" wrapText="1"/>
      <protection/>
    </xf>
    <xf numFmtId="0" fontId="11" fillId="5" borderId="14" xfId="70" applyFont="1" applyFill="1" applyBorder="1" applyAlignment="1" applyProtection="1">
      <alignment horizontal="center" vertical="center" wrapText="1"/>
      <protection/>
    </xf>
    <xf numFmtId="0" fontId="11" fillId="5" borderId="64" xfId="70" applyFont="1" applyFill="1" applyBorder="1" applyAlignment="1" applyProtection="1">
      <alignment horizontal="center" vertical="center" wrapText="1"/>
      <protection/>
    </xf>
    <xf numFmtId="0" fontId="11" fillId="5" borderId="45" xfId="70" applyFont="1" applyFill="1" applyBorder="1" applyAlignment="1" applyProtection="1">
      <alignment horizontal="center" vertical="center" wrapText="1"/>
      <protection/>
    </xf>
    <xf numFmtId="2" fontId="10" fillId="0" borderId="51" xfId="70" applyNumberFormat="1" applyFont="1" applyFill="1" applyBorder="1" applyAlignment="1" applyProtection="1">
      <alignment vertical="center" wrapText="1"/>
      <protection/>
    </xf>
    <xf numFmtId="2" fontId="10" fillId="0" borderId="20" xfId="70" applyNumberFormat="1" applyFont="1" applyFill="1" applyBorder="1" applyAlignment="1" applyProtection="1">
      <alignment vertical="center" wrapText="1"/>
      <protection/>
    </xf>
    <xf numFmtId="9" fontId="10" fillId="0" borderId="54" xfId="78" applyFont="1" applyFill="1" applyBorder="1" applyAlignment="1" applyProtection="1">
      <alignment horizontal="center" vertical="center" wrapText="1"/>
      <protection/>
    </xf>
    <xf numFmtId="9" fontId="83" fillId="0" borderId="60" xfId="70" applyNumberFormat="1" applyFont="1" applyBorder="1" applyAlignment="1">
      <alignment vertical="center" wrapText="1"/>
      <protection/>
    </xf>
    <xf numFmtId="9" fontId="83" fillId="0" borderId="41" xfId="70" applyNumberFormat="1" applyFont="1" applyBorder="1" applyAlignment="1">
      <alignment vertical="center" wrapText="1"/>
      <protection/>
    </xf>
    <xf numFmtId="9" fontId="83" fillId="0" borderId="42" xfId="70" applyNumberFormat="1" applyFont="1" applyBorder="1" applyAlignment="1">
      <alignment vertical="center" wrapText="1"/>
      <protection/>
    </xf>
    <xf numFmtId="9" fontId="83" fillId="0" borderId="39" xfId="70" applyNumberFormat="1" applyFont="1" applyBorder="1" applyAlignment="1">
      <alignment vertical="center" wrapText="1"/>
      <protection/>
    </xf>
    <xf numFmtId="9" fontId="83" fillId="0" borderId="15" xfId="70" applyNumberFormat="1" applyFont="1" applyBorder="1" applyAlignment="1">
      <alignment vertical="center" wrapText="1"/>
      <protection/>
    </xf>
    <xf numFmtId="9" fontId="83" fillId="0" borderId="44" xfId="70" applyNumberFormat="1" applyFont="1" applyBorder="1" applyAlignment="1">
      <alignment vertical="center" wrapText="1"/>
      <protection/>
    </xf>
    <xf numFmtId="0" fontId="11" fillId="5" borderId="39" xfId="70" applyFont="1" applyFill="1" applyBorder="1" applyAlignment="1" applyProtection="1">
      <alignment horizontal="center" vertical="center" wrapText="1"/>
      <protection/>
    </xf>
    <xf numFmtId="0" fontId="11" fillId="5" borderId="15" xfId="70" applyFont="1" applyFill="1" applyBorder="1" applyAlignment="1" applyProtection="1">
      <alignment horizontal="center" vertical="center" wrapText="1"/>
      <protection/>
    </xf>
    <xf numFmtId="0" fontId="11" fillId="5" borderId="19" xfId="70" applyFont="1" applyFill="1" applyBorder="1" applyAlignment="1" applyProtection="1">
      <alignment horizontal="center" vertical="center" wrapText="1"/>
      <protection/>
    </xf>
    <xf numFmtId="0" fontId="10" fillId="0" borderId="37" xfId="70" applyFont="1" applyFill="1" applyBorder="1" applyAlignment="1" applyProtection="1">
      <alignment horizontal="center" vertical="center" wrapText="1"/>
      <protection/>
    </xf>
    <xf numFmtId="0" fontId="10" fillId="0" borderId="65" xfId="70"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0" borderId="66" xfId="78" applyFont="1" applyFill="1" applyBorder="1" applyAlignment="1" applyProtection="1">
      <alignment horizontal="center" vertical="center" wrapText="1"/>
      <protection/>
    </xf>
    <xf numFmtId="9" fontId="83" fillId="38" borderId="60" xfId="80" applyFont="1" applyFill="1" applyBorder="1" applyAlignment="1" applyProtection="1">
      <alignment horizontal="left" vertical="center" wrapText="1"/>
      <protection/>
    </xf>
    <xf numFmtId="9" fontId="83" fillId="38" borderId="41" xfId="80" applyFont="1" applyFill="1" applyBorder="1" applyAlignment="1" applyProtection="1">
      <alignment horizontal="left" vertical="center" wrapText="1"/>
      <protection/>
    </xf>
    <xf numFmtId="9" fontId="83" fillId="38" borderId="42" xfId="80" applyFont="1" applyFill="1" applyBorder="1" applyAlignment="1" applyProtection="1">
      <alignment horizontal="left" vertical="center" wrapText="1"/>
      <protection/>
    </xf>
    <xf numFmtId="9" fontId="83" fillId="38" borderId="67" xfId="80" applyFont="1" applyFill="1" applyBorder="1" applyAlignment="1" applyProtection="1">
      <alignment horizontal="left" vertical="center" wrapText="1"/>
      <protection/>
    </xf>
    <xf numFmtId="9" fontId="83" fillId="38" borderId="34" xfId="80" applyFont="1" applyFill="1" applyBorder="1" applyAlignment="1" applyProtection="1">
      <alignment horizontal="left" vertical="center" wrapText="1"/>
      <protection/>
    </xf>
    <xf numFmtId="9" fontId="83" fillId="38" borderId="68" xfId="80" applyFont="1" applyFill="1" applyBorder="1" applyAlignment="1" applyProtection="1">
      <alignment horizontal="left" vertical="center" wrapText="1"/>
      <protection/>
    </xf>
    <xf numFmtId="9" fontId="10" fillId="0" borderId="60"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67"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68" xfId="80" applyFont="1" applyFill="1" applyBorder="1" applyAlignment="1" applyProtection="1">
      <alignment horizontal="center" vertical="center" wrapText="1"/>
      <protection/>
    </xf>
    <xf numFmtId="9" fontId="10" fillId="0" borderId="60"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69" xfId="80" applyFont="1" applyFill="1" applyBorder="1" applyAlignment="1" applyProtection="1">
      <alignment horizontal="left" vertical="center" wrapText="1"/>
      <protection/>
    </xf>
    <xf numFmtId="9" fontId="10" fillId="0" borderId="67"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3" fontId="11" fillId="0" borderId="60" xfId="70" applyNumberFormat="1" applyFont="1" applyFill="1" applyBorder="1" applyAlignment="1" applyProtection="1">
      <alignment horizontal="center" vertical="center" wrapText="1"/>
      <protection/>
    </xf>
    <xf numFmtId="3" fontId="11" fillId="0" borderId="42" xfId="70" applyNumberFormat="1" applyFont="1" applyFill="1" applyBorder="1" applyAlignment="1" applyProtection="1">
      <alignment horizontal="center" vertical="center" wrapText="1"/>
      <protection/>
    </xf>
    <xf numFmtId="0" fontId="84" fillId="0" borderId="13" xfId="70" applyFont="1" applyFill="1" applyBorder="1" applyAlignment="1" applyProtection="1">
      <alignment horizontal="left" vertical="center" wrapText="1"/>
      <protection/>
    </xf>
    <xf numFmtId="0" fontId="84" fillId="0" borderId="21" xfId="70" applyFont="1" applyFill="1" applyBorder="1" applyAlignment="1" applyProtection="1">
      <alignment horizontal="left" vertical="center" wrapText="1"/>
      <protection/>
    </xf>
    <xf numFmtId="0" fontId="11" fillId="0" borderId="61" xfId="70" applyFont="1" applyFill="1" applyBorder="1" applyAlignment="1" applyProtection="1">
      <alignment horizontal="center" vertical="center" wrapText="1"/>
      <protection/>
    </xf>
    <xf numFmtId="0" fontId="11" fillId="0" borderId="63" xfId="70" applyFont="1" applyFill="1" applyBorder="1" applyAlignment="1" applyProtection="1">
      <alignment horizontal="center" vertical="center" wrapText="1"/>
      <protection/>
    </xf>
    <xf numFmtId="0" fontId="11" fillId="0" borderId="70" xfId="70"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0" fillId="5" borderId="13" xfId="70" applyFont="1" applyFill="1" applyBorder="1" applyAlignment="1" applyProtection="1">
      <alignment horizontal="center" vertical="center" wrapText="1"/>
      <protection/>
    </xf>
    <xf numFmtId="0" fontId="11" fillId="5" borderId="21" xfId="70" applyFont="1" applyFill="1" applyBorder="1" applyAlignment="1" applyProtection="1">
      <alignment horizontal="center" vertical="center" wrapText="1"/>
      <protection/>
    </xf>
    <xf numFmtId="0" fontId="11" fillId="5" borderId="44" xfId="70" applyFont="1" applyFill="1" applyBorder="1" applyAlignment="1" applyProtection="1">
      <alignment horizontal="center" vertical="center" wrapText="1"/>
      <protection/>
    </xf>
    <xf numFmtId="0" fontId="11" fillId="5" borderId="50" xfId="70" applyFont="1" applyFill="1" applyBorder="1" applyAlignment="1" applyProtection="1">
      <alignment horizontal="center" vertical="center" wrapText="1"/>
      <protection/>
    </xf>
    <xf numFmtId="0" fontId="11" fillId="5" borderId="40" xfId="70" applyFont="1" applyFill="1" applyBorder="1" applyAlignment="1" applyProtection="1">
      <alignment horizontal="center" vertical="center" wrapText="1"/>
      <protection/>
    </xf>
    <xf numFmtId="0" fontId="11" fillId="38" borderId="61" xfId="70" applyFont="1" applyFill="1" applyBorder="1" applyAlignment="1" applyProtection="1">
      <alignment horizontal="center" vertical="center" wrapText="1"/>
      <protection/>
    </xf>
    <xf numFmtId="0" fontId="11" fillId="38" borderId="57" xfId="70" applyFont="1" applyFill="1" applyBorder="1" applyAlignment="1" applyProtection="1">
      <alignment horizontal="center" vertical="center" wrapText="1"/>
      <protection/>
    </xf>
    <xf numFmtId="0" fontId="11" fillId="38" borderId="63" xfId="70" applyFont="1" applyFill="1" applyBorder="1" applyAlignment="1" applyProtection="1">
      <alignment horizontal="center" vertical="center" wrapText="1"/>
      <protection/>
    </xf>
    <xf numFmtId="0" fontId="11" fillId="38" borderId="70" xfId="70" applyFont="1" applyFill="1" applyBorder="1" applyAlignment="1" applyProtection="1">
      <alignment horizontal="center" vertical="center" wrapText="1"/>
      <protection/>
    </xf>
    <xf numFmtId="0" fontId="11" fillId="5" borderId="49" xfId="70" applyFont="1" applyFill="1" applyBorder="1" applyAlignment="1" applyProtection="1">
      <alignment horizontal="center" vertical="center" wrapText="1"/>
      <protection/>
    </xf>
    <xf numFmtId="0" fontId="11" fillId="5" borderId="18" xfId="70" applyFont="1" applyFill="1" applyBorder="1" applyAlignment="1" applyProtection="1">
      <alignment horizontal="center" vertical="center" wrapText="1"/>
      <protection/>
    </xf>
    <xf numFmtId="0" fontId="11" fillId="5" borderId="60" xfId="70" applyFont="1" applyFill="1" applyBorder="1" applyAlignment="1" applyProtection="1">
      <alignment horizontal="center" vertical="center" wrapText="1"/>
      <protection/>
    </xf>
    <xf numFmtId="0" fontId="11" fillId="5" borderId="42" xfId="70" applyFont="1" applyFill="1" applyBorder="1" applyAlignment="1" applyProtection="1">
      <alignment horizontal="center" vertical="center" wrapText="1"/>
      <protection/>
    </xf>
    <xf numFmtId="0" fontId="11" fillId="5" borderId="17" xfId="70" applyFont="1" applyFill="1" applyBorder="1" applyAlignment="1" applyProtection="1">
      <alignment horizontal="center" vertical="center" wrapText="1"/>
      <protection/>
    </xf>
    <xf numFmtId="0" fontId="11" fillId="5" borderId="71" xfId="70" applyFont="1" applyFill="1" applyBorder="1" applyAlignment="1" applyProtection="1">
      <alignment horizontal="center" vertical="center" wrapText="1"/>
      <protection/>
    </xf>
    <xf numFmtId="0" fontId="11" fillId="5" borderId="72" xfId="70" applyFont="1" applyFill="1" applyBorder="1" applyAlignment="1" applyProtection="1">
      <alignment horizontal="center" vertical="center" wrapText="1"/>
      <protection/>
    </xf>
    <xf numFmtId="0" fontId="11" fillId="5" borderId="73" xfId="70" applyFont="1" applyFill="1" applyBorder="1" applyAlignment="1" applyProtection="1">
      <alignment horizontal="center" vertical="center" wrapText="1"/>
      <protection/>
    </xf>
    <xf numFmtId="0" fontId="11" fillId="5" borderId="74" xfId="70" applyFont="1" applyFill="1" applyBorder="1" applyAlignment="1" applyProtection="1">
      <alignment horizontal="center" vertical="center" wrapText="1"/>
      <protection/>
    </xf>
    <xf numFmtId="0" fontId="11" fillId="5" borderId="34" xfId="70" applyFont="1" applyFill="1" applyBorder="1" applyAlignment="1" applyProtection="1">
      <alignment horizontal="center" vertical="center" wrapText="1"/>
      <protection/>
    </xf>
    <xf numFmtId="0" fontId="11" fillId="5" borderId="35" xfId="70" applyFont="1" applyFill="1" applyBorder="1" applyAlignment="1" applyProtection="1">
      <alignment horizontal="center" vertical="center" wrapText="1"/>
      <protection/>
    </xf>
    <xf numFmtId="0" fontId="11" fillId="5" borderId="28" xfId="70" applyFont="1" applyFill="1" applyBorder="1" applyAlignment="1" applyProtection="1">
      <alignment horizontal="center" vertical="center" wrapText="1"/>
      <protection/>
    </xf>
    <xf numFmtId="0" fontId="11" fillId="5" borderId="0" xfId="70" applyFont="1" applyFill="1" applyBorder="1" applyAlignment="1" applyProtection="1">
      <alignment horizontal="center" vertical="center" wrapText="1"/>
      <protection/>
    </xf>
    <xf numFmtId="0" fontId="11" fillId="5" borderId="29" xfId="70" applyFont="1" applyFill="1" applyBorder="1" applyAlignment="1" applyProtection="1">
      <alignment horizontal="center" vertical="center" wrapText="1"/>
      <protection/>
    </xf>
    <xf numFmtId="0" fontId="11" fillId="0" borderId="71" xfId="70" applyFont="1" applyFill="1" applyBorder="1" applyAlignment="1">
      <alignment horizontal="center" vertical="center" wrapText="1"/>
      <protection/>
    </xf>
    <xf numFmtId="0" fontId="11" fillId="0" borderId="72" xfId="70" applyFont="1" applyFill="1" applyBorder="1" applyAlignment="1">
      <alignment horizontal="center" vertical="center" wrapText="1"/>
      <protection/>
    </xf>
    <xf numFmtId="0" fontId="11" fillId="0" borderId="73" xfId="70" applyFont="1" applyFill="1" applyBorder="1" applyAlignment="1">
      <alignment horizontal="center" vertical="center" wrapText="1"/>
      <protection/>
    </xf>
    <xf numFmtId="0" fontId="11" fillId="38" borderId="34" xfId="70" applyFont="1" applyFill="1" applyBorder="1" applyAlignment="1" applyProtection="1">
      <alignment horizontal="left" vertical="center" wrapText="1"/>
      <protection/>
    </xf>
    <xf numFmtId="0" fontId="11" fillId="5" borderId="71" xfId="70" applyFont="1" applyFill="1" applyBorder="1" applyAlignment="1">
      <alignment horizontal="left" vertical="center" wrapText="1"/>
      <protection/>
    </xf>
    <xf numFmtId="0" fontId="11" fillId="5" borderId="73" xfId="70" applyFont="1" applyFill="1" applyBorder="1" applyAlignment="1">
      <alignment horizontal="left" vertical="center" wrapText="1"/>
      <protection/>
    </xf>
    <xf numFmtId="0" fontId="10" fillId="0" borderId="71" xfId="70" applyFont="1" applyFill="1" applyBorder="1" applyAlignment="1" applyProtection="1">
      <alignment horizontal="center" vertical="center" wrapText="1"/>
      <protection/>
    </xf>
    <xf numFmtId="0" fontId="10" fillId="0" borderId="72" xfId="70" applyFont="1" applyFill="1" applyBorder="1" applyAlignment="1" applyProtection="1">
      <alignment horizontal="center" vertical="center" wrapText="1"/>
      <protection/>
    </xf>
    <xf numFmtId="0" fontId="10" fillId="0" borderId="73" xfId="70" applyFont="1" applyFill="1" applyBorder="1" applyAlignment="1" applyProtection="1">
      <alignment horizontal="center" vertical="center" wrapText="1"/>
      <protection/>
    </xf>
    <xf numFmtId="9" fontId="11" fillId="0" borderId="71" xfId="78" applyFont="1" applyFill="1" applyBorder="1" applyAlignment="1" applyProtection="1">
      <alignment horizontal="center" vertical="center" wrapText="1"/>
      <protection/>
    </xf>
    <xf numFmtId="9" fontId="11" fillId="0" borderId="73" xfId="78" applyFont="1" applyFill="1" applyBorder="1" applyAlignment="1" applyProtection="1">
      <alignment horizontal="center" vertical="center" wrapText="1"/>
      <protection/>
    </xf>
    <xf numFmtId="9" fontId="11" fillId="0" borderId="71" xfId="70" applyNumberFormat="1" applyFont="1" applyFill="1" applyBorder="1" applyAlignment="1" applyProtection="1">
      <alignment horizontal="center" vertical="center" wrapText="1"/>
      <protection/>
    </xf>
    <xf numFmtId="9" fontId="11" fillId="0" borderId="73" xfId="70" applyNumberFormat="1" applyFont="1" applyFill="1" applyBorder="1" applyAlignment="1" applyProtection="1">
      <alignment horizontal="center" vertical="center" wrapText="1"/>
      <protection/>
    </xf>
    <xf numFmtId="0" fontId="11" fillId="5" borderId="75" xfId="70" applyFont="1" applyFill="1" applyBorder="1" applyAlignment="1">
      <alignment horizontal="left" vertical="center" wrapText="1"/>
      <protection/>
    </xf>
    <xf numFmtId="0" fontId="11" fillId="5" borderId="27" xfId="70" applyFont="1" applyFill="1" applyBorder="1" applyAlignment="1">
      <alignment horizontal="left" vertical="center" wrapText="1"/>
      <protection/>
    </xf>
    <xf numFmtId="0" fontId="11" fillId="5" borderId="28" xfId="70" applyFont="1" applyFill="1" applyBorder="1" applyAlignment="1">
      <alignment horizontal="left" vertical="center" wrapText="1"/>
      <protection/>
    </xf>
    <xf numFmtId="0" fontId="11" fillId="5" borderId="29" xfId="70" applyFont="1" applyFill="1" applyBorder="1" applyAlignment="1">
      <alignment horizontal="left" vertical="center" wrapText="1"/>
      <protection/>
    </xf>
    <xf numFmtId="0" fontId="11" fillId="5" borderId="74" xfId="70" applyFont="1" applyFill="1" applyBorder="1" applyAlignment="1">
      <alignment horizontal="left" vertical="center" wrapText="1"/>
      <protection/>
    </xf>
    <xf numFmtId="0" fontId="11" fillId="5" borderId="35" xfId="70" applyFont="1" applyFill="1" applyBorder="1" applyAlignment="1">
      <alignment horizontal="left" vertical="center" wrapText="1"/>
      <protection/>
    </xf>
    <xf numFmtId="0" fontId="11" fillId="0" borderId="75" xfId="70" applyFont="1" applyFill="1" applyBorder="1" applyAlignment="1">
      <alignment horizontal="center" vertical="center" wrapText="1"/>
      <protection/>
    </xf>
    <xf numFmtId="0" fontId="11" fillId="0" borderId="26" xfId="70" applyFont="1" applyFill="1" applyBorder="1" applyAlignment="1">
      <alignment horizontal="center" vertical="center" wrapText="1"/>
      <protection/>
    </xf>
    <xf numFmtId="0" fontId="11" fillId="0" borderId="27" xfId="70" applyFont="1" applyFill="1" applyBorder="1" applyAlignment="1">
      <alignment horizontal="center" vertical="center" wrapText="1"/>
      <protection/>
    </xf>
    <xf numFmtId="0" fontId="11" fillId="0" borderId="28" xfId="70" applyFont="1" applyFill="1" applyBorder="1" applyAlignment="1">
      <alignment horizontal="center" vertical="center" wrapText="1"/>
      <protection/>
    </xf>
    <xf numFmtId="0" fontId="11" fillId="0" borderId="0" xfId="70" applyFont="1" applyFill="1" applyBorder="1" applyAlignment="1">
      <alignment horizontal="center" vertical="center" wrapText="1"/>
      <protection/>
    </xf>
    <xf numFmtId="0" fontId="11" fillId="0" borderId="29" xfId="70" applyFont="1" applyFill="1" applyBorder="1" applyAlignment="1">
      <alignment horizontal="center" vertical="center" wrapText="1"/>
      <protection/>
    </xf>
    <xf numFmtId="0" fontId="11" fillId="0" borderId="74" xfId="70" applyFont="1" applyFill="1" applyBorder="1" applyAlignment="1">
      <alignment horizontal="center" vertical="center" wrapText="1"/>
      <protection/>
    </xf>
    <xf numFmtId="0" fontId="11" fillId="0" borderId="34" xfId="70" applyFont="1" applyFill="1" applyBorder="1" applyAlignment="1">
      <alignment horizontal="center" vertical="center" wrapText="1"/>
      <protection/>
    </xf>
    <xf numFmtId="0" fontId="11" fillId="0" borderId="35" xfId="70" applyFont="1" applyFill="1" applyBorder="1" applyAlignment="1">
      <alignment horizontal="center" vertical="center" wrapText="1"/>
      <protection/>
    </xf>
    <xf numFmtId="0" fontId="11" fillId="5" borderId="75" xfId="70" applyFont="1" applyFill="1" applyBorder="1" applyAlignment="1" applyProtection="1">
      <alignment horizontal="left" vertical="center" wrapText="1"/>
      <protection/>
    </xf>
    <xf numFmtId="0" fontId="11" fillId="5" borderId="27" xfId="70" applyFont="1" applyFill="1" applyBorder="1" applyAlignment="1" applyProtection="1">
      <alignment horizontal="left" vertical="center" wrapText="1"/>
      <protection/>
    </xf>
    <xf numFmtId="0" fontId="11" fillId="5" borderId="28" xfId="70" applyFont="1" applyFill="1" applyBorder="1" applyAlignment="1" applyProtection="1">
      <alignment horizontal="left" vertical="center" wrapText="1"/>
      <protection/>
    </xf>
    <xf numFmtId="0" fontId="11" fillId="5" borderId="29" xfId="70" applyFont="1" applyFill="1" applyBorder="1" applyAlignment="1" applyProtection="1">
      <alignment horizontal="left" vertical="center" wrapText="1"/>
      <protection/>
    </xf>
    <xf numFmtId="0" fontId="11" fillId="5" borderId="74" xfId="70" applyFont="1" applyFill="1" applyBorder="1" applyAlignment="1" applyProtection="1">
      <alignment horizontal="left" vertical="center" wrapText="1"/>
      <protection/>
    </xf>
    <xf numFmtId="0" fontId="11" fillId="5" borderId="35" xfId="70" applyFont="1" applyFill="1" applyBorder="1" applyAlignment="1" applyProtection="1">
      <alignment horizontal="left" vertical="center" wrapText="1"/>
      <protection/>
    </xf>
    <xf numFmtId="0" fontId="95" fillId="0" borderId="76" xfId="0" applyFont="1" applyFill="1" applyBorder="1" applyAlignment="1">
      <alignment horizontal="center" vertical="center"/>
    </xf>
    <xf numFmtId="0" fontId="95" fillId="0" borderId="77" xfId="0" applyFont="1" applyFill="1" applyBorder="1" applyAlignment="1">
      <alignment horizontal="center" vertical="center"/>
    </xf>
    <xf numFmtId="0" fontId="95" fillId="0" borderId="78" xfId="0" applyFont="1" applyFill="1" applyBorder="1" applyAlignment="1">
      <alignment horizontal="center" vertical="center"/>
    </xf>
    <xf numFmtId="0" fontId="11" fillId="5" borderId="26" xfId="70" applyFont="1" applyFill="1" applyBorder="1" applyAlignment="1">
      <alignment horizontal="left" vertical="center" wrapText="1"/>
      <protection/>
    </xf>
    <xf numFmtId="0" fontId="11" fillId="5" borderId="0" xfId="70" applyFont="1" applyFill="1" applyBorder="1" applyAlignment="1">
      <alignment horizontal="left" vertical="center" wrapText="1"/>
      <protection/>
    </xf>
    <xf numFmtId="0" fontId="11" fillId="5" borderId="34" xfId="70" applyFont="1" applyFill="1" applyBorder="1" applyAlignment="1">
      <alignment horizontal="left" vertical="center" wrapText="1"/>
      <protection/>
    </xf>
    <xf numFmtId="0" fontId="11" fillId="5" borderId="71" xfId="70" applyFont="1" applyFill="1" applyBorder="1" applyAlignment="1">
      <alignment horizontal="center" vertical="center" wrapText="1"/>
      <protection/>
    </xf>
    <xf numFmtId="0" fontId="11" fillId="5" borderId="72" xfId="70" applyFont="1" applyFill="1" applyBorder="1" applyAlignment="1">
      <alignment horizontal="center" vertical="center" wrapText="1"/>
      <protection/>
    </xf>
    <xf numFmtId="0" fontId="11" fillId="5" borderId="73" xfId="70" applyFont="1" applyFill="1" applyBorder="1" applyAlignment="1">
      <alignment horizontal="center" vertical="center" wrapText="1"/>
      <protection/>
    </xf>
    <xf numFmtId="0" fontId="11" fillId="0" borderId="46" xfId="70" applyFont="1" applyFill="1" applyBorder="1" applyAlignment="1">
      <alignment horizontal="center" vertical="center" wrapText="1"/>
      <protection/>
    </xf>
    <xf numFmtId="0" fontId="11" fillId="0" borderId="47" xfId="70" applyFont="1" applyFill="1" applyBorder="1" applyAlignment="1">
      <alignment horizontal="center" vertical="center" wrapText="1"/>
      <protection/>
    </xf>
    <xf numFmtId="0" fontId="11" fillId="0" borderId="48" xfId="70" applyFont="1" applyFill="1" applyBorder="1" applyAlignment="1">
      <alignment horizontal="center" vertical="center" wrapText="1"/>
      <protection/>
    </xf>
    <xf numFmtId="0" fontId="0" fillId="0" borderId="79" xfId="0" applyFont="1" applyFill="1" applyBorder="1" applyAlignment="1">
      <alignment horizontal="center" vertical="center"/>
    </xf>
    <xf numFmtId="0" fontId="0" fillId="0" borderId="58" xfId="0" applyFont="1" applyFill="1" applyBorder="1" applyAlignment="1">
      <alignment horizontal="center" vertical="center"/>
    </xf>
    <xf numFmtId="0" fontId="82" fillId="0" borderId="80" xfId="0" applyFont="1" applyFill="1" applyBorder="1" applyAlignment="1">
      <alignment horizontal="center" vertical="center" wrapText="1"/>
    </xf>
    <xf numFmtId="0" fontId="82" fillId="0" borderId="45"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45" xfId="0" applyFont="1" applyFill="1" applyBorder="1" applyAlignment="1">
      <alignment horizontal="center" vertical="center"/>
    </xf>
    <xf numFmtId="0" fontId="82" fillId="0" borderId="81" xfId="0" applyFont="1" applyFill="1" applyBorder="1" applyAlignment="1">
      <alignment horizontal="center" vertical="center" wrapText="1"/>
    </xf>
    <xf numFmtId="0" fontId="82" fillId="0" borderId="82"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85" fillId="0" borderId="83" xfId="0" applyFont="1" applyBorder="1" applyAlignment="1">
      <alignment horizontal="left" vertical="center" wrapText="1"/>
    </xf>
    <xf numFmtId="0" fontId="85" fillId="0" borderId="38" xfId="0" applyFont="1" applyBorder="1" applyAlignment="1">
      <alignment horizontal="left" vertical="center" wrapText="1"/>
    </xf>
    <xf numFmtId="0" fontId="85" fillId="0" borderId="52" xfId="0" applyFont="1" applyBorder="1" applyAlignment="1">
      <alignment horizontal="left" vertical="center" wrapText="1"/>
    </xf>
    <xf numFmtId="14" fontId="88" fillId="0" borderId="75" xfId="0" applyNumberFormat="1" applyFont="1" applyFill="1" applyBorder="1" applyAlignment="1">
      <alignment horizontal="center" vertical="center"/>
    </xf>
    <xf numFmtId="0" fontId="88" fillId="0" borderId="27" xfId="0" applyFont="1" applyFill="1" applyBorder="1" applyAlignment="1">
      <alignment horizontal="center" vertical="center"/>
    </xf>
    <xf numFmtId="0" fontId="88" fillId="0" borderId="28" xfId="0" applyFont="1" applyFill="1" applyBorder="1" applyAlignment="1">
      <alignment horizontal="center" vertical="center"/>
    </xf>
    <xf numFmtId="0" fontId="88" fillId="0" borderId="29" xfId="0" applyFont="1" applyFill="1" applyBorder="1" applyAlignment="1">
      <alignment horizontal="center" vertical="center"/>
    </xf>
    <xf numFmtId="0" fontId="88" fillId="0" borderId="74" xfId="0" applyFont="1" applyFill="1" applyBorder="1" applyAlignment="1">
      <alignment horizontal="center" vertical="center"/>
    </xf>
    <xf numFmtId="0" fontId="88" fillId="0" borderId="35" xfId="0" applyFont="1" applyFill="1" applyBorder="1" applyAlignment="1">
      <alignment horizontal="center" vertical="center"/>
    </xf>
    <xf numFmtId="0" fontId="82" fillId="0" borderId="79" xfId="0" applyFont="1" applyFill="1" applyBorder="1" applyAlignment="1">
      <alignment horizontal="center" vertical="center" wrapText="1"/>
    </xf>
    <xf numFmtId="0" fontId="82" fillId="0" borderId="58" xfId="0" applyFont="1" applyFill="1" applyBorder="1" applyAlignment="1">
      <alignment horizontal="center" vertical="center" wrapText="1"/>
    </xf>
    <xf numFmtId="0" fontId="10" fillId="0" borderId="76" xfId="70" applyFont="1" applyFill="1" applyBorder="1" applyAlignment="1" applyProtection="1">
      <alignment horizontal="center" vertical="center" wrapText="1"/>
      <protection/>
    </xf>
    <xf numFmtId="0" fontId="10" fillId="0" borderId="77" xfId="70" applyFont="1" applyFill="1" applyBorder="1" applyAlignment="1" applyProtection="1">
      <alignment horizontal="center" vertical="center" wrapText="1"/>
      <protection/>
    </xf>
    <xf numFmtId="0" fontId="10" fillId="0" borderId="78" xfId="70" applyFont="1" applyFill="1" applyBorder="1" applyAlignment="1" applyProtection="1">
      <alignment horizontal="center" vertical="center" wrapText="1"/>
      <protection/>
    </xf>
    <xf numFmtId="0" fontId="11" fillId="0" borderId="75" xfId="70" applyFont="1" applyFill="1" applyBorder="1" applyAlignment="1" applyProtection="1">
      <alignment horizontal="center" vertical="center"/>
      <protection/>
    </xf>
    <xf numFmtId="0" fontId="11" fillId="0" borderId="26" xfId="70" applyFont="1" applyFill="1" applyBorder="1" applyAlignment="1" applyProtection="1">
      <alignment horizontal="center" vertical="center"/>
      <protection/>
    </xf>
    <xf numFmtId="0" fontId="11" fillId="0" borderId="27" xfId="70" applyFont="1" applyFill="1" applyBorder="1" applyAlignment="1" applyProtection="1">
      <alignment horizontal="center" vertical="center"/>
      <protection/>
    </xf>
    <xf numFmtId="0" fontId="11" fillId="0" borderId="57"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28" xfId="70" applyFont="1" applyFill="1" applyBorder="1" applyAlignment="1" applyProtection="1">
      <alignment horizontal="center" vertical="center"/>
      <protection/>
    </xf>
    <xf numFmtId="0" fontId="11" fillId="0" borderId="0" xfId="70" applyFont="1" applyFill="1" applyBorder="1" applyAlignment="1" applyProtection="1">
      <alignment horizontal="center" vertical="center"/>
      <protection/>
    </xf>
    <xf numFmtId="0" fontId="11" fillId="0" borderId="29" xfId="70"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0" applyFont="1" applyFill="1" applyBorder="1" applyAlignment="1" applyProtection="1">
      <alignment horizontal="center" vertical="center" wrapText="1"/>
      <protection/>
    </xf>
    <xf numFmtId="0" fontId="11" fillId="0" borderId="0" xfId="70" applyFont="1" applyFill="1" applyBorder="1" applyAlignment="1" applyProtection="1">
      <alignment horizontal="center" vertical="center" wrapText="1"/>
      <protection/>
    </xf>
    <xf numFmtId="0" fontId="11" fillId="0" borderId="29" xfId="70" applyFont="1" applyFill="1" applyBorder="1" applyAlignment="1" applyProtection="1">
      <alignment horizontal="center" vertical="center" wrapText="1"/>
      <protection/>
    </xf>
    <xf numFmtId="0" fontId="11" fillId="0" borderId="74" xfId="70" applyFont="1" applyFill="1" applyBorder="1" applyAlignment="1" applyProtection="1">
      <alignment horizontal="center" vertical="center" wrapText="1"/>
      <protection/>
    </xf>
    <xf numFmtId="0" fontId="11" fillId="0" borderId="34" xfId="70" applyFont="1" applyFill="1" applyBorder="1" applyAlignment="1" applyProtection="1">
      <alignment horizontal="center" vertical="center" wrapText="1"/>
      <protection/>
    </xf>
    <xf numFmtId="0" fontId="11" fillId="0" borderId="35" xfId="70" applyFont="1" applyFill="1" applyBorder="1" applyAlignment="1" applyProtection="1">
      <alignment horizontal="center" vertical="center" wrapText="1"/>
      <protection/>
    </xf>
    <xf numFmtId="9" fontId="11" fillId="0" borderId="22" xfId="70" applyNumberFormat="1" applyFont="1" applyFill="1" applyBorder="1" applyAlignment="1" applyProtection="1">
      <alignment horizontal="center" vertical="center" wrapText="1"/>
      <protection/>
    </xf>
    <xf numFmtId="0" fontId="11" fillId="0" borderId="66" xfId="70" applyFont="1" applyFill="1" applyBorder="1" applyAlignment="1" applyProtection="1">
      <alignment horizontal="center" vertical="center" wrapText="1"/>
      <protection/>
    </xf>
    <xf numFmtId="9" fontId="84" fillId="38" borderId="60" xfId="80" applyFont="1" applyFill="1" applyBorder="1" applyAlignment="1" applyProtection="1">
      <alignment horizontal="center" vertical="center" wrapText="1"/>
      <protection/>
    </xf>
    <xf numFmtId="9" fontId="84" fillId="38" borderId="41" xfId="80" applyFont="1" applyFill="1" applyBorder="1" applyAlignment="1" applyProtection="1">
      <alignment horizontal="center" vertical="center" wrapText="1"/>
      <protection/>
    </xf>
    <xf numFmtId="9" fontId="84" fillId="38" borderId="42" xfId="80" applyFont="1" applyFill="1" applyBorder="1" applyAlignment="1" applyProtection="1">
      <alignment horizontal="center" vertical="center" wrapText="1"/>
      <protection/>
    </xf>
    <xf numFmtId="9" fontId="84" fillId="38" borderId="67" xfId="80" applyFont="1" applyFill="1" applyBorder="1" applyAlignment="1" applyProtection="1">
      <alignment horizontal="center" vertical="center" wrapText="1"/>
      <protection/>
    </xf>
    <xf numFmtId="9" fontId="84" fillId="38" borderId="34" xfId="80" applyFont="1" applyFill="1" applyBorder="1" applyAlignment="1" applyProtection="1">
      <alignment horizontal="center" vertical="center" wrapText="1"/>
      <protection/>
    </xf>
    <xf numFmtId="9" fontId="84" fillId="38" borderId="68" xfId="80" applyFont="1" applyFill="1" applyBorder="1" applyAlignment="1" applyProtection="1">
      <alignment horizontal="center" vertical="center" wrapText="1"/>
      <protection/>
    </xf>
    <xf numFmtId="9" fontId="83" fillId="38" borderId="69" xfId="80" applyFont="1" applyFill="1" applyBorder="1" applyAlignment="1" applyProtection="1">
      <alignment horizontal="left" vertical="center" wrapText="1"/>
      <protection/>
    </xf>
    <xf numFmtId="9" fontId="83" fillId="38" borderId="35" xfId="80" applyFont="1" applyFill="1" applyBorder="1" applyAlignment="1" applyProtection="1">
      <alignment horizontal="left" vertical="center" wrapText="1"/>
      <protection/>
    </xf>
    <xf numFmtId="2" fontId="10" fillId="38" borderId="51" xfId="70" applyNumberFormat="1" applyFont="1" applyFill="1" applyBorder="1" applyAlignment="1" applyProtection="1">
      <alignment vertical="center" wrapText="1"/>
      <protection/>
    </xf>
    <xf numFmtId="2" fontId="10" fillId="38" borderId="20" xfId="70" applyNumberFormat="1" applyFont="1" applyFill="1" applyBorder="1" applyAlignment="1" applyProtection="1">
      <alignment vertical="center" wrapText="1"/>
      <protection/>
    </xf>
    <xf numFmtId="190" fontId="10" fillId="0" borderId="54"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9" fontId="10" fillId="38" borderId="60" xfId="70" applyNumberFormat="1" applyFont="1" applyFill="1" applyBorder="1" applyAlignment="1" applyProtection="1">
      <alignment horizontal="left" vertical="center" wrapText="1"/>
      <protection/>
    </xf>
    <xf numFmtId="9" fontId="83" fillId="38" borderId="41" xfId="70" applyNumberFormat="1" applyFont="1" applyFill="1" applyBorder="1" applyAlignment="1" applyProtection="1">
      <alignment horizontal="left" vertical="center" wrapText="1"/>
      <protection/>
    </xf>
    <xf numFmtId="9" fontId="83" fillId="38" borderId="69" xfId="70" applyNumberFormat="1" applyFont="1" applyFill="1" applyBorder="1" applyAlignment="1" applyProtection="1">
      <alignment horizontal="left" vertical="center" wrapText="1"/>
      <protection/>
    </xf>
    <xf numFmtId="9" fontId="83" fillId="38" borderId="84" xfId="70" applyNumberFormat="1" applyFont="1" applyFill="1" applyBorder="1" applyAlignment="1" applyProtection="1">
      <alignment horizontal="left" vertical="center" wrapText="1"/>
      <protection/>
    </xf>
    <xf numFmtId="9" fontId="83" fillId="38" borderId="0" xfId="70" applyNumberFormat="1" applyFont="1" applyFill="1" applyBorder="1" applyAlignment="1" applyProtection="1">
      <alignment horizontal="left" vertical="center" wrapText="1"/>
      <protection/>
    </xf>
    <xf numFmtId="9" fontId="83" fillId="38" borderId="29" xfId="70" applyNumberFormat="1" applyFont="1" applyFill="1" applyBorder="1" applyAlignment="1" applyProtection="1">
      <alignment horizontal="left" vertical="center" wrapText="1"/>
      <protection/>
    </xf>
    <xf numFmtId="2" fontId="10" fillId="38" borderId="20" xfId="70" applyNumberFormat="1" applyFont="1" applyFill="1" applyBorder="1" applyAlignment="1">
      <alignment vertical="center" wrapText="1"/>
      <protection/>
    </xf>
    <xf numFmtId="190" fontId="10" fillId="0" borderId="22" xfId="78" applyNumberFormat="1" applyFont="1" applyFill="1" applyBorder="1" applyAlignment="1" applyProtection="1">
      <alignment horizontal="center" vertical="center" wrapText="1"/>
      <protection/>
    </xf>
    <xf numFmtId="9" fontId="83" fillId="38" borderId="60" xfId="70" applyNumberFormat="1" applyFont="1" applyFill="1" applyBorder="1" applyAlignment="1" applyProtection="1">
      <alignment horizontal="left" vertical="center" wrapText="1"/>
      <protection/>
    </xf>
    <xf numFmtId="2" fontId="11" fillId="38" borderId="37" xfId="70" applyNumberFormat="1" applyFont="1" applyFill="1" applyBorder="1" applyAlignment="1">
      <alignment vertical="center" wrapText="1"/>
      <protection/>
    </xf>
    <xf numFmtId="0" fontId="0" fillId="38" borderId="51" xfId="0" applyFill="1" applyBorder="1" applyAlignment="1">
      <alignment vertical="center" wrapText="1"/>
    </xf>
    <xf numFmtId="9" fontId="83" fillId="38" borderId="39" xfId="70" applyNumberFormat="1" applyFont="1" applyFill="1" applyBorder="1" applyAlignment="1" applyProtection="1">
      <alignment horizontal="left" vertical="center" wrapText="1"/>
      <protection/>
    </xf>
    <xf numFmtId="9" fontId="83" fillId="38" borderId="15" xfId="70" applyNumberFormat="1" applyFont="1" applyFill="1" applyBorder="1" applyAlignment="1" applyProtection="1">
      <alignment horizontal="left" vertical="center" wrapText="1"/>
      <protection/>
    </xf>
    <xf numFmtId="9" fontId="83" fillId="38" borderId="19" xfId="70" applyNumberFormat="1" applyFont="1" applyFill="1" applyBorder="1" applyAlignment="1" applyProtection="1">
      <alignment horizontal="left" vertical="center" wrapText="1"/>
      <protection/>
    </xf>
    <xf numFmtId="2" fontId="10" fillId="38" borderId="50" xfId="70" applyNumberFormat="1" applyFont="1" applyFill="1" applyBorder="1" applyAlignment="1">
      <alignment vertical="center" wrapText="1"/>
      <protection/>
    </xf>
    <xf numFmtId="190" fontId="10" fillId="0" borderId="66" xfId="78" applyNumberFormat="1" applyFont="1" applyFill="1" applyBorder="1" applyAlignment="1" applyProtection="1">
      <alignment horizontal="center" vertical="center" wrapText="1"/>
      <protection/>
    </xf>
    <xf numFmtId="9" fontId="83" fillId="0" borderId="60" xfId="70" applyNumberFormat="1" applyFont="1" applyBorder="1" applyAlignment="1">
      <alignment horizontal="left" vertical="center" wrapText="1"/>
      <protection/>
    </xf>
    <xf numFmtId="9" fontId="83" fillId="0" borderId="41" xfId="70" applyNumberFormat="1" applyFont="1" applyBorder="1" applyAlignment="1">
      <alignment horizontal="left" vertical="center" wrapText="1"/>
      <protection/>
    </xf>
    <xf numFmtId="9" fontId="83" fillId="0" borderId="69" xfId="70" applyNumberFormat="1" applyFont="1" applyBorder="1" applyAlignment="1">
      <alignment horizontal="left" vertical="center" wrapText="1"/>
      <protection/>
    </xf>
    <xf numFmtId="9" fontId="83" fillId="0" borderId="67" xfId="70" applyNumberFormat="1" applyFont="1" applyBorder="1" applyAlignment="1">
      <alignment horizontal="left" vertical="center" wrapText="1"/>
      <protection/>
    </xf>
    <xf numFmtId="9" fontId="83" fillId="0" borderId="34" xfId="70" applyNumberFormat="1" applyFont="1" applyBorder="1" applyAlignment="1">
      <alignment horizontal="left" vertical="center" wrapText="1"/>
      <protection/>
    </xf>
    <xf numFmtId="9" fontId="83" fillId="0" borderId="35" xfId="70" applyNumberFormat="1" applyFont="1" applyBorder="1" applyAlignment="1">
      <alignment horizontal="left" vertical="center" wrapText="1"/>
      <protection/>
    </xf>
    <xf numFmtId="2" fontId="11" fillId="0" borderId="20" xfId="70" applyNumberFormat="1" applyFont="1" applyFill="1" applyBorder="1" applyAlignment="1">
      <alignment vertical="center" wrapText="1"/>
      <protection/>
    </xf>
    <xf numFmtId="2" fontId="10" fillId="0" borderId="20" xfId="70" applyNumberFormat="1" applyFont="1" applyFill="1" applyBorder="1" applyAlignment="1">
      <alignment vertical="center" wrapText="1"/>
      <protection/>
    </xf>
    <xf numFmtId="9" fontId="83" fillId="0" borderId="60" xfId="70" applyNumberFormat="1" applyFont="1" applyFill="1" applyBorder="1" applyAlignment="1">
      <alignment horizontal="left" vertical="center" wrapText="1"/>
      <protection/>
    </xf>
    <xf numFmtId="9" fontId="83" fillId="0" borderId="41" xfId="70" applyNumberFormat="1" applyFont="1" applyFill="1" applyBorder="1" applyAlignment="1">
      <alignment horizontal="left" vertical="center" wrapText="1"/>
      <protection/>
    </xf>
    <xf numFmtId="9" fontId="83" fillId="0" borderId="69" xfId="70" applyNumberFormat="1" applyFont="1" applyFill="1" applyBorder="1" applyAlignment="1">
      <alignment horizontal="left" vertical="center" wrapText="1"/>
      <protection/>
    </xf>
    <xf numFmtId="9" fontId="83" fillId="0" borderId="39" xfId="70" applyNumberFormat="1" applyFont="1" applyFill="1" applyBorder="1" applyAlignment="1">
      <alignment horizontal="left" vertical="center" wrapText="1"/>
      <protection/>
    </xf>
    <xf numFmtId="9" fontId="83" fillId="0" borderId="15" xfId="70" applyNumberFormat="1" applyFont="1" applyFill="1" applyBorder="1" applyAlignment="1">
      <alignment horizontal="left" vertical="center" wrapText="1"/>
      <protection/>
    </xf>
    <xf numFmtId="9" fontId="83" fillId="0" borderId="19" xfId="70" applyNumberFormat="1" applyFont="1" applyFill="1" applyBorder="1" applyAlignment="1">
      <alignment horizontal="left" vertical="center" wrapText="1"/>
      <protection/>
    </xf>
    <xf numFmtId="9" fontId="83" fillId="0" borderId="60" xfId="80" applyFont="1" applyFill="1" applyBorder="1" applyAlignment="1" applyProtection="1">
      <alignment horizontal="center" vertical="center" wrapText="1"/>
      <protection/>
    </xf>
    <xf numFmtId="9" fontId="83" fillId="0" borderId="41" xfId="80" applyFont="1" applyFill="1" applyBorder="1" applyAlignment="1" applyProtection="1">
      <alignment horizontal="center" vertical="center" wrapText="1"/>
      <protection/>
    </xf>
    <xf numFmtId="9" fontId="83" fillId="0" borderId="42" xfId="80" applyFont="1" applyFill="1" applyBorder="1" applyAlignment="1" applyProtection="1">
      <alignment horizontal="center" vertical="center" wrapText="1"/>
      <protection/>
    </xf>
    <xf numFmtId="9" fontId="83" fillId="0" borderId="67" xfId="80" applyFont="1" applyFill="1" applyBorder="1" applyAlignment="1" applyProtection="1">
      <alignment horizontal="center" vertical="center" wrapText="1"/>
      <protection/>
    </xf>
    <xf numFmtId="9" fontId="83" fillId="0" borderId="34" xfId="80" applyFont="1" applyFill="1" applyBorder="1" applyAlignment="1" applyProtection="1">
      <alignment horizontal="center" vertical="center" wrapText="1"/>
      <protection/>
    </xf>
    <xf numFmtId="9" fontId="83" fillId="0" borderId="68" xfId="80" applyFont="1" applyFill="1" applyBorder="1" applyAlignment="1" applyProtection="1">
      <alignment horizontal="center" vertical="center" wrapText="1"/>
      <protection/>
    </xf>
    <xf numFmtId="9" fontId="83" fillId="0" borderId="69" xfId="80" applyFont="1" applyFill="1" applyBorder="1" applyAlignment="1" applyProtection="1">
      <alignment horizontal="center" vertical="center" wrapText="1"/>
      <protection/>
    </xf>
    <xf numFmtId="9" fontId="83" fillId="0" borderId="35" xfId="80" applyFont="1" applyFill="1" applyBorder="1" applyAlignment="1" applyProtection="1">
      <alignment horizontal="center" vertical="center" wrapText="1"/>
      <protection/>
    </xf>
    <xf numFmtId="0" fontId="11" fillId="5" borderId="70" xfId="70" applyFont="1" applyFill="1" applyBorder="1" applyAlignment="1" applyProtection="1">
      <alignment horizontal="center" vertical="center" wrapText="1"/>
      <protection/>
    </xf>
    <xf numFmtId="9" fontId="83" fillId="0" borderId="84" xfId="70" applyNumberFormat="1" applyFont="1" applyBorder="1" applyAlignment="1">
      <alignment horizontal="left" vertical="center" wrapText="1"/>
      <protection/>
    </xf>
    <xf numFmtId="9" fontId="83" fillId="0" borderId="0" xfId="70" applyNumberFormat="1" applyFont="1" applyAlignment="1">
      <alignment horizontal="left" vertical="center" wrapText="1"/>
      <protection/>
    </xf>
    <xf numFmtId="9" fontId="83" fillId="0" borderId="29" xfId="70" applyNumberFormat="1" applyFont="1" applyBorder="1" applyAlignment="1">
      <alignment horizontal="left" vertical="center" wrapText="1"/>
      <protection/>
    </xf>
    <xf numFmtId="9" fontId="10" fillId="0" borderId="60" xfId="0" applyNumberFormat="1" applyFont="1" applyFill="1" applyBorder="1" applyAlignment="1">
      <alignment horizontal="center" vertical="center" wrapText="1"/>
    </xf>
    <xf numFmtId="9" fontId="10" fillId="0" borderId="41" xfId="0" applyNumberFormat="1" applyFont="1" applyFill="1" applyBorder="1" applyAlignment="1">
      <alignment horizontal="center" vertical="center" wrapText="1"/>
    </xf>
    <xf numFmtId="9" fontId="10" fillId="0" borderId="85" xfId="0" applyNumberFormat="1" applyFont="1" applyFill="1" applyBorder="1" applyAlignment="1">
      <alignment horizontal="center" vertical="center" wrapText="1"/>
    </xf>
    <xf numFmtId="9" fontId="10" fillId="0" borderId="39"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86" xfId="0" applyNumberFormat="1" applyFont="1" applyFill="1" applyBorder="1" applyAlignment="1">
      <alignment horizontal="center" vertical="center" wrapText="1"/>
    </xf>
    <xf numFmtId="2" fontId="10" fillId="0" borderId="37" xfId="70" applyNumberFormat="1" applyFont="1" applyFill="1" applyBorder="1" applyAlignment="1" applyProtection="1">
      <alignment horizontal="left" vertical="center" wrapText="1"/>
      <protection/>
    </xf>
    <xf numFmtId="2" fontId="10" fillId="0" borderId="65" xfId="70" applyNumberFormat="1" applyFont="1" applyFill="1" applyBorder="1" applyAlignment="1" applyProtection="1">
      <alignment horizontal="left" vertical="center" wrapText="1"/>
      <protection/>
    </xf>
    <xf numFmtId="9" fontId="10" fillId="0" borderId="66" xfId="78" applyFont="1" applyFill="1" applyBorder="1" applyAlignment="1" applyProtection="1">
      <alignment horizontal="center" vertical="center" wrapText="1"/>
      <protection/>
    </xf>
    <xf numFmtId="9" fontId="83" fillId="0" borderId="67" xfId="70" applyNumberFormat="1" applyFont="1" applyFill="1" applyBorder="1" applyAlignment="1" applyProtection="1">
      <alignment vertical="center" wrapText="1"/>
      <protection/>
    </xf>
    <xf numFmtId="9" fontId="83" fillId="0" borderId="34" xfId="70" applyNumberFormat="1" applyFont="1" applyFill="1" applyBorder="1" applyAlignment="1" applyProtection="1">
      <alignment vertical="center" wrapText="1"/>
      <protection/>
    </xf>
    <xf numFmtId="9" fontId="83" fillId="0" borderId="68" xfId="70" applyNumberFormat="1" applyFont="1" applyFill="1" applyBorder="1" applyAlignment="1" applyProtection="1">
      <alignment vertical="center" wrapText="1"/>
      <protection/>
    </xf>
    <xf numFmtId="9" fontId="83" fillId="0" borderId="60" xfId="70" applyNumberFormat="1" applyFont="1" applyBorder="1" applyAlignment="1">
      <alignment vertical="top" wrapText="1"/>
      <protection/>
    </xf>
    <xf numFmtId="9" fontId="83" fillId="0" borderId="41" xfId="70" applyNumberFormat="1" applyFont="1" applyBorder="1" applyAlignment="1">
      <alignment vertical="top" wrapText="1"/>
      <protection/>
    </xf>
    <xf numFmtId="9" fontId="83" fillId="0" borderId="69" xfId="70" applyNumberFormat="1" applyFont="1" applyBorder="1" applyAlignment="1">
      <alignment vertical="top" wrapText="1"/>
      <protection/>
    </xf>
    <xf numFmtId="9" fontId="83" fillId="0" borderId="84" xfId="70" applyNumberFormat="1" applyFont="1" applyBorder="1" applyAlignment="1">
      <alignment vertical="top" wrapText="1"/>
      <protection/>
    </xf>
    <xf numFmtId="9" fontId="83" fillId="0" borderId="0" xfId="70" applyNumberFormat="1" applyFont="1" applyAlignment="1">
      <alignment vertical="top" wrapText="1"/>
      <protection/>
    </xf>
    <xf numFmtId="9" fontId="83" fillId="0" borderId="29" xfId="70" applyNumberFormat="1" applyFont="1" applyBorder="1" applyAlignment="1">
      <alignment vertical="top" wrapText="1"/>
      <protection/>
    </xf>
    <xf numFmtId="9" fontId="83" fillId="0" borderId="60" xfId="80" applyFont="1" applyFill="1" applyBorder="1" applyAlignment="1" applyProtection="1">
      <alignment horizontal="left" vertical="center" wrapText="1"/>
      <protection/>
    </xf>
    <xf numFmtId="9" fontId="83" fillId="0" borderId="41" xfId="80" applyFont="1" applyFill="1" applyBorder="1" applyAlignment="1" applyProtection="1">
      <alignment horizontal="left" vertical="center" wrapText="1"/>
      <protection/>
    </xf>
    <xf numFmtId="9" fontId="83" fillId="0" borderId="42" xfId="80" applyFont="1" applyFill="1" applyBorder="1" applyAlignment="1" applyProtection="1">
      <alignment horizontal="left" vertical="center" wrapText="1"/>
      <protection/>
    </xf>
    <xf numFmtId="9" fontId="83" fillId="0" borderId="67" xfId="80" applyFont="1" applyFill="1" applyBorder="1" applyAlignment="1" applyProtection="1">
      <alignment horizontal="left" vertical="center" wrapText="1"/>
      <protection/>
    </xf>
    <xf numFmtId="9" fontId="83" fillId="0" borderId="34" xfId="80" applyFont="1" applyFill="1" applyBorder="1" applyAlignment="1" applyProtection="1">
      <alignment horizontal="left" vertical="center" wrapText="1"/>
      <protection/>
    </xf>
    <xf numFmtId="9" fontId="83" fillId="0" borderId="68" xfId="80" applyFont="1" applyFill="1" applyBorder="1" applyAlignment="1" applyProtection="1">
      <alignment horizontal="left" vertical="center" wrapText="1"/>
      <protection/>
    </xf>
    <xf numFmtId="9" fontId="83" fillId="0" borderId="60" xfId="80" applyFont="1" applyFill="1" applyBorder="1" applyAlignment="1" applyProtection="1">
      <alignment horizontal="left" vertical="top" wrapText="1"/>
      <protection/>
    </xf>
    <xf numFmtId="9" fontId="83" fillId="0" borderId="41" xfId="80" applyFont="1" applyFill="1" applyBorder="1" applyAlignment="1" applyProtection="1">
      <alignment horizontal="left" vertical="top" wrapText="1"/>
      <protection/>
    </xf>
    <xf numFmtId="9" fontId="83" fillId="0" borderId="69" xfId="80" applyFont="1" applyFill="1" applyBorder="1" applyAlignment="1" applyProtection="1">
      <alignment horizontal="left" vertical="top" wrapText="1"/>
      <protection/>
    </xf>
    <xf numFmtId="9" fontId="83" fillId="0" borderId="67" xfId="80" applyFont="1" applyFill="1" applyBorder="1" applyAlignment="1" applyProtection="1">
      <alignment horizontal="left" vertical="top" wrapText="1"/>
      <protection/>
    </xf>
    <xf numFmtId="9" fontId="83" fillId="0" borderId="34" xfId="80" applyFont="1" applyFill="1" applyBorder="1" applyAlignment="1" applyProtection="1">
      <alignment horizontal="left" vertical="top" wrapText="1"/>
      <protection/>
    </xf>
    <xf numFmtId="9" fontId="83" fillId="0" borderId="35" xfId="80" applyFont="1" applyFill="1" applyBorder="1" applyAlignment="1" applyProtection="1">
      <alignment horizontal="left" vertical="top" wrapText="1"/>
      <protection/>
    </xf>
    <xf numFmtId="2" fontId="10" fillId="0" borderId="51" xfId="70" applyNumberFormat="1" applyFont="1" applyFill="1" applyBorder="1" applyAlignment="1" applyProtection="1">
      <alignment horizontal="left" vertical="center" wrapText="1"/>
      <protection/>
    </xf>
    <xf numFmtId="2" fontId="10" fillId="0" borderId="20" xfId="70" applyNumberFormat="1" applyFont="1" applyFill="1" applyBorder="1" applyAlignment="1" applyProtection="1">
      <alignment horizontal="left" vertical="center" wrapText="1"/>
      <protection/>
    </xf>
    <xf numFmtId="9" fontId="83" fillId="0" borderId="39" xfId="70" applyNumberFormat="1" applyFont="1" applyBorder="1" applyAlignment="1">
      <alignment vertical="top" wrapText="1"/>
      <protection/>
    </xf>
    <xf numFmtId="9" fontId="83" fillId="0" borderId="15" xfId="70" applyNumberFormat="1" applyFont="1" applyBorder="1" applyAlignment="1">
      <alignment vertical="top" wrapText="1"/>
      <protection/>
    </xf>
    <xf numFmtId="9" fontId="83" fillId="0" borderId="19" xfId="70" applyNumberFormat="1" applyFont="1" applyBorder="1" applyAlignment="1">
      <alignment vertical="top" wrapText="1"/>
      <protection/>
    </xf>
    <xf numFmtId="2" fontId="10" fillId="0" borderId="59" xfId="70" applyNumberFormat="1" applyFont="1" applyFill="1" applyBorder="1" applyAlignment="1" applyProtection="1">
      <alignment horizontal="left" vertical="center" wrapText="1"/>
      <protection/>
    </xf>
    <xf numFmtId="0" fontId="0" fillId="0" borderId="65" xfId="0" applyFont="1" applyFill="1" applyBorder="1" applyAlignment="1">
      <alignment horizontal="left" vertical="center" wrapText="1"/>
    </xf>
    <xf numFmtId="9" fontId="83" fillId="0" borderId="67" xfId="70" applyNumberFormat="1" applyFont="1" applyBorder="1" applyAlignment="1">
      <alignment vertical="top" wrapText="1"/>
      <protection/>
    </xf>
    <xf numFmtId="9" fontId="83" fillId="0" borderId="34" xfId="70" applyNumberFormat="1" applyFont="1" applyBorder="1" applyAlignment="1">
      <alignment vertical="top" wrapText="1"/>
      <protection/>
    </xf>
    <xf numFmtId="9" fontId="83" fillId="0" borderId="35" xfId="70" applyNumberFormat="1" applyFont="1" applyBorder="1" applyAlignment="1">
      <alignment vertical="top" wrapText="1"/>
      <protection/>
    </xf>
    <xf numFmtId="0" fontId="0" fillId="0" borderId="51" xfId="0" applyFont="1" applyFill="1" applyBorder="1" applyAlignment="1">
      <alignment horizontal="left" vertical="center" wrapText="1"/>
    </xf>
    <xf numFmtId="199" fontId="11" fillId="0" borderId="87" xfId="70" applyNumberFormat="1" applyFont="1" applyFill="1" applyBorder="1" applyAlignment="1">
      <alignment horizontal="center" vertical="center" wrapText="1"/>
      <protection/>
    </xf>
    <xf numFmtId="199" fontId="11" fillId="0" borderId="26" xfId="70" applyNumberFormat="1" applyFont="1" applyFill="1" applyBorder="1" applyAlignment="1">
      <alignment horizontal="center" vertical="center" wrapText="1"/>
      <protection/>
    </xf>
    <xf numFmtId="199" fontId="11" fillId="0" borderId="88" xfId="70" applyNumberFormat="1" applyFont="1" applyFill="1" applyBorder="1" applyAlignment="1">
      <alignment horizontal="center" vertical="center" wrapText="1"/>
      <protection/>
    </xf>
    <xf numFmtId="199" fontId="11" fillId="0" borderId="84" xfId="70" applyNumberFormat="1" applyFont="1" applyFill="1" applyBorder="1" applyAlignment="1">
      <alignment horizontal="center" vertical="center" wrapText="1"/>
      <protection/>
    </xf>
    <xf numFmtId="199" fontId="11" fillId="0" borderId="0" xfId="70" applyNumberFormat="1" applyFont="1" applyFill="1" applyBorder="1" applyAlignment="1">
      <alignment horizontal="center" vertical="center" wrapText="1"/>
      <protection/>
    </xf>
    <xf numFmtId="199" fontId="11" fillId="0" borderId="43" xfId="70" applyNumberFormat="1" applyFont="1" applyFill="1" applyBorder="1" applyAlignment="1">
      <alignment horizontal="center" vertical="center" wrapText="1"/>
      <protection/>
    </xf>
    <xf numFmtId="199" fontId="11" fillId="0" borderId="67" xfId="70" applyNumberFormat="1" applyFont="1" applyFill="1" applyBorder="1" applyAlignment="1">
      <alignment horizontal="center" vertical="center" wrapText="1"/>
      <protection/>
    </xf>
    <xf numFmtId="199" fontId="11" fillId="0" borderId="34" xfId="70" applyNumberFormat="1" applyFont="1" applyFill="1" applyBorder="1" applyAlignment="1">
      <alignment horizontal="center" vertical="center" wrapText="1"/>
      <protection/>
    </xf>
    <xf numFmtId="199" fontId="11" fillId="0" borderId="68" xfId="70" applyNumberFormat="1" applyFont="1" applyFill="1" applyBorder="1" applyAlignment="1">
      <alignment horizontal="center" vertical="center" wrapText="1"/>
      <protection/>
    </xf>
    <xf numFmtId="0" fontId="11" fillId="38" borderId="26" xfId="70" applyFont="1" applyFill="1" applyBorder="1" applyAlignment="1">
      <alignment horizontal="center" vertical="center" wrapText="1"/>
      <protection/>
    </xf>
    <xf numFmtId="0" fontId="11" fillId="38" borderId="0" xfId="70" applyFont="1" applyFill="1" applyBorder="1" applyAlignment="1">
      <alignment horizontal="center" vertical="center" wrapText="1"/>
      <protection/>
    </xf>
    <xf numFmtId="0" fontId="11" fillId="38" borderId="34" xfId="70" applyFont="1" applyFill="1" applyBorder="1" applyAlignment="1">
      <alignment horizontal="center" vertical="center" wrapText="1"/>
      <protection/>
    </xf>
    <xf numFmtId="0" fontId="11" fillId="38" borderId="14" xfId="70" applyFont="1" applyFill="1" applyBorder="1" applyAlignment="1">
      <alignment horizontal="left" vertical="center" wrapText="1"/>
      <protection/>
    </xf>
    <xf numFmtId="0" fontId="11" fillId="38" borderId="64" xfId="70" applyFont="1" applyFill="1" applyBorder="1" applyAlignment="1">
      <alignment horizontal="left" vertical="center" wrapText="1"/>
      <protection/>
    </xf>
    <xf numFmtId="0" fontId="11" fillId="38" borderId="17" xfId="70" applyFont="1" applyFill="1" applyBorder="1" applyAlignment="1">
      <alignment horizontal="left" vertical="center" wrapText="1"/>
      <protection/>
    </xf>
    <xf numFmtId="0" fontId="11" fillId="38" borderId="45" xfId="70" applyFont="1" applyFill="1" applyBorder="1" applyAlignment="1">
      <alignment horizontal="left" vertical="center" wrapText="1"/>
      <protection/>
    </xf>
    <xf numFmtId="0" fontId="11" fillId="38" borderId="40" xfId="70" applyFont="1" applyFill="1" applyBorder="1" applyAlignment="1">
      <alignment horizontal="left" vertical="center" wrapText="1"/>
      <protection/>
    </xf>
    <xf numFmtId="0" fontId="11" fillId="38" borderId="89" xfId="70" applyFont="1" applyFill="1" applyBorder="1" applyAlignment="1">
      <alignment horizontal="left" vertical="center" wrapText="1"/>
      <protection/>
    </xf>
    <xf numFmtId="0" fontId="11" fillId="38" borderId="83" xfId="70" applyFont="1" applyFill="1" applyBorder="1" applyAlignment="1">
      <alignment horizontal="left" vertical="center" wrapText="1"/>
      <protection/>
    </xf>
    <xf numFmtId="0" fontId="11" fillId="38" borderId="82" xfId="70" applyFont="1" applyFill="1" applyBorder="1" applyAlignment="1">
      <alignment horizontal="left" vertical="center" wrapText="1"/>
      <protection/>
    </xf>
    <xf numFmtId="0" fontId="85" fillId="0" borderId="39" xfId="0" applyFont="1" applyBorder="1" applyAlignment="1">
      <alignment horizontal="center" vertical="center"/>
    </xf>
    <xf numFmtId="0" fontId="85" fillId="0" borderId="15" xfId="0" applyFont="1" applyBorder="1" applyAlignment="1">
      <alignment horizontal="center" vertical="center"/>
    </xf>
    <xf numFmtId="0" fontId="85" fillId="0" borderId="44" xfId="0" applyFont="1" applyBorder="1" applyAlignment="1">
      <alignment horizontal="center" vertical="center"/>
    </xf>
    <xf numFmtId="0" fontId="85" fillId="0" borderId="14" xfId="0" applyFont="1" applyFill="1" applyBorder="1" applyAlignment="1">
      <alignment horizontal="center" vertical="center"/>
    </xf>
    <xf numFmtId="0" fontId="85" fillId="0" borderId="64"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60" xfId="0" applyFont="1" applyBorder="1" applyAlignment="1">
      <alignment horizontal="center" vertical="center"/>
    </xf>
    <xf numFmtId="0" fontId="85" fillId="0" borderId="41" xfId="0" applyFont="1" applyBorder="1" applyAlignment="1">
      <alignment horizontal="center" vertical="center"/>
    </xf>
    <xf numFmtId="0" fontId="85" fillId="0" borderId="42" xfId="0" applyFont="1" applyBorder="1" applyAlignment="1">
      <alignment horizontal="center" vertical="center"/>
    </xf>
    <xf numFmtId="0" fontId="85" fillId="0" borderId="13" xfId="0" applyFont="1" applyBorder="1" applyAlignment="1">
      <alignment horizontal="left" vertical="center" wrapText="1"/>
    </xf>
    <xf numFmtId="0" fontId="85" fillId="11" borderId="14" xfId="0" applyFont="1" applyFill="1" applyBorder="1" applyAlignment="1">
      <alignment horizontal="center" vertical="center"/>
    </xf>
    <xf numFmtId="0" fontId="85" fillId="11" borderId="64" xfId="0" applyFont="1" applyFill="1" applyBorder="1" applyAlignment="1">
      <alignment horizontal="center" vertical="center"/>
    </xf>
    <xf numFmtId="0" fontId="85" fillId="11" borderId="17" xfId="0" applyFont="1" applyFill="1" applyBorder="1" applyAlignment="1">
      <alignment horizontal="center" vertical="center"/>
    </xf>
    <xf numFmtId="0" fontId="85" fillId="11" borderId="60" xfId="0" applyFont="1" applyFill="1" applyBorder="1" applyAlignment="1">
      <alignment horizontal="center" vertical="center"/>
    </xf>
    <xf numFmtId="0" fontId="85" fillId="11" borderId="41" xfId="0" applyFont="1" applyFill="1" applyBorder="1" applyAlignment="1">
      <alignment horizontal="center" vertical="center"/>
    </xf>
    <xf numFmtId="0" fontId="85" fillId="11" borderId="42" xfId="0" applyFont="1" applyFill="1" applyBorder="1" applyAlignment="1">
      <alignment horizontal="center" vertical="center"/>
    </xf>
    <xf numFmtId="0" fontId="85" fillId="11" borderId="84" xfId="0" applyFont="1" applyFill="1" applyBorder="1" applyAlignment="1">
      <alignment horizontal="center" vertical="center"/>
    </xf>
    <xf numFmtId="0" fontId="85" fillId="11" borderId="0" xfId="0" applyFont="1" applyFill="1" applyBorder="1" applyAlignment="1">
      <alignment horizontal="center" vertical="center"/>
    </xf>
    <xf numFmtId="0" fontId="85" fillId="11" borderId="43" xfId="0" applyFont="1" applyFill="1" applyBorder="1" applyAlignment="1">
      <alignment horizontal="center" vertical="center"/>
    </xf>
    <xf numFmtId="0" fontId="85" fillId="11" borderId="39" xfId="0" applyFont="1" applyFill="1" applyBorder="1" applyAlignment="1">
      <alignment horizontal="center" vertical="center"/>
    </xf>
    <xf numFmtId="0" fontId="85" fillId="11" borderId="15" xfId="0" applyFont="1" applyFill="1" applyBorder="1" applyAlignment="1">
      <alignment horizontal="center" vertical="center"/>
    </xf>
    <xf numFmtId="0" fontId="85" fillId="11" borderId="44" xfId="0" applyFont="1" applyFill="1" applyBorder="1" applyAlignment="1">
      <alignment horizontal="center" vertical="center"/>
    </xf>
    <xf numFmtId="0" fontId="85" fillId="11" borderId="22" xfId="0" applyFont="1" applyFill="1" applyBorder="1" applyAlignment="1">
      <alignment horizontal="center" vertical="center" wrapText="1"/>
    </xf>
    <xf numFmtId="0" fontId="85" fillId="11" borderId="54" xfId="0" applyFont="1" applyFill="1" applyBorder="1" applyAlignment="1">
      <alignment horizontal="center" vertical="center" wrapText="1"/>
    </xf>
    <xf numFmtId="0" fontId="85" fillId="11" borderId="16" xfId="0" applyFont="1" applyFill="1" applyBorder="1" applyAlignment="1">
      <alignment horizontal="center" vertical="center" wrapText="1"/>
    </xf>
    <xf numFmtId="0" fontId="85" fillId="11" borderId="13" xfId="0" applyFont="1" applyFill="1" applyBorder="1" applyAlignment="1">
      <alignment horizontal="center" vertical="center"/>
    </xf>
    <xf numFmtId="14" fontId="96" fillId="0" borderId="13" xfId="0" applyNumberFormat="1" applyFont="1" applyFill="1" applyBorder="1" applyAlignment="1">
      <alignment horizontal="center" vertical="center"/>
    </xf>
    <xf numFmtId="0" fontId="96" fillId="0" borderId="13" xfId="0" applyFont="1" applyFill="1" applyBorder="1" applyAlignment="1">
      <alignment horizontal="center" vertical="center"/>
    </xf>
    <xf numFmtId="0" fontId="85" fillId="0" borderId="13" xfId="0" applyFont="1" applyFill="1" applyBorder="1" applyAlignment="1">
      <alignment horizontal="center" vertical="center" wrapText="1"/>
    </xf>
    <xf numFmtId="0" fontId="85" fillId="11" borderId="39" xfId="0" applyFont="1" applyFill="1" applyBorder="1" applyAlignment="1">
      <alignment horizontal="left" vertical="center"/>
    </xf>
    <xf numFmtId="0" fontId="85" fillId="11" borderId="15" xfId="0" applyFont="1" applyFill="1" applyBorder="1" applyAlignment="1">
      <alignment horizontal="left" vertical="center"/>
    </xf>
    <xf numFmtId="0" fontId="85" fillId="11" borderId="44" xfId="0" applyFont="1" applyFill="1" applyBorder="1" applyAlignment="1">
      <alignment horizontal="left" vertical="center"/>
    </xf>
    <xf numFmtId="0" fontId="83" fillId="0" borderId="39" xfId="0" applyFont="1" applyBorder="1" applyAlignment="1">
      <alignment horizontal="center" vertical="center"/>
    </xf>
    <xf numFmtId="0" fontId="83" fillId="0" borderId="15" xfId="0" applyFont="1" applyBorder="1" applyAlignment="1">
      <alignment horizontal="center" vertical="center"/>
    </xf>
    <xf numFmtId="0" fontId="83" fillId="0" borderId="64" xfId="0" applyFont="1" applyBorder="1" applyAlignment="1">
      <alignment horizontal="center" vertical="center"/>
    </xf>
    <xf numFmtId="0" fontId="83" fillId="0" borderId="17" xfId="0" applyFont="1" applyBorder="1" applyAlignment="1">
      <alignment horizontal="center" vertical="center"/>
    </xf>
    <xf numFmtId="0" fontId="85" fillId="11" borderId="14" xfId="0" applyFont="1" applyFill="1" applyBorder="1" applyAlignment="1">
      <alignment horizontal="left" vertical="center"/>
    </xf>
    <xf numFmtId="0" fontId="85" fillId="11" borderId="64" xfId="0" applyFont="1" applyFill="1" applyBorder="1" applyAlignment="1">
      <alignment horizontal="left" vertical="center"/>
    </xf>
    <xf numFmtId="0" fontId="85" fillId="11" borderId="17" xfId="0" applyFont="1" applyFill="1" applyBorder="1" applyAlignment="1">
      <alignment horizontal="left" vertical="center"/>
    </xf>
    <xf numFmtId="0" fontId="83" fillId="0" borderId="14" xfId="0" applyFont="1" applyBorder="1" applyAlignment="1">
      <alignment horizontal="center" vertical="center"/>
    </xf>
    <xf numFmtId="0" fontId="85" fillId="11" borderId="14" xfId="0" applyFont="1" applyFill="1" applyBorder="1" applyAlignment="1">
      <alignment horizontal="center" vertical="center" wrapText="1"/>
    </xf>
    <xf numFmtId="0" fontId="85" fillId="11" borderId="64" xfId="0" applyFont="1" applyFill="1" applyBorder="1" applyAlignment="1">
      <alignment horizontal="center" vertical="center" wrapText="1"/>
    </xf>
    <xf numFmtId="0" fontId="85" fillId="11" borderId="17" xfId="0" applyFont="1" applyFill="1" applyBorder="1" applyAlignment="1">
      <alignment horizontal="center" vertical="center" wrapText="1"/>
    </xf>
    <xf numFmtId="0" fontId="11" fillId="41" borderId="13" xfId="70" applyFont="1" applyFill="1" applyBorder="1" applyAlignment="1">
      <alignment horizontal="center" vertical="center" wrapText="1"/>
      <protection/>
    </xf>
    <xf numFmtId="0" fontId="11" fillId="38" borderId="13" xfId="70" applyFont="1" applyFill="1" applyBorder="1" applyAlignment="1">
      <alignment horizontal="left" vertical="center" wrapText="1"/>
      <protection/>
    </xf>
    <xf numFmtId="0" fontId="83" fillId="0" borderId="14" xfId="0" applyFont="1" applyBorder="1" applyAlignment="1">
      <alignment horizontal="left" vertical="center"/>
    </xf>
    <xf numFmtId="0" fontId="83" fillId="0" borderId="64" xfId="0" applyFont="1" applyBorder="1" applyAlignment="1">
      <alignment horizontal="left" vertical="center"/>
    </xf>
    <xf numFmtId="0" fontId="83" fillId="0" borderId="17" xfId="0" applyFont="1" applyBorder="1" applyAlignment="1">
      <alignment horizontal="left" vertical="center"/>
    </xf>
    <xf numFmtId="0" fontId="85" fillId="41" borderId="13" xfId="70" applyFont="1" applyFill="1" applyBorder="1" applyAlignment="1">
      <alignment horizontal="center" vertical="center" wrapText="1"/>
      <protection/>
    </xf>
    <xf numFmtId="0" fontId="85" fillId="0" borderId="57" xfId="0" applyFont="1" applyFill="1" applyBorder="1" applyAlignment="1">
      <alignment horizontal="left" vertical="center" wrapText="1"/>
    </xf>
    <xf numFmtId="0" fontId="85" fillId="0" borderId="63" xfId="0" applyFont="1" applyFill="1" applyBorder="1" applyAlignment="1">
      <alignment horizontal="left" vertical="center" wrapText="1"/>
    </xf>
    <xf numFmtId="0" fontId="85" fillId="0" borderId="17" xfId="0" applyFont="1" applyFill="1" applyBorder="1" applyAlignment="1">
      <alignment horizontal="left" vertical="center" wrapText="1"/>
    </xf>
    <xf numFmtId="0" fontId="85" fillId="0" borderId="13" xfId="0" applyFont="1" applyFill="1" applyBorder="1" applyAlignment="1">
      <alignment horizontal="left" vertical="center" wrapText="1"/>
    </xf>
    <xf numFmtId="0" fontId="83" fillId="0" borderId="22" xfId="0" applyFont="1" applyFill="1" applyBorder="1" applyAlignment="1">
      <alignment horizontal="center" vertical="center" wrapText="1"/>
    </xf>
    <xf numFmtId="0" fontId="83" fillId="0" borderId="54"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0" fillId="0" borderId="65" xfId="0" applyFont="1" applyFill="1" applyBorder="1" applyAlignment="1">
      <alignment vertical="center" wrapText="1"/>
    </xf>
    <xf numFmtId="2" fontId="10" fillId="0" borderId="22" xfId="70" applyNumberFormat="1" applyFont="1" applyFill="1" applyBorder="1" applyAlignment="1" applyProtection="1">
      <alignment horizontal="center" vertical="center" wrapText="1"/>
      <protection/>
    </xf>
    <xf numFmtId="2" fontId="10" fillId="0" borderId="66" xfId="70" applyNumberFormat="1" applyFont="1" applyFill="1" applyBorder="1" applyAlignment="1" applyProtection="1">
      <alignment horizontal="center" vertical="center" wrapText="1"/>
      <protection/>
    </xf>
    <xf numFmtId="9" fontId="84" fillId="0" borderId="60" xfId="70" applyNumberFormat="1" applyFont="1" applyFill="1" applyBorder="1" applyAlignment="1" applyProtection="1">
      <alignment horizontal="center" vertical="center" wrapText="1"/>
      <protection/>
    </xf>
    <xf numFmtId="9" fontId="84" fillId="0" borderId="41" xfId="70" applyNumberFormat="1" applyFont="1" applyFill="1" applyBorder="1" applyAlignment="1" applyProtection="1">
      <alignment horizontal="center" vertical="center" wrapText="1"/>
      <protection/>
    </xf>
    <xf numFmtId="9" fontId="84" fillId="0" borderId="69" xfId="70" applyNumberFormat="1" applyFont="1" applyFill="1" applyBorder="1" applyAlignment="1" applyProtection="1">
      <alignment horizontal="center" vertical="center" wrapText="1"/>
      <protection/>
    </xf>
    <xf numFmtId="9" fontId="84" fillId="0" borderId="67" xfId="70" applyNumberFormat="1" applyFont="1" applyFill="1" applyBorder="1" applyAlignment="1" applyProtection="1">
      <alignment horizontal="center" vertical="center" wrapText="1"/>
      <protection/>
    </xf>
    <xf numFmtId="9" fontId="84" fillId="0" borderId="34" xfId="70" applyNumberFormat="1" applyFont="1" applyFill="1" applyBorder="1" applyAlignment="1" applyProtection="1">
      <alignment horizontal="center" vertical="center" wrapText="1"/>
      <protection/>
    </xf>
    <xf numFmtId="9" fontId="84" fillId="0" borderId="35" xfId="70" applyNumberFormat="1" applyFont="1" applyFill="1" applyBorder="1" applyAlignment="1" applyProtection="1">
      <alignment horizontal="center" vertical="center" wrapText="1"/>
      <protection/>
    </xf>
    <xf numFmtId="2" fontId="10" fillId="0" borderId="16" xfId="70" applyNumberFormat="1" applyFont="1" applyFill="1" applyBorder="1" applyAlignment="1" applyProtection="1">
      <alignment horizontal="center" vertical="center" wrapText="1"/>
      <protection/>
    </xf>
    <xf numFmtId="9" fontId="84" fillId="0" borderId="84" xfId="70" applyNumberFormat="1" applyFont="1" applyFill="1" applyBorder="1" applyAlignment="1" applyProtection="1">
      <alignment horizontal="center" vertical="center" wrapText="1"/>
      <protection/>
    </xf>
    <xf numFmtId="9" fontId="84" fillId="0" borderId="0" xfId="70" applyNumberFormat="1" applyFont="1" applyFill="1" applyBorder="1" applyAlignment="1" applyProtection="1">
      <alignment horizontal="center" vertical="center" wrapText="1"/>
      <protection/>
    </xf>
    <xf numFmtId="9" fontId="84" fillId="0" borderId="29" xfId="70" applyNumberFormat="1" applyFont="1" applyFill="1" applyBorder="1" applyAlignment="1" applyProtection="1">
      <alignment horizontal="center" vertical="center" wrapText="1"/>
      <protection/>
    </xf>
    <xf numFmtId="2" fontId="10" fillId="0" borderId="37" xfId="70" applyNumberFormat="1" applyFont="1" applyFill="1" applyBorder="1" applyAlignment="1" applyProtection="1">
      <alignment horizontal="center" vertical="center" wrapText="1"/>
      <protection/>
    </xf>
    <xf numFmtId="2" fontId="10" fillId="0" borderId="51" xfId="70" applyNumberFormat="1" applyFont="1" applyFill="1" applyBorder="1" applyAlignment="1" applyProtection="1">
      <alignment horizontal="center" vertical="center" wrapText="1"/>
      <protection/>
    </xf>
    <xf numFmtId="2" fontId="10" fillId="0" borderId="54" xfId="70" applyNumberFormat="1" applyFont="1" applyFill="1" applyBorder="1" applyAlignment="1" applyProtection="1">
      <alignment horizontal="center" vertical="center" wrapText="1"/>
      <protection/>
    </xf>
    <xf numFmtId="9" fontId="84" fillId="0" borderId="60" xfId="70" applyNumberFormat="1" applyFont="1" applyFill="1" applyBorder="1" applyAlignment="1" applyProtection="1">
      <alignment horizontal="left" vertical="center" wrapText="1"/>
      <protection/>
    </xf>
    <xf numFmtId="9" fontId="84" fillId="0" borderId="41" xfId="70" applyNumberFormat="1" applyFont="1" applyFill="1" applyBorder="1" applyAlignment="1" applyProtection="1">
      <alignment horizontal="left" vertical="center" wrapText="1"/>
      <protection/>
    </xf>
    <xf numFmtId="9" fontId="84" fillId="0" borderId="69" xfId="70" applyNumberFormat="1" applyFont="1" applyFill="1" applyBorder="1" applyAlignment="1" applyProtection="1">
      <alignment horizontal="left" vertical="center" wrapText="1"/>
      <protection/>
    </xf>
    <xf numFmtId="9" fontId="84" fillId="0" borderId="84" xfId="70" applyNumberFormat="1" applyFont="1" applyFill="1" applyBorder="1" applyAlignment="1" applyProtection="1">
      <alignment horizontal="left" vertical="center" wrapText="1"/>
      <protection/>
    </xf>
    <xf numFmtId="9" fontId="84" fillId="0" borderId="0" xfId="70" applyNumberFormat="1" applyFont="1" applyFill="1" applyBorder="1" applyAlignment="1" applyProtection="1">
      <alignment horizontal="left" vertical="center" wrapText="1"/>
      <protection/>
    </xf>
    <xf numFmtId="9" fontId="84" fillId="0" borderId="29" xfId="70" applyNumberFormat="1" applyFont="1" applyFill="1" applyBorder="1" applyAlignment="1" applyProtection="1">
      <alignment horizontal="left" vertical="center" wrapText="1"/>
      <protection/>
    </xf>
    <xf numFmtId="0" fontId="11" fillId="0" borderId="22" xfId="70" applyFont="1" applyFill="1" applyBorder="1" applyAlignment="1" applyProtection="1">
      <alignment horizontal="center" vertical="center" wrapText="1"/>
      <protection/>
    </xf>
    <xf numFmtId="9" fontId="84" fillId="0" borderId="60" xfId="80" applyFont="1" applyFill="1" applyBorder="1" applyAlignment="1" applyProtection="1">
      <alignment horizontal="center" vertical="center" wrapText="1"/>
      <protection/>
    </xf>
    <xf numFmtId="9" fontId="84" fillId="0" borderId="41" xfId="80" applyFont="1" applyFill="1" applyBorder="1" applyAlignment="1" applyProtection="1">
      <alignment horizontal="center" vertical="center" wrapText="1"/>
      <protection/>
    </xf>
    <xf numFmtId="9" fontId="84" fillId="0" borderId="42" xfId="80" applyFont="1" applyFill="1" applyBorder="1" applyAlignment="1" applyProtection="1">
      <alignment horizontal="center" vertical="center" wrapText="1"/>
      <protection/>
    </xf>
    <xf numFmtId="9" fontId="84" fillId="0" borderId="67" xfId="80" applyFont="1" applyFill="1" applyBorder="1" applyAlignment="1" applyProtection="1">
      <alignment horizontal="center" vertical="center" wrapText="1"/>
      <protection/>
    </xf>
    <xf numFmtId="9" fontId="84" fillId="0" borderId="34" xfId="80" applyFont="1" applyFill="1" applyBorder="1" applyAlignment="1" applyProtection="1">
      <alignment horizontal="center" vertical="center" wrapText="1"/>
      <protection/>
    </xf>
    <xf numFmtId="9" fontId="84" fillId="0" borderId="68" xfId="80" applyFont="1" applyFill="1" applyBorder="1" applyAlignment="1" applyProtection="1">
      <alignment horizontal="center" vertical="center" wrapText="1"/>
      <protection/>
    </xf>
    <xf numFmtId="9" fontId="84" fillId="0" borderId="69" xfId="80" applyFont="1" applyFill="1" applyBorder="1" applyAlignment="1" applyProtection="1">
      <alignment horizontal="center" vertical="center" wrapText="1"/>
      <protection/>
    </xf>
    <xf numFmtId="9" fontId="84" fillId="0" borderId="35" xfId="80" applyFont="1" applyFill="1" applyBorder="1" applyAlignment="1" applyProtection="1">
      <alignment horizontal="center" vertical="center" wrapText="1"/>
      <protection/>
    </xf>
    <xf numFmtId="1" fontId="11" fillId="0" borderId="71" xfId="58" applyNumberFormat="1" applyFont="1" applyFill="1" applyBorder="1" applyAlignment="1" applyProtection="1">
      <alignment horizontal="center" vertical="center" wrapText="1"/>
      <protection/>
    </xf>
    <xf numFmtId="1" fontId="11" fillId="0" borderId="73" xfId="58" applyNumberFormat="1" applyFont="1" applyFill="1" applyBorder="1" applyAlignment="1" applyProtection="1">
      <alignment horizontal="center" vertical="center" wrapText="1"/>
      <protection/>
    </xf>
    <xf numFmtId="0" fontId="11" fillId="38" borderId="39" xfId="70" applyFont="1" applyFill="1" applyBorder="1" applyAlignment="1" applyProtection="1">
      <alignment horizontal="center" vertical="center" wrapText="1"/>
      <protection/>
    </xf>
    <xf numFmtId="0" fontId="11" fillId="38" borderId="15" xfId="70" applyFont="1" applyFill="1" applyBorder="1" applyAlignment="1" applyProtection="1">
      <alignment horizontal="center" vertical="center" wrapText="1"/>
      <protection/>
    </xf>
    <xf numFmtId="0" fontId="11" fillId="38" borderId="19" xfId="70" applyFont="1" applyFill="1" applyBorder="1" applyAlignment="1" applyProtection="1">
      <alignment horizontal="center" vertical="center" wrapText="1"/>
      <protection/>
    </xf>
    <xf numFmtId="0" fontId="88" fillId="0" borderId="75" xfId="0" applyFont="1" applyFill="1" applyBorder="1" applyAlignment="1">
      <alignment horizontal="center" vertical="center"/>
    </xf>
    <xf numFmtId="0" fontId="11" fillId="5" borderId="75" xfId="70" applyFont="1" applyFill="1" applyBorder="1" applyAlignment="1">
      <alignment horizontal="center" vertical="center" wrapText="1"/>
      <protection/>
    </xf>
    <xf numFmtId="0" fontId="11" fillId="5" borderId="27" xfId="70" applyFont="1" applyFill="1" applyBorder="1" applyAlignment="1">
      <alignment horizontal="center" vertical="center" wrapText="1"/>
      <protection/>
    </xf>
    <xf numFmtId="0" fontId="11" fillId="5" borderId="28" xfId="70" applyFont="1" applyFill="1" applyBorder="1" applyAlignment="1">
      <alignment horizontal="center" vertical="center" wrapText="1"/>
      <protection/>
    </xf>
    <xf numFmtId="0" fontId="11" fillId="5" borderId="29" xfId="70" applyFont="1" applyFill="1" applyBorder="1" applyAlignment="1">
      <alignment horizontal="center" vertical="center" wrapText="1"/>
      <protection/>
    </xf>
    <xf numFmtId="0" fontId="11" fillId="5" borderId="74" xfId="70" applyFont="1" applyFill="1" applyBorder="1" applyAlignment="1">
      <alignment horizontal="center" vertical="center" wrapText="1"/>
      <protection/>
    </xf>
    <xf numFmtId="0" fontId="11" fillId="5" borderId="35" xfId="70" applyFont="1" applyFill="1" applyBorder="1" applyAlignment="1">
      <alignment horizontal="center" vertical="center" wrapText="1"/>
      <protection/>
    </xf>
    <xf numFmtId="0" fontId="14" fillId="0" borderId="71" xfId="70" applyFont="1" applyFill="1" applyBorder="1" applyAlignment="1">
      <alignment horizontal="center" vertical="center" wrapText="1"/>
      <protection/>
    </xf>
    <xf numFmtId="0" fontId="14" fillId="0" borderId="72" xfId="70" applyFont="1" applyFill="1" applyBorder="1" applyAlignment="1">
      <alignment horizontal="center" vertical="center" wrapText="1"/>
      <protection/>
    </xf>
    <xf numFmtId="0" fontId="14" fillId="0" borderId="73" xfId="70" applyFont="1" applyFill="1" applyBorder="1" applyAlignment="1">
      <alignment horizontal="center" vertical="center" wrapText="1"/>
      <protection/>
    </xf>
    <xf numFmtId="0" fontId="11" fillId="38" borderId="0" xfId="70" applyFont="1" applyFill="1" applyBorder="1" applyAlignment="1" applyProtection="1">
      <alignment horizontal="center" vertical="center" wrapText="1"/>
      <protection/>
    </xf>
    <xf numFmtId="0" fontId="11" fillId="0" borderId="14" xfId="70" applyFont="1" applyFill="1" applyBorder="1" applyAlignment="1" applyProtection="1">
      <alignment horizontal="center" vertical="center" wrapText="1"/>
      <protection/>
    </xf>
    <xf numFmtId="0" fontId="11" fillId="0" borderId="64" xfId="70" applyFont="1" applyFill="1" applyBorder="1" applyAlignment="1" applyProtection="1">
      <alignment horizontal="center" vertical="center" wrapText="1"/>
      <protection/>
    </xf>
    <xf numFmtId="0" fontId="11" fillId="0" borderId="17" xfId="70" applyFont="1" applyFill="1" applyBorder="1" applyAlignment="1" applyProtection="1">
      <alignment horizontal="center" vertical="center" wrapText="1"/>
      <protection/>
    </xf>
    <xf numFmtId="0" fontId="11" fillId="38" borderId="18" xfId="70" applyFont="1" applyFill="1" applyBorder="1" applyAlignment="1" applyProtection="1">
      <alignment horizontal="center" vertical="center" wrapText="1"/>
      <protection/>
    </xf>
    <xf numFmtId="0" fontId="11" fillId="38" borderId="44" xfId="70" applyFont="1" applyFill="1" applyBorder="1" applyAlignment="1" applyProtection="1">
      <alignment horizontal="center" vertical="center" wrapText="1"/>
      <protection/>
    </xf>
    <xf numFmtId="188" fontId="11" fillId="38" borderId="40" xfId="64" applyNumberFormat="1" applyFont="1" applyFill="1" applyBorder="1" applyAlignment="1" applyProtection="1">
      <alignment horizontal="center" vertical="center" wrapText="1"/>
      <protection/>
    </xf>
    <xf numFmtId="188" fontId="11" fillId="38" borderId="89" xfId="64" applyNumberFormat="1" applyFont="1" applyFill="1" applyBorder="1" applyAlignment="1" applyProtection="1">
      <alignment horizontal="center" vertical="center" wrapText="1"/>
      <protection/>
    </xf>
    <xf numFmtId="188" fontId="11" fillId="38" borderId="83" xfId="64" applyNumberFormat="1"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188" fontId="11" fillId="38" borderId="14" xfId="64" applyNumberFormat="1" applyFont="1" applyFill="1" applyBorder="1" applyAlignment="1" applyProtection="1">
      <alignment horizontal="center" vertical="center"/>
      <protection/>
    </xf>
    <xf numFmtId="188" fontId="11" fillId="38" borderId="17" xfId="64" applyNumberFormat="1" applyFont="1" applyFill="1" applyBorder="1" applyAlignment="1" applyProtection="1">
      <alignment horizontal="center" vertical="center"/>
      <protection/>
    </xf>
    <xf numFmtId="0" fontId="88" fillId="0" borderId="76" xfId="0" applyFont="1" applyFill="1" applyBorder="1" applyAlignment="1">
      <alignment horizontal="center" vertical="center"/>
    </xf>
    <xf numFmtId="0" fontId="88" fillId="0" borderId="78"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26" xfId="70" applyFont="1" applyFill="1" applyBorder="1" applyAlignment="1">
      <alignment horizontal="center" vertical="center" wrapText="1"/>
      <protection/>
    </xf>
    <xf numFmtId="0" fontId="11" fillId="5" borderId="0" xfId="70" applyFont="1" applyFill="1" applyBorder="1" applyAlignment="1">
      <alignment horizontal="center" vertical="center" wrapText="1"/>
      <protection/>
    </xf>
    <xf numFmtId="0" fontId="11" fillId="5" borderId="34" xfId="70" applyFont="1" applyFill="1" applyBorder="1" applyAlignment="1">
      <alignment horizontal="center" vertical="center" wrapText="1"/>
      <protection/>
    </xf>
    <xf numFmtId="188" fontId="11" fillId="38" borderId="14" xfId="64" applyNumberFormat="1" applyFont="1" applyFill="1" applyBorder="1" applyAlignment="1" applyProtection="1">
      <alignment horizontal="center" vertical="center" wrapText="1"/>
      <protection/>
    </xf>
    <xf numFmtId="188" fontId="11" fillId="38" borderId="17" xfId="64" applyNumberFormat="1" applyFont="1" applyFill="1" applyBorder="1" applyAlignment="1" applyProtection="1">
      <alignment horizontal="center" vertical="center" wrapText="1"/>
      <protection/>
    </xf>
    <xf numFmtId="0" fontId="11" fillId="38" borderId="14" xfId="70" applyFont="1" applyFill="1" applyBorder="1" applyAlignment="1" applyProtection="1">
      <alignment horizontal="center" vertical="center" wrapText="1"/>
      <protection/>
    </xf>
    <xf numFmtId="0" fontId="11" fillId="38" borderId="17" xfId="70" applyFont="1" applyFill="1" applyBorder="1" applyAlignment="1" applyProtection="1">
      <alignment horizontal="center" vertical="center" wrapText="1"/>
      <protection/>
    </xf>
    <xf numFmtId="0" fontId="11" fillId="0" borderId="45" xfId="70" applyFont="1" applyFill="1" applyBorder="1" applyAlignment="1" applyProtection="1">
      <alignment horizontal="center" vertical="center" wrapText="1"/>
      <protection/>
    </xf>
    <xf numFmtId="188" fontId="11" fillId="38" borderId="81" xfId="64" applyNumberFormat="1" applyFont="1" applyFill="1" applyBorder="1" applyAlignment="1" applyProtection="1">
      <alignment horizontal="center" vertical="center" wrapText="1"/>
      <protection/>
    </xf>
    <xf numFmtId="0" fontId="11" fillId="38" borderId="80" xfId="70" applyFont="1" applyFill="1" applyBorder="1" applyAlignment="1" applyProtection="1">
      <alignment horizontal="center" vertical="center" wrapText="1"/>
      <protection/>
    </xf>
    <xf numFmtId="0" fontId="11" fillId="38" borderId="64" xfId="70" applyFont="1" applyFill="1" applyBorder="1" applyAlignment="1" applyProtection="1">
      <alignment horizontal="center" vertical="center" wrapText="1"/>
      <protection/>
    </xf>
    <xf numFmtId="188" fontId="11" fillId="0" borderId="14" xfId="64" applyNumberFormat="1" applyFont="1" applyFill="1" applyBorder="1" applyAlignment="1" applyProtection="1">
      <alignment horizontal="center" vertical="center" wrapText="1"/>
      <protection/>
    </xf>
    <xf numFmtId="188" fontId="11" fillId="0" borderId="45" xfId="64" applyNumberFormat="1" applyFont="1" applyFill="1" applyBorder="1" applyAlignment="1" applyProtection="1">
      <alignment horizontal="center" vertical="center" wrapText="1"/>
      <protection/>
    </xf>
    <xf numFmtId="0" fontId="11" fillId="0" borderId="37" xfId="70" applyFont="1" applyFill="1" applyBorder="1" applyAlignment="1" applyProtection="1">
      <alignment horizontal="center" vertical="center" wrapText="1"/>
      <protection/>
    </xf>
    <xf numFmtId="0" fontId="11" fillId="0" borderId="65" xfId="70" applyFont="1" applyFill="1" applyBorder="1" applyAlignment="1" applyProtection="1">
      <alignment horizontal="center" vertical="center" wrapText="1"/>
      <protection/>
    </xf>
    <xf numFmtId="1" fontId="11" fillId="0" borderId="71" xfId="78" applyNumberFormat="1" applyFont="1" applyFill="1" applyBorder="1" applyAlignment="1" applyProtection="1">
      <alignment horizontal="center" vertical="center" wrapText="1"/>
      <protection/>
    </xf>
    <xf numFmtId="1" fontId="11" fillId="0" borderId="73" xfId="78" applyNumberFormat="1" applyFont="1" applyFill="1" applyBorder="1" applyAlignment="1" applyProtection="1">
      <alignment horizontal="center" vertical="center" wrapText="1"/>
      <protection/>
    </xf>
    <xf numFmtId="0" fontId="11" fillId="11" borderId="13" xfId="0" applyFont="1" applyFill="1" applyBorder="1" applyAlignment="1">
      <alignment horizontal="center" vertical="center"/>
    </xf>
    <xf numFmtId="0" fontId="85" fillId="0" borderId="60" xfId="0" applyFont="1" applyBorder="1" applyAlignment="1">
      <alignment vertical="center" wrapText="1"/>
    </xf>
    <xf numFmtId="0" fontId="85" fillId="0" borderId="41" xfId="0" applyFont="1" applyBorder="1" applyAlignment="1">
      <alignment vertical="center" wrapText="1"/>
    </xf>
    <xf numFmtId="0" fontId="85" fillId="0" borderId="42" xfId="0" applyFont="1" applyBorder="1" applyAlignment="1">
      <alignment vertical="center" wrapText="1"/>
    </xf>
    <xf numFmtId="0" fontId="8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64"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5" fillId="17" borderId="14" xfId="0" applyFont="1" applyFill="1" applyBorder="1" applyAlignment="1">
      <alignment horizontal="center" vertical="center"/>
    </xf>
    <xf numFmtId="0" fontId="85" fillId="17" borderId="17" xfId="0" applyFont="1" applyFill="1" applyBorder="1" applyAlignment="1">
      <alignment horizontal="center" vertical="center"/>
    </xf>
    <xf numFmtId="0" fontId="85" fillId="0" borderId="14" xfId="0" applyFont="1" applyFill="1" applyBorder="1" applyAlignment="1">
      <alignment horizontal="left" vertical="center" wrapText="1"/>
    </xf>
    <xf numFmtId="0" fontId="83" fillId="0" borderId="22" xfId="0" applyFont="1" applyFill="1" applyBorder="1" applyAlignment="1">
      <alignment horizontal="left" vertical="center" wrapText="1"/>
    </xf>
    <xf numFmtId="0" fontId="83" fillId="0" borderId="54" xfId="0" applyFont="1" applyFill="1" applyBorder="1" applyAlignment="1">
      <alignment horizontal="left" vertical="center" wrapText="1"/>
    </xf>
    <xf numFmtId="0" fontId="83" fillId="0" borderId="16" xfId="0" applyFont="1" applyFill="1" applyBorder="1" applyAlignment="1">
      <alignment horizontal="left" vertical="center" wrapText="1"/>
    </xf>
    <xf numFmtId="41" fontId="83" fillId="0" borderId="60" xfId="59" applyFont="1" applyFill="1" applyBorder="1" applyAlignment="1">
      <alignment horizontal="left" vertical="center"/>
    </xf>
    <xf numFmtId="41" fontId="83" fillId="0" borderId="84" xfId="59" applyFont="1" applyFill="1" applyBorder="1" applyAlignment="1">
      <alignment horizontal="left" vertical="center"/>
    </xf>
    <xf numFmtId="41" fontId="83" fillId="0" borderId="39" xfId="59"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2" xfId="41"/>
    <cellStyle name="Encabezado 2" xfId="42"/>
    <cellStyle name="Encabezado 4" xfId="43"/>
    <cellStyle name="Énfasis1" xfId="44"/>
    <cellStyle name="Énfasis2" xfId="45"/>
    <cellStyle name="Énfasis3" xfId="46"/>
    <cellStyle name="Énfasis4" xfId="47"/>
    <cellStyle name="Énfasis5" xfId="48"/>
    <cellStyle name="Énfasis6" xfId="49"/>
    <cellStyle name="Énfasis6 2" xfId="50"/>
    <cellStyle name="Entrada" xfId="51"/>
    <cellStyle name="Fecha" xfId="52"/>
    <cellStyle name="HeaderStyle" xfId="53"/>
    <cellStyle name="Hyperlink" xfId="54"/>
    <cellStyle name="Followed Hyperlink" xfId="55"/>
    <cellStyle name="Incorrecto" xfId="56"/>
    <cellStyle name="Comma" xfId="57"/>
    <cellStyle name="Comma [0]" xfId="58"/>
    <cellStyle name="Millares [0] 2" xfId="59"/>
    <cellStyle name="Millares 2" xfId="60"/>
    <cellStyle name="Currency" xfId="61"/>
    <cellStyle name="Currency [0]" xfId="62"/>
    <cellStyle name="Moneda 130" xfId="63"/>
    <cellStyle name="Moneda 2" xfId="64"/>
    <cellStyle name="Moneda 2 2" xfId="65"/>
    <cellStyle name="Moneda 23" xfId="66"/>
    <cellStyle name="Moneda 3" xfId="67"/>
    <cellStyle name="Neutral" xfId="68"/>
    <cellStyle name="Neutral 2" xfId="69"/>
    <cellStyle name="Normal 2" xfId="70"/>
    <cellStyle name="Normal 2 2" xfId="71"/>
    <cellStyle name="Normal 2 3" xfId="72"/>
    <cellStyle name="Normal 3" xfId="73"/>
    <cellStyle name="Normal 3 2" xfId="74"/>
    <cellStyle name="Normal 4"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1"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5" name="Entrada de lápiz 4"/>
        <xdr:cNvPicPr preferRelativeResize="1">
          <a:picLocks noChangeAspect="1"/>
        </xdr:cNvPicPr>
      </xdr:nvPicPr>
      <xdr:blipFill>
        <a:blip r:embed="rId1"/>
        <a:stretch>
          <a:fillRect/>
        </a:stretch>
      </xdr:blipFill>
      <xdr:spPr>
        <a:xfrm>
          <a:off x="5048250" y="6696075"/>
          <a:ext cx="0"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38725" y="2981325"/>
          <a:ext cx="9525"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238125</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38725" y="2981325"/>
          <a:ext cx="9525"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5"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25917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259175" y="2981325"/>
          <a:ext cx="0"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36395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363950" y="2981325"/>
          <a:ext cx="0"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17</xdr:row>
      <xdr:rowOff>0</xdr:rowOff>
    </xdr:from>
    <xdr:to>
      <xdr:col>7</xdr:col>
      <xdr:colOff>247650</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48250" y="1628775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2" name="Entrada de lápiz 7"/>
        <xdr:cNvPicPr preferRelativeResize="1">
          <a:picLocks noChangeAspect="1"/>
        </xdr:cNvPicPr>
      </xdr:nvPicPr>
      <xdr:blipFill>
        <a:blip r:embed="rId1"/>
        <a:stretch>
          <a:fillRect/>
        </a:stretch>
      </xdr:blipFill>
      <xdr:spPr>
        <a:xfrm>
          <a:off x="16668750" y="16287750"/>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1"/>
        <a:stretch>
          <a:fillRect/>
        </a:stretch>
      </xdr:blipFill>
      <xdr:spPr>
        <a:xfrm>
          <a:off x="5048250" y="1628775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4" name="Entrada de lápiz 7"/>
        <xdr:cNvPicPr preferRelativeResize="1">
          <a:picLocks noChangeAspect="1"/>
        </xdr:cNvPicPr>
      </xdr:nvPicPr>
      <xdr:blipFill>
        <a:blip r:embed="rId1"/>
        <a:stretch>
          <a:fillRect/>
        </a:stretch>
      </xdr:blipFill>
      <xdr:spPr>
        <a:xfrm>
          <a:off x="16668750" y="1628775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20</xdr:row>
      <xdr:rowOff>0</xdr:rowOff>
    </xdr:from>
    <xdr:to>
      <xdr:col>7</xdr:col>
      <xdr:colOff>247650</xdr:colOff>
      <xdr:row>20</xdr:row>
      <xdr:rowOff>0</xdr:rowOff>
    </xdr:to>
    <xdr:pic>
      <xdr:nvPicPr>
        <xdr:cNvPr id="1"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142875</xdr:colOff>
      <xdr:row>20</xdr:row>
      <xdr:rowOff>0</xdr:rowOff>
    </xdr:from>
    <xdr:to>
      <xdr:col>18</xdr:col>
      <xdr:colOff>142875</xdr:colOff>
      <xdr:row>20</xdr:row>
      <xdr:rowOff>0</xdr:rowOff>
    </xdr:to>
    <xdr:pic>
      <xdr:nvPicPr>
        <xdr:cNvPr id="2" name="Entrada de lápiz 7"/>
        <xdr:cNvPicPr preferRelativeResize="1">
          <a:picLocks noChangeAspect="1"/>
        </xdr:cNvPicPr>
      </xdr:nvPicPr>
      <xdr:blipFill>
        <a:blip r:embed="rId1"/>
        <a:stretch>
          <a:fillRect/>
        </a:stretch>
      </xdr:blipFill>
      <xdr:spPr>
        <a:xfrm>
          <a:off x="16078200" y="2370772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3"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142875</xdr:colOff>
      <xdr:row>20</xdr:row>
      <xdr:rowOff>0</xdr:rowOff>
    </xdr:from>
    <xdr:to>
      <xdr:col>18</xdr:col>
      <xdr:colOff>142875</xdr:colOff>
      <xdr:row>20</xdr:row>
      <xdr:rowOff>0</xdr:rowOff>
    </xdr:to>
    <xdr:pic>
      <xdr:nvPicPr>
        <xdr:cNvPr id="4" name="Entrada de lápiz 7"/>
        <xdr:cNvPicPr preferRelativeResize="1">
          <a:picLocks noChangeAspect="1"/>
        </xdr:cNvPicPr>
      </xdr:nvPicPr>
      <xdr:blipFill>
        <a:blip r:embed="rId1"/>
        <a:stretch>
          <a:fillRect/>
        </a:stretch>
      </xdr:blipFill>
      <xdr:spPr>
        <a:xfrm>
          <a:off x="16078200" y="23707725"/>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0</xdr:rowOff>
    </xdr:from>
    <xdr:to>
      <xdr:col>7</xdr:col>
      <xdr:colOff>247650</xdr:colOff>
      <xdr:row>15</xdr:row>
      <xdr:rowOff>0</xdr:rowOff>
    </xdr:to>
    <xdr:pic>
      <xdr:nvPicPr>
        <xdr:cNvPr id="1" name="Entrada de lápiz 4"/>
        <xdr:cNvPicPr preferRelativeResize="1">
          <a:picLocks noChangeAspect="1"/>
        </xdr:cNvPicPr>
      </xdr:nvPicPr>
      <xdr:blipFill>
        <a:blip r:embed="rId1"/>
        <a:stretch>
          <a:fillRect/>
        </a:stretch>
      </xdr:blipFill>
      <xdr:spPr>
        <a:xfrm>
          <a:off x="5048250" y="13563600"/>
          <a:ext cx="0" cy="0"/>
        </a:xfrm>
        <a:prstGeom prst="rect">
          <a:avLst/>
        </a:prstGeom>
        <a:noFill/>
        <a:ln w="9525" cmpd="sng">
          <a:noFill/>
        </a:ln>
      </xdr:spPr>
    </xdr:pic>
    <xdr:clientData/>
  </xdr:twoCellAnchor>
  <xdr:twoCellAnchor editAs="oneCell">
    <xdr:from>
      <xdr:col>18</xdr:col>
      <xdr:colOff>142875</xdr:colOff>
      <xdr:row>15</xdr:row>
      <xdr:rowOff>0</xdr:rowOff>
    </xdr:from>
    <xdr:to>
      <xdr:col>18</xdr:col>
      <xdr:colOff>142875</xdr:colOff>
      <xdr:row>15</xdr:row>
      <xdr:rowOff>0</xdr:rowOff>
    </xdr:to>
    <xdr:pic>
      <xdr:nvPicPr>
        <xdr:cNvPr id="2" name="Entrada de lápiz 7"/>
        <xdr:cNvPicPr preferRelativeResize="1">
          <a:picLocks noChangeAspect="1"/>
        </xdr:cNvPicPr>
      </xdr:nvPicPr>
      <xdr:blipFill>
        <a:blip r:embed="rId1"/>
        <a:stretch>
          <a:fillRect/>
        </a:stretch>
      </xdr:blipFill>
      <xdr:spPr>
        <a:xfrm>
          <a:off x="16078200" y="13563600"/>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3" name="Entrada de lápiz 4"/>
        <xdr:cNvPicPr preferRelativeResize="1">
          <a:picLocks noChangeAspect="1"/>
        </xdr:cNvPicPr>
      </xdr:nvPicPr>
      <xdr:blipFill>
        <a:blip r:embed="rId1"/>
        <a:stretch>
          <a:fillRect/>
        </a:stretch>
      </xdr:blipFill>
      <xdr:spPr>
        <a:xfrm>
          <a:off x="5048250" y="13563600"/>
          <a:ext cx="0" cy="0"/>
        </a:xfrm>
        <a:prstGeom prst="rect">
          <a:avLst/>
        </a:prstGeom>
        <a:noFill/>
        <a:ln w="9525" cmpd="sng">
          <a:noFill/>
        </a:ln>
      </xdr:spPr>
    </xdr:pic>
    <xdr:clientData/>
  </xdr:twoCellAnchor>
  <xdr:twoCellAnchor editAs="oneCell">
    <xdr:from>
      <xdr:col>18</xdr:col>
      <xdr:colOff>142875</xdr:colOff>
      <xdr:row>15</xdr:row>
      <xdr:rowOff>0</xdr:rowOff>
    </xdr:from>
    <xdr:to>
      <xdr:col>18</xdr:col>
      <xdr:colOff>142875</xdr:colOff>
      <xdr:row>15</xdr:row>
      <xdr:rowOff>0</xdr:rowOff>
    </xdr:to>
    <xdr:pic>
      <xdr:nvPicPr>
        <xdr:cNvPr id="4" name="Entrada de lápiz 7"/>
        <xdr:cNvPicPr preferRelativeResize="1">
          <a:picLocks noChangeAspect="1"/>
        </xdr:cNvPicPr>
      </xdr:nvPicPr>
      <xdr:blipFill>
        <a:blip r:embed="rId1"/>
        <a:stretch>
          <a:fillRect/>
        </a:stretch>
      </xdr:blipFill>
      <xdr:spPr>
        <a:xfrm>
          <a:off x="16078200" y="1356360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17</xdr:row>
      <xdr:rowOff>0</xdr:rowOff>
    </xdr:from>
    <xdr:to>
      <xdr:col>7</xdr:col>
      <xdr:colOff>247650</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48250" y="13306425"/>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2" name="Entrada de lápiz 7"/>
        <xdr:cNvPicPr preferRelativeResize="1">
          <a:picLocks noChangeAspect="1"/>
        </xdr:cNvPicPr>
      </xdr:nvPicPr>
      <xdr:blipFill>
        <a:blip r:embed="rId1"/>
        <a:stretch>
          <a:fillRect/>
        </a:stretch>
      </xdr:blipFill>
      <xdr:spPr>
        <a:xfrm>
          <a:off x="16078200" y="13306425"/>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1"/>
        <a:stretch>
          <a:fillRect/>
        </a:stretch>
      </xdr:blipFill>
      <xdr:spPr>
        <a:xfrm>
          <a:off x="5048250" y="13306425"/>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4" name="Entrada de lápiz 7"/>
        <xdr:cNvPicPr preferRelativeResize="1">
          <a:picLocks noChangeAspect="1"/>
        </xdr:cNvPicPr>
      </xdr:nvPicPr>
      <xdr:blipFill>
        <a:blip r:embed="rId1"/>
        <a:stretch>
          <a:fillRect/>
        </a:stretch>
      </xdr:blipFill>
      <xdr:spPr>
        <a:xfrm>
          <a:off x="16078200" y="133064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2390775</xdr:rowOff>
    </xdr:from>
    <xdr:to>
      <xdr:col>7</xdr:col>
      <xdr:colOff>247650</xdr:colOff>
      <xdr:row>15</xdr:row>
      <xdr:rowOff>2400300</xdr:rowOff>
    </xdr:to>
    <xdr:pic>
      <xdr:nvPicPr>
        <xdr:cNvPr id="1" name="Entrada de lápiz 4"/>
        <xdr:cNvPicPr preferRelativeResize="1">
          <a:picLocks noChangeAspect="1"/>
        </xdr:cNvPicPr>
      </xdr:nvPicPr>
      <xdr:blipFill>
        <a:blip r:embed="rId1"/>
        <a:stretch>
          <a:fillRect/>
        </a:stretch>
      </xdr:blipFill>
      <xdr:spPr>
        <a:xfrm>
          <a:off x="5048250" y="13401675"/>
          <a:ext cx="0" cy="9525"/>
        </a:xfrm>
        <a:prstGeom prst="rect">
          <a:avLst/>
        </a:prstGeom>
        <a:noFill/>
        <a:ln w="9525" cmpd="sng">
          <a:noFill/>
        </a:ln>
      </xdr:spPr>
    </xdr:pic>
    <xdr:clientData/>
  </xdr:twoCellAnchor>
  <xdr:twoCellAnchor editAs="oneCell">
    <xdr:from>
      <xdr:col>18</xdr:col>
      <xdr:colOff>142875</xdr:colOff>
      <xdr:row>15</xdr:row>
      <xdr:rowOff>2676525</xdr:rowOff>
    </xdr:from>
    <xdr:to>
      <xdr:col>18</xdr:col>
      <xdr:colOff>142875</xdr:colOff>
      <xdr:row>17</xdr:row>
      <xdr:rowOff>9525</xdr:rowOff>
    </xdr:to>
    <xdr:pic>
      <xdr:nvPicPr>
        <xdr:cNvPr id="2" name="Entrada de lápiz 7"/>
        <xdr:cNvPicPr preferRelativeResize="1">
          <a:picLocks noChangeAspect="1"/>
        </xdr:cNvPicPr>
      </xdr:nvPicPr>
      <xdr:blipFill>
        <a:blip r:embed="rId1"/>
        <a:stretch>
          <a:fillRect/>
        </a:stretch>
      </xdr:blipFill>
      <xdr:spPr>
        <a:xfrm>
          <a:off x="16078200" y="13687425"/>
          <a:ext cx="0" cy="9525"/>
        </a:xfrm>
        <a:prstGeom prst="rect">
          <a:avLst/>
        </a:prstGeom>
        <a:noFill/>
        <a:ln w="9525" cmpd="sng">
          <a:noFill/>
        </a:ln>
      </xdr:spPr>
    </xdr:pic>
    <xdr:clientData/>
  </xdr:twoCellAnchor>
  <xdr:twoCellAnchor editAs="oneCell">
    <xdr:from>
      <xdr:col>7</xdr:col>
      <xdr:colOff>247650</xdr:colOff>
      <xdr:row>16</xdr:row>
      <xdr:rowOff>0</xdr:rowOff>
    </xdr:from>
    <xdr:to>
      <xdr:col>7</xdr:col>
      <xdr:colOff>247650</xdr:colOff>
      <xdr:row>16</xdr:row>
      <xdr:rowOff>0</xdr:rowOff>
    </xdr:to>
    <xdr:pic>
      <xdr:nvPicPr>
        <xdr:cNvPr id="3" name="Entrada de lápiz 4"/>
        <xdr:cNvPicPr preferRelativeResize="1">
          <a:picLocks noChangeAspect="1"/>
        </xdr:cNvPicPr>
      </xdr:nvPicPr>
      <xdr:blipFill>
        <a:blip r:embed="rId1"/>
        <a:stretch>
          <a:fillRect/>
        </a:stretch>
      </xdr:blipFill>
      <xdr:spPr>
        <a:xfrm>
          <a:off x="5048250" y="13687425"/>
          <a:ext cx="0" cy="0"/>
        </a:xfrm>
        <a:prstGeom prst="rect">
          <a:avLst/>
        </a:prstGeom>
        <a:noFill/>
        <a:ln w="9525" cmpd="sng">
          <a:noFill/>
        </a:ln>
      </xdr:spPr>
    </xdr:pic>
    <xdr:clientData/>
  </xdr:twoCellAnchor>
  <xdr:twoCellAnchor editAs="oneCell">
    <xdr:from>
      <xdr:col>18</xdr:col>
      <xdr:colOff>142875</xdr:colOff>
      <xdr:row>15</xdr:row>
      <xdr:rowOff>1323975</xdr:rowOff>
    </xdr:from>
    <xdr:to>
      <xdr:col>18</xdr:col>
      <xdr:colOff>142875</xdr:colOff>
      <xdr:row>15</xdr:row>
      <xdr:rowOff>1323975</xdr:rowOff>
    </xdr:to>
    <xdr:pic>
      <xdr:nvPicPr>
        <xdr:cNvPr id="4" name="Entrada de lápiz 7"/>
        <xdr:cNvPicPr preferRelativeResize="1">
          <a:picLocks noChangeAspect="1"/>
        </xdr:cNvPicPr>
      </xdr:nvPicPr>
      <xdr:blipFill>
        <a:blip r:embed="rId1"/>
        <a:stretch>
          <a:fillRect/>
        </a:stretch>
      </xdr:blipFill>
      <xdr:spPr>
        <a:xfrm>
          <a:off x="16078200" y="123348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7"/>
  </sheetPr>
  <dimension ref="A1:AJ27"/>
  <sheetViews>
    <sheetView zoomScale="150" zoomScaleNormal="150" zoomScalePageLayoutView="0" workbookViewId="0" topLeftCell="A9">
      <selection activeCell="AD17" sqref="AD17"/>
    </sheetView>
  </sheetViews>
  <sheetFormatPr defaultColWidth="11.421875" defaultRowHeight="15"/>
  <cols>
    <col min="1" max="1" width="16.8515625" style="0" customWidth="1"/>
    <col min="2" max="2" width="10.8515625" style="377" customWidth="1"/>
    <col min="3" max="3" width="14.28125" style="369" hidden="1" customWidth="1"/>
    <col min="4" max="4" width="13.140625" style="369" hidden="1" customWidth="1"/>
    <col min="5" max="5" width="14.28125" style="369" hidden="1" customWidth="1"/>
    <col min="6" max="6" width="13.140625" style="369" hidden="1" customWidth="1"/>
    <col min="7" max="9" width="14.28125" style="369" hidden="1" customWidth="1"/>
    <col min="10" max="10" width="15.28125" style="369" hidden="1" customWidth="1"/>
    <col min="11" max="11" width="15.28125" style="0" hidden="1" customWidth="1"/>
    <col min="12" max="12" width="13.140625" style="0" hidden="1" customWidth="1"/>
    <col min="13" max="14" width="14.421875" style="0" hidden="1" customWidth="1"/>
    <col min="15" max="15" width="15.140625" style="0" hidden="1" customWidth="1"/>
    <col min="16" max="16" width="14.28125" style="0" hidden="1" customWidth="1"/>
    <col min="17" max="18" width="14.8515625" style="0" customWidth="1"/>
    <col min="19" max="26" width="13.140625" style="0" hidden="1" customWidth="1"/>
    <col min="27" max="27" width="15.421875" style="0" bestFit="1" customWidth="1"/>
    <col min="28" max="28" width="15.140625" style="0" bestFit="1" customWidth="1"/>
    <col min="29" max="29" width="12.00390625" style="0" bestFit="1" customWidth="1"/>
    <col min="30" max="30" width="24.140625" style="0" customWidth="1"/>
    <col min="31" max="31" width="14.421875" style="369" customWidth="1"/>
    <col min="32" max="32" width="14.28125" style="0" customWidth="1"/>
    <col min="33" max="39" width="10.8515625" style="0" customWidth="1"/>
  </cols>
  <sheetData>
    <row r="1" ht="15">
      <c r="B1" s="377" t="s">
        <v>760</v>
      </c>
    </row>
    <row r="2" spans="2:31" s="325" customFormat="1" ht="15">
      <c r="B2" s="421" t="s">
        <v>758</v>
      </c>
      <c r="C2" s="422" t="s">
        <v>39</v>
      </c>
      <c r="D2" s="422"/>
      <c r="E2" s="422" t="s">
        <v>40</v>
      </c>
      <c r="F2" s="422"/>
      <c r="G2" s="422" t="s">
        <v>41</v>
      </c>
      <c r="H2" s="422"/>
      <c r="I2" s="422" t="s">
        <v>42</v>
      </c>
      <c r="J2" s="422"/>
      <c r="K2" s="422" t="s">
        <v>43</v>
      </c>
      <c r="L2" s="422"/>
      <c r="M2" s="422" t="s">
        <v>44</v>
      </c>
      <c r="N2" s="422"/>
      <c r="O2" s="422" t="s">
        <v>45</v>
      </c>
      <c r="P2" s="422"/>
      <c r="Q2" s="422" t="s">
        <v>46</v>
      </c>
      <c r="R2" s="422"/>
      <c r="S2" s="422" t="s">
        <v>47</v>
      </c>
      <c r="T2" s="422"/>
      <c r="U2" s="422" t="s">
        <v>48</v>
      </c>
      <c r="V2" s="422"/>
      <c r="W2" s="422" t="s">
        <v>49</v>
      </c>
      <c r="X2" s="422"/>
      <c r="Y2" s="422" t="s">
        <v>50</v>
      </c>
      <c r="Z2" s="422"/>
      <c r="AA2" s="423" t="s">
        <v>63</v>
      </c>
      <c r="AB2" s="423"/>
      <c r="AD2" s="325" t="s">
        <v>793</v>
      </c>
      <c r="AE2" s="337"/>
    </row>
    <row r="3" spans="2:31" s="325" customFormat="1" ht="15">
      <c r="B3" s="421"/>
      <c r="C3" s="326" t="s">
        <v>383</v>
      </c>
      <c r="D3" s="326" t="s">
        <v>759</v>
      </c>
      <c r="E3" s="326" t="s">
        <v>383</v>
      </c>
      <c r="F3" s="326" t="s">
        <v>759</v>
      </c>
      <c r="G3" s="326" t="s">
        <v>383</v>
      </c>
      <c r="H3" s="326" t="s">
        <v>759</v>
      </c>
      <c r="I3" s="326" t="s">
        <v>383</v>
      </c>
      <c r="J3" s="326" t="s">
        <v>759</v>
      </c>
      <c r="K3" s="326" t="s">
        <v>383</v>
      </c>
      <c r="L3" s="326" t="s">
        <v>759</v>
      </c>
      <c r="M3" s="326" t="s">
        <v>383</v>
      </c>
      <c r="N3" s="326" t="s">
        <v>759</v>
      </c>
      <c r="O3" s="326" t="s">
        <v>383</v>
      </c>
      <c r="P3" s="326" t="s">
        <v>759</v>
      </c>
      <c r="Q3" s="326" t="s">
        <v>383</v>
      </c>
      <c r="R3" s="326" t="s">
        <v>759</v>
      </c>
      <c r="S3" s="326" t="s">
        <v>383</v>
      </c>
      <c r="T3" s="326" t="s">
        <v>759</v>
      </c>
      <c r="U3" s="326" t="s">
        <v>383</v>
      </c>
      <c r="V3" s="326" t="s">
        <v>759</v>
      </c>
      <c r="W3" s="326" t="s">
        <v>383</v>
      </c>
      <c r="X3" s="326" t="s">
        <v>759</v>
      </c>
      <c r="Y3" s="326" t="s">
        <v>383</v>
      </c>
      <c r="Z3" s="326" t="s">
        <v>759</v>
      </c>
      <c r="AA3" s="333" t="s">
        <v>383</v>
      </c>
      <c r="AB3" s="333" t="s">
        <v>759</v>
      </c>
      <c r="AE3" s="337" t="s">
        <v>887</v>
      </c>
    </row>
    <row r="4" spans="1:31" ht="15">
      <c r="A4" s="405">
        <v>2491112148</v>
      </c>
      <c r="B4" s="327">
        <v>1</v>
      </c>
      <c r="C4" s="373">
        <v>941933351</v>
      </c>
      <c r="D4" s="373">
        <v>0</v>
      </c>
      <c r="E4" s="373">
        <f>976222464-C4</f>
        <v>34289113</v>
      </c>
      <c r="F4" s="373">
        <f>49316559-D4</f>
        <v>49316559</v>
      </c>
      <c r="G4" s="373">
        <f>960883464-C4-E4</f>
        <v>-15339000</v>
      </c>
      <c r="H4" s="373">
        <f>173274798-D4-F4</f>
        <v>123958239</v>
      </c>
      <c r="I4" s="373">
        <f>960883464-C4-E4-G4</f>
        <v>0</v>
      </c>
      <c r="J4" s="373">
        <f>260575592-D4-F4-H4</f>
        <v>87300794</v>
      </c>
      <c r="K4" s="373">
        <f>1943710251-C4-E4-G4-I4</f>
        <v>982826787</v>
      </c>
      <c r="L4" s="368">
        <f>347876386-D4-F4-H4-J4</f>
        <v>87300794</v>
      </c>
      <c r="M4" s="368">
        <f>1985713471-C4-E4-G4-I4-K4</f>
        <v>42003220</v>
      </c>
      <c r="N4" s="368">
        <f>1153803796-D4-F4-H4-J4-L4</f>
        <v>805927410</v>
      </c>
      <c r="O4" s="389">
        <f>2018468556-C4-E4-G4-I4-K4-M4</f>
        <v>32755085</v>
      </c>
      <c r="P4" s="389">
        <f>1503562279-D4-F4-H4-J4-L4-N4</f>
        <v>349758483</v>
      </c>
      <c r="Q4" s="405">
        <f>2171934857-C4-E4-G4-I4-K4-M4-O4</f>
        <v>153466301</v>
      </c>
      <c r="R4" s="405">
        <f>1589505261-D4-F4-H4-J4-L4-N4-P4</f>
        <v>85942982</v>
      </c>
      <c r="S4" s="324"/>
      <c r="T4" s="324"/>
      <c r="U4" s="324"/>
      <c r="V4" s="324"/>
      <c r="W4" s="324"/>
      <c r="X4" s="324"/>
      <c r="Y4" s="324"/>
      <c r="Z4" s="324"/>
      <c r="AA4" s="334">
        <f>+C4+E4+G4+I4+K4+M4+O4+Q4+S4+U4+W4+Y4</f>
        <v>2171934857</v>
      </c>
      <c r="AB4" s="334">
        <f aca="true" t="shared" si="0" ref="AA4:AB7">+D4+F4+H4+J4+L4+N4+P4+R4+T4+V4+X4+Z4</f>
        <v>1589505261</v>
      </c>
      <c r="AC4" s="338">
        <f>+AB4/AA4</f>
        <v>0.7318383679313085</v>
      </c>
      <c r="AD4" s="410">
        <v>2171934857</v>
      </c>
      <c r="AE4" s="369">
        <v>1589505261</v>
      </c>
    </row>
    <row r="5" spans="1:31" ht="15">
      <c r="A5" s="405">
        <v>6701304169</v>
      </c>
      <c r="B5" s="327">
        <v>2</v>
      </c>
      <c r="C5" s="373">
        <v>6522682969</v>
      </c>
      <c r="D5" s="373">
        <v>0</v>
      </c>
      <c r="E5" s="373">
        <f>6522682969-C5</f>
        <v>0</v>
      </c>
      <c r="F5" s="373">
        <f>360942869-D5</f>
        <v>360942869</v>
      </c>
      <c r="G5" s="373">
        <f>6461751832-C5-E5</f>
        <v>-60931137</v>
      </c>
      <c r="H5" s="373">
        <f>943795568-D5-F5</f>
        <v>582852699</v>
      </c>
      <c r="I5" s="373">
        <f>6412359832-C5-E5-G5</f>
        <v>-49392000</v>
      </c>
      <c r="J5" s="373">
        <f>1499540968-D5-F5-H5</f>
        <v>555745400</v>
      </c>
      <c r="K5" s="373">
        <f>6412359832-C5-E5-G5-I5</f>
        <v>0</v>
      </c>
      <c r="L5" s="368">
        <f>2058822862-D5-F5-H5-J5</f>
        <v>559281894</v>
      </c>
      <c r="M5" s="368">
        <f>6427526499-C5-E5-G5-I5-K5</f>
        <v>15166667</v>
      </c>
      <c r="N5" s="368">
        <f>2608567187-D5-F5-H5-J5-L5</f>
        <v>549744325</v>
      </c>
      <c r="O5" s="389">
        <f>6593476499-C5-E5-G5-I5-K5-M5</f>
        <v>165950000</v>
      </c>
      <c r="P5" s="389">
        <f>3160929650-D5-F5-H5-J5-L5-N5</f>
        <v>552362463</v>
      </c>
      <c r="Q5" s="405">
        <f>6659047166-C5-E5-G5-I5-K5-M5-O5</f>
        <v>65570667</v>
      </c>
      <c r="R5" s="405">
        <f>3706257696-D5-F5-H5-J5-L5-N5-P5</f>
        <v>545328046</v>
      </c>
      <c r="S5" s="324"/>
      <c r="T5" s="324"/>
      <c r="U5" s="324"/>
      <c r="V5" s="324"/>
      <c r="W5" s="324"/>
      <c r="X5" s="324"/>
      <c r="Y5" s="324"/>
      <c r="Z5" s="324"/>
      <c r="AA5" s="334">
        <f t="shared" si="0"/>
        <v>6659047166</v>
      </c>
      <c r="AB5" s="334">
        <f t="shared" si="0"/>
        <v>3706257696</v>
      </c>
      <c r="AC5" s="338">
        <f>+AB5/AA5</f>
        <v>0.5565747776834413</v>
      </c>
      <c r="AD5" s="410">
        <v>6659047166</v>
      </c>
      <c r="AE5" s="369">
        <v>3706257696</v>
      </c>
    </row>
    <row r="6" spans="1:31" ht="15">
      <c r="A6" s="405">
        <v>1373622666</v>
      </c>
      <c r="B6" s="327">
        <v>3</v>
      </c>
      <c r="C6" s="373">
        <v>1373622666</v>
      </c>
      <c r="D6" s="373">
        <v>0</v>
      </c>
      <c r="E6" s="373">
        <f>1373622666-C6</f>
        <v>0</v>
      </c>
      <c r="F6" s="373">
        <f>74577632-D6</f>
        <v>74577632</v>
      </c>
      <c r="G6" s="373">
        <f>1353521499-C6-E6</f>
        <v>-20101167</v>
      </c>
      <c r="H6" s="373">
        <f>190867632-D6-F6</f>
        <v>116290000</v>
      </c>
      <c r="I6" s="373">
        <f>1353521499-C6-E6-G6</f>
        <v>0</v>
      </c>
      <c r="J6" s="373">
        <f>307157632-D6-F6-H6</f>
        <v>116290000</v>
      </c>
      <c r="K6" s="373">
        <f>1373688166-C6-E6-G6-I6</f>
        <v>20166667</v>
      </c>
      <c r="L6" s="368">
        <f>420546465-D6-F6-H6-J6</f>
        <v>113388833</v>
      </c>
      <c r="M6" s="368">
        <f>1358521499-C6-E6-G6-I6-K6</f>
        <v>-15166667</v>
      </c>
      <c r="N6" s="368">
        <f>533488965-D6-F6-H6-J6-L6</f>
        <v>112942500</v>
      </c>
      <c r="O6" s="389">
        <f>1358521499-C6-E6-G6-I6-K6-M6</f>
        <v>0</v>
      </c>
      <c r="P6" s="389">
        <f>649778965-D6-F6-H6-J6-L6-N6</f>
        <v>116290000</v>
      </c>
      <c r="Q6" s="405">
        <f>1358521499-C6-E6-G6-I6-K6-M6-O6</f>
        <v>0</v>
      </c>
      <c r="R6" s="405">
        <f>766068965-D6-F6-H6-J6-L6-N6-P6</f>
        <v>116290000</v>
      </c>
      <c r="S6" s="324"/>
      <c r="T6" s="324"/>
      <c r="U6" s="324"/>
      <c r="V6" s="324"/>
      <c r="W6" s="324"/>
      <c r="X6" s="324"/>
      <c r="Y6" s="324"/>
      <c r="Z6" s="324"/>
      <c r="AA6" s="334">
        <f t="shared" si="0"/>
        <v>1358521499</v>
      </c>
      <c r="AB6" s="334">
        <f t="shared" si="0"/>
        <v>766068965</v>
      </c>
      <c r="AC6" s="338">
        <f>+AB6/AA6</f>
        <v>0.5638990369779934</v>
      </c>
      <c r="AD6" s="410">
        <v>1358521499</v>
      </c>
      <c r="AE6" s="369">
        <v>766068965</v>
      </c>
    </row>
    <row r="7" spans="1:36" ht="15">
      <c r="A7" s="405">
        <v>1024618017</v>
      </c>
      <c r="B7" s="327">
        <v>4</v>
      </c>
      <c r="C7" s="373">
        <v>683555832</v>
      </c>
      <c r="D7" s="373">
        <v>0</v>
      </c>
      <c r="E7" s="373">
        <f>683555832-C7</f>
        <v>0</v>
      </c>
      <c r="F7" s="373">
        <f>26927734-D7</f>
        <v>26927734</v>
      </c>
      <c r="G7" s="373">
        <f>704106650-C7-E7</f>
        <v>20550818</v>
      </c>
      <c r="H7" s="373">
        <f>86812734-D7-F7</f>
        <v>59885000</v>
      </c>
      <c r="I7" s="373">
        <f>718962890-C7-E7-G7</f>
        <v>14856240</v>
      </c>
      <c r="J7" s="373">
        <f>142397734-D7-F7-H7</f>
        <v>55585000</v>
      </c>
      <c r="K7" s="373">
        <f>718962890-C7-E7-G7-I7</f>
        <v>0</v>
      </c>
      <c r="L7" s="368">
        <f>206582734-D7-F7-H7-J7</f>
        <v>64185000</v>
      </c>
      <c r="M7" s="368">
        <f>718962890-C7-E7-G7-I7-K7</f>
        <v>0</v>
      </c>
      <c r="N7" s="368">
        <f>262167734-D7-F7-H7-J7-L7</f>
        <v>55585000</v>
      </c>
      <c r="O7" s="389">
        <f>807302762-C7-E7-G7-I7-K7-M7</f>
        <v>88339872</v>
      </c>
      <c r="P7" s="389">
        <f>340692710-D7-F7-H7-J7-L7-N7</f>
        <v>78524976</v>
      </c>
      <c r="Q7" s="405">
        <f>816184817-C7-E7-G7-I7-K7-M7-O7</f>
        <v>8882055</v>
      </c>
      <c r="R7" s="405">
        <f>451694171-D7-F7-H7-J7-L7-N7-P7</f>
        <v>111001461</v>
      </c>
      <c r="S7" s="324"/>
      <c r="T7" s="324"/>
      <c r="U7" s="324"/>
      <c r="V7" s="324"/>
      <c r="W7" s="324"/>
      <c r="X7" s="324"/>
      <c r="Y7" s="324"/>
      <c r="Z7" s="324"/>
      <c r="AA7" s="334">
        <f t="shared" si="0"/>
        <v>816184817</v>
      </c>
      <c r="AB7" s="334">
        <f t="shared" si="0"/>
        <v>451694171</v>
      </c>
      <c r="AC7" s="338">
        <f>+AB7/AA7</f>
        <v>0.5534214329791926</v>
      </c>
      <c r="AD7" s="410">
        <v>816184817</v>
      </c>
      <c r="AE7" s="369">
        <v>451694171</v>
      </c>
      <c r="AG7">
        <v>2020</v>
      </c>
      <c r="AH7">
        <v>2021</v>
      </c>
      <c r="AI7">
        <v>2022</v>
      </c>
      <c r="AJ7">
        <v>2023</v>
      </c>
    </row>
    <row r="8" spans="1:36" s="325" customFormat="1" ht="15">
      <c r="A8" s="407">
        <f>SUM(A4:A7)</f>
        <v>11590657000</v>
      </c>
      <c r="B8" s="328" t="s">
        <v>8</v>
      </c>
      <c r="C8" s="326">
        <f aca="true" t="shared" si="1" ref="C8:AB8">SUM(C4:C7)</f>
        <v>9521794818</v>
      </c>
      <c r="D8" s="326">
        <f t="shared" si="1"/>
        <v>0</v>
      </c>
      <c r="E8" s="326">
        <f t="shared" si="1"/>
        <v>34289113</v>
      </c>
      <c r="F8" s="326">
        <f t="shared" si="1"/>
        <v>511764794</v>
      </c>
      <c r="G8" s="326">
        <f t="shared" si="1"/>
        <v>-75820486</v>
      </c>
      <c r="H8" s="326">
        <f t="shared" si="1"/>
        <v>882985938</v>
      </c>
      <c r="I8" s="326">
        <f t="shared" si="1"/>
        <v>-34535760</v>
      </c>
      <c r="J8" s="326">
        <f t="shared" si="1"/>
        <v>814921194</v>
      </c>
      <c r="K8" s="326">
        <f>SUM(K4:K7)</f>
        <v>1002993454</v>
      </c>
      <c r="L8" s="326">
        <f t="shared" si="1"/>
        <v>824156521</v>
      </c>
      <c r="M8" s="326">
        <f t="shared" si="1"/>
        <v>42003220</v>
      </c>
      <c r="N8" s="326">
        <f t="shared" si="1"/>
        <v>1524199235</v>
      </c>
      <c r="O8" s="326">
        <f t="shared" si="1"/>
        <v>287044957</v>
      </c>
      <c r="P8" s="326">
        <f t="shared" si="1"/>
        <v>1096935922</v>
      </c>
      <c r="Q8" s="326">
        <f t="shared" si="1"/>
        <v>227919023</v>
      </c>
      <c r="R8" s="326">
        <f t="shared" si="1"/>
        <v>858562489</v>
      </c>
      <c r="S8" s="326">
        <f t="shared" si="1"/>
        <v>0</v>
      </c>
      <c r="T8" s="326">
        <f t="shared" si="1"/>
        <v>0</v>
      </c>
      <c r="U8" s="326">
        <f t="shared" si="1"/>
        <v>0</v>
      </c>
      <c r="V8" s="326">
        <f t="shared" si="1"/>
        <v>0</v>
      </c>
      <c r="W8" s="326">
        <f t="shared" si="1"/>
        <v>0</v>
      </c>
      <c r="X8" s="326">
        <f t="shared" si="1"/>
        <v>0</v>
      </c>
      <c r="Y8" s="326">
        <f t="shared" si="1"/>
        <v>0</v>
      </c>
      <c r="Z8" s="326">
        <f t="shared" si="1"/>
        <v>0</v>
      </c>
      <c r="AA8" s="333">
        <f t="shared" si="1"/>
        <v>11005688339</v>
      </c>
      <c r="AB8" s="333">
        <f t="shared" si="1"/>
        <v>6513526093</v>
      </c>
      <c r="AC8" s="338">
        <f>+AB8/AA8</f>
        <v>0.5918326861863356</v>
      </c>
      <c r="AD8" s="329">
        <v>11005688339</v>
      </c>
      <c r="AE8" s="337">
        <v>6513526093</v>
      </c>
      <c r="AF8" s="325" t="s">
        <v>768</v>
      </c>
      <c r="AG8" s="356">
        <v>0.1</v>
      </c>
      <c r="AH8" s="356">
        <v>0.35</v>
      </c>
      <c r="AI8" s="356">
        <v>0.6</v>
      </c>
      <c r="AJ8" s="356">
        <v>0.85</v>
      </c>
    </row>
    <row r="9" spans="27:36" ht="15">
      <c r="AA9" s="336">
        <v>11005688339</v>
      </c>
      <c r="AB9" s="336">
        <v>6513526093</v>
      </c>
      <c r="AG9" s="357">
        <v>0.1</v>
      </c>
      <c r="AH9" s="357">
        <v>0.35</v>
      </c>
      <c r="AI9" s="357">
        <v>0.6</v>
      </c>
      <c r="AJ9" s="357">
        <v>0.85</v>
      </c>
    </row>
    <row r="10" spans="2:36" ht="15">
      <c r="B10" s="377" t="s">
        <v>761</v>
      </c>
      <c r="AA10" s="335"/>
      <c r="AB10" s="335"/>
      <c r="AF10" s="360" t="s">
        <v>767</v>
      </c>
      <c r="AG10" s="359">
        <f>+AG9</f>
        <v>0.1</v>
      </c>
      <c r="AH10" s="358">
        <f>+AH9-AG9</f>
        <v>0.24999999999999997</v>
      </c>
      <c r="AI10" s="358">
        <f>+AI9-AH9</f>
        <v>0.25</v>
      </c>
      <c r="AJ10" s="358">
        <f>+AJ9-AI9</f>
        <v>0.25</v>
      </c>
    </row>
    <row r="11" spans="2:35" s="325" customFormat="1" ht="15">
      <c r="B11" s="421" t="s">
        <v>758</v>
      </c>
      <c r="C11" s="422" t="s">
        <v>39</v>
      </c>
      <c r="D11" s="422"/>
      <c r="E11" s="422" t="s">
        <v>40</v>
      </c>
      <c r="F11" s="422"/>
      <c r="G11" s="422" t="s">
        <v>41</v>
      </c>
      <c r="H11" s="422"/>
      <c r="I11" s="422" t="s">
        <v>42</v>
      </c>
      <c r="J11" s="422"/>
      <c r="K11" s="422" t="s">
        <v>43</v>
      </c>
      <c r="L11" s="422"/>
      <c r="M11" s="422" t="s">
        <v>44</v>
      </c>
      <c r="N11" s="422"/>
      <c r="O11" s="422" t="s">
        <v>45</v>
      </c>
      <c r="P11" s="422"/>
      <c r="Q11" s="422" t="s">
        <v>46</v>
      </c>
      <c r="R11" s="422"/>
      <c r="S11" s="422" t="s">
        <v>47</v>
      </c>
      <c r="T11" s="422"/>
      <c r="U11" s="422" t="s">
        <v>48</v>
      </c>
      <c r="V11" s="422"/>
      <c r="W11" s="422" t="s">
        <v>49</v>
      </c>
      <c r="X11" s="422"/>
      <c r="Y11" s="422" t="s">
        <v>50</v>
      </c>
      <c r="Z11" s="422"/>
      <c r="AA11" s="423" t="s">
        <v>63</v>
      </c>
      <c r="AB11" s="423"/>
      <c r="AE11" s="337"/>
      <c r="AI11" s="370">
        <v>0.51</v>
      </c>
    </row>
    <row r="12" spans="1:36" s="325" customFormat="1" ht="15">
      <c r="A12" s="329"/>
      <c r="B12" s="421"/>
      <c r="C12" s="326" t="s">
        <v>762</v>
      </c>
      <c r="D12" s="326" t="s">
        <v>759</v>
      </c>
      <c r="E12" s="326" t="s">
        <v>762</v>
      </c>
      <c r="F12" s="326" t="s">
        <v>759</v>
      </c>
      <c r="G12" s="326" t="s">
        <v>762</v>
      </c>
      <c r="H12" s="326" t="s">
        <v>759</v>
      </c>
      <c r="I12" s="326" t="s">
        <v>762</v>
      </c>
      <c r="J12" s="326" t="s">
        <v>759</v>
      </c>
      <c r="K12" s="326" t="s">
        <v>762</v>
      </c>
      <c r="L12" s="326" t="s">
        <v>759</v>
      </c>
      <c r="M12" s="326" t="s">
        <v>762</v>
      </c>
      <c r="N12" s="326" t="s">
        <v>759</v>
      </c>
      <c r="O12" s="326" t="s">
        <v>762</v>
      </c>
      <c r="P12" s="326" t="s">
        <v>759</v>
      </c>
      <c r="Q12" s="326" t="s">
        <v>762</v>
      </c>
      <c r="R12" s="326" t="s">
        <v>759</v>
      </c>
      <c r="S12" s="326" t="s">
        <v>383</v>
      </c>
      <c r="T12" s="326" t="s">
        <v>759</v>
      </c>
      <c r="U12" s="326" t="s">
        <v>383</v>
      </c>
      <c r="V12" s="326" t="s">
        <v>759</v>
      </c>
      <c r="W12" s="326" t="s">
        <v>383</v>
      </c>
      <c r="X12" s="326" t="s">
        <v>759</v>
      </c>
      <c r="Y12" s="326" t="s">
        <v>383</v>
      </c>
      <c r="Z12" s="326" t="s">
        <v>759</v>
      </c>
      <c r="AA12" s="333" t="s">
        <v>763</v>
      </c>
      <c r="AB12" s="333" t="s">
        <v>759</v>
      </c>
      <c r="AC12" s="325" t="s">
        <v>762</v>
      </c>
      <c r="AE12" s="337"/>
      <c r="AI12" s="361">
        <f>+AI11-AH8</f>
        <v>0.16000000000000003</v>
      </c>
      <c r="AJ12" s="362" t="s">
        <v>769</v>
      </c>
    </row>
    <row r="13" spans="1:29" ht="15">
      <c r="A13" s="389">
        <v>730135274</v>
      </c>
      <c r="B13" s="327">
        <v>1</v>
      </c>
      <c r="C13" s="373"/>
      <c r="D13" s="373">
        <v>3219066</v>
      </c>
      <c r="E13" s="373"/>
      <c r="F13" s="373">
        <f>3219066-D13</f>
        <v>0</v>
      </c>
      <c r="G13" s="373">
        <f>9000000-C13-E13</f>
        <v>9000000</v>
      </c>
      <c r="H13" s="373">
        <f>293876890-D13-F13</f>
        <v>290657824</v>
      </c>
      <c r="I13" s="373">
        <f>9000000-C13-E13-G13</f>
        <v>0</v>
      </c>
      <c r="J13" s="373">
        <f>317851308-D13-F13-H13</f>
        <v>23974418</v>
      </c>
      <c r="K13" s="373">
        <f>9000000-C13-E13-G13-I13</f>
        <v>0</v>
      </c>
      <c r="L13" s="368">
        <f>556799108-D13-F13-H13-J13</f>
        <v>238947800</v>
      </c>
      <c r="M13" s="406">
        <f>9000000-C13-E13-G13-I13-K13</f>
        <v>0</v>
      </c>
      <c r="N13" s="368">
        <f>556799108-D13-F13-H13-J13-L13</f>
        <v>0</v>
      </c>
      <c r="O13" s="389">
        <f>9000000-C13-E13-G13-I13-K13-M13</f>
        <v>0</v>
      </c>
      <c r="P13" s="368">
        <f>556799108-D13-F13-H13-J13-L13-N13</f>
        <v>0</v>
      </c>
      <c r="Q13" s="405">
        <f>9000001-C13-E13-G13-I13-K13-M13-O13</f>
        <v>1</v>
      </c>
      <c r="R13" s="405">
        <f>556799108-D13-F13-H13-J13-L13-N13-P13</f>
        <v>0</v>
      </c>
      <c r="S13" s="324"/>
      <c r="T13" s="324"/>
      <c r="U13" s="324"/>
      <c r="V13" s="324"/>
      <c r="W13" s="324"/>
      <c r="X13" s="324"/>
      <c r="Y13" s="324"/>
      <c r="Z13" s="324"/>
      <c r="AA13" s="334">
        <f>+A13-C13-E13-G13-I13-K13-M13-O13-Q13</f>
        <v>721135273</v>
      </c>
      <c r="AB13" s="334">
        <f>+D13+F13+H13+J13+L13+N13+P13+R13+T13+V13+X13+Z13</f>
        <v>556799108</v>
      </c>
      <c r="AC13" s="371">
        <f>+C13+E13+G13+I13+K13+M13+O13+Q13</f>
        <v>9000001</v>
      </c>
    </row>
    <row r="14" spans="1:29" ht="15">
      <c r="A14" s="389">
        <v>37857500</v>
      </c>
      <c r="B14" s="327">
        <v>2</v>
      </c>
      <c r="C14" s="373"/>
      <c r="D14" s="373">
        <v>13682500</v>
      </c>
      <c r="E14" s="330">
        <v>15600000</v>
      </c>
      <c r="F14" s="373">
        <f>13682500-D14</f>
        <v>0</v>
      </c>
      <c r="G14" s="373">
        <f>16175000-C14-E14</f>
        <v>575000</v>
      </c>
      <c r="H14" s="373">
        <f>13682500-D14-F14</f>
        <v>0</v>
      </c>
      <c r="I14" s="373">
        <f>24175000-C14-E14-G14</f>
        <v>8000000</v>
      </c>
      <c r="J14" s="373">
        <f>13682500-D14-F14-H14</f>
        <v>0</v>
      </c>
      <c r="K14" s="373">
        <f>24175000-C14-E14-G14-I14</f>
        <v>0</v>
      </c>
      <c r="L14" s="368">
        <f>13682500-D14-F14-H14-J14</f>
        <v>0</v>
      </c>
      <c r="M14" s="373">
        <f>24175000-C14-E14-G14-I14-K14</f>
        <v>0</v>
      </c>
      <c r="N14" s="368">
        <f>13682500-D14-F14-H14-J14-L14</f>
        <v>0</v>
      </c>
      <c r="O14" s="373">
        <f>24175000-C14-E14-G14-I14-K14-M14</f>
        <v>0</v>
      </c>
      <c r="P14" s="368">
        <f>13682500-D14-F14-H14-J14-L14-N14</f>
        <v>0</v>
      </c>
      <c r="Q14" s="405">
        <f>24175000-C14-E14-G14-I14-K14-M14-O14</f>
        <v>0</v>
      </c>
      <c r="R14" s="405">
        <f>13682500-D14-F14-H14-J14-L14-N14-P14</f>
        <v>0</v>
      </c>
      <c r="S14" s="324"/>
      <c r="T14" s="324"/>
      <c r="U14" s="324"/>
      <c r="V14" s="324"/>
      <c r="W14" s="324"/>
      <c r="X14" s="324"/>
      <c r="Y14" s="324"/>
      <c r="Z14" s="324"/>
      <c r="AA14" s="334">
        <f>+A14-C14-E14-G14-I14-K14-M14-O14-Q14</f>
        <v>13682500</v>
      </c>
      <c r="AB14" s="334">
        <f>+D14+F14+H14+J14+L14+N14+P14+R14+T14+V14+X14+Z14</f>
        <v>13682500</v>
      </c>
      <c r="AC14" s="371">
        <f>+C14+E14+G14+I14+K14+M14+O14+Q14</f>
        <v>24175000</v>
      </c>
    </row>
    <row r="15" spans="1:29" ht="15">
      <c r="A15" s="389">
        <v>0</v>
      </c>
      <c r="B15" s="327">
        <v>3</v>
      </c>
      <c r="C15" s="373"/>
      <c r="D15" s="373">
        <v>0</v>
      </c>
      <c r="E15" s="373"/>
      <c r="F15" s="373">
        <f>0-D15</f>
        <v>0</v>
      </c>
      <c r="G15" s="373">
        <f>0-C15-E15</f>
        <v>0</v>
      </c>
      <c r="H15" s="373">
        <f>0-D15-F15</f>
        <v>0</v>
      </c>
      <c r="I15" s="373">
        <f>0-C15-E15-G15</f>
        <v>0</v>
      </c>
      <c r="J15" s="373">
        <f>0-D15-F15-H15</f>
        <v>0</v>
      </c>
      <c r="K15" s="373">
        <f>0-C15-E15-G15-I15</f>
        <v>0</v>
      </c>
      <c r="L15" s="368">
        <f>0-D15-F15-H15-J15</f>
        <v>0</v>
      </c>
      <c r="M15" s="373">
        <f>0-C15-E15-G15-I15-K15</f>
        <v>0</v>
      </c>
      <c r="N15" s="368">
        <f>0-D15-F15-H15-J15-L15</f>
        <v>0</v>
      </c>
      <c r="O15" s="373">
        <f>0-C15-E15-G15-I15-K15-M15</f>
        <v>0</v>
      </c>
      <c r="P15" s="368">
        <f>0-D15-F15-H15-J15-L15-N15</f>
        <v>0</v>
      </c>
      <c r="Q15" s="405">
        <v>0</v>
      </c>
      <c r="R15" s="405">
        <v>0</v>
      </c>
      <c r="S15" s="324"/>
      <c r="T15" s="324"/>
      <c r="U15" s="324"/>
      <c r="V15" s="324"/>
      <c r="W15" s="324"/>
      <c r="X15" s="324"/>
      <c r="Y15" s="324"/>
      <c r="Z15" s="324"/>
      <c r="AA15" s="334">
        <f>+A15-C15-E15-G15-I15-K15-M15-O15-Q15</f>
        <v>0</v>
      </c>
      <c r="AB15" s="334">
        <f>+D15+F15+H15+J15+L15+N15+P15+R15+T15+V15+X15+Z15</f>
        <v>0</v>
      </c>
      <c r="AC15" s="371">
        <f>+C15+E15+G15+I15+K15+M15+O15+Q15</f>
        <v>0</v>
      </c>
    </row>
    <row r="16" spans="1:29" ht="15">
      <c r="A16" s="389">
        <v>2200000</v>
      </c>
      <c r="B16" s="327">
        <v>4</v>
      </c>
      <c r="C16" s="373"/>
      <c r="D16" s="373">
        <v>0</v>
      </c>
      <c r="E16" s="373"/>
      <c r="F16" s="373">
        <f>0-D16</f>
        <v>0</v>
      </c>
      <c r="G16" s="373">
        <f>0-C16-E16</f>
        <v>0</v>
      </c>
      <c r="H16" s="373">
        <f>0-D16-F16</f>
        <v>0</v>
      </c>
      <c r="I16" s="373">
        <f>2200000-C16-E16-G16</f>
        <v>2200000</v>
      </c>
      <c r="J16" s="373">
        <f>0-D16-F16-H16</f>
        <v>0</v>
      </c>
      <c r="K16" s="373">
        <f>2200000-C16-E16-G16-I16</f>
        <v>0</v>
      </c>
      <c r="L16" s="368">
        <f>0-D16-F16-H16-J16</f>
        <v>0</v>
      </c>
      <c r="M16" s="373">
        <f>2200000-C16-E16-G16-I16-K16</f>
        <v>0</v>
      </c>
      <c r="N16" s="368">
        <f>0-D16-F16-H16-J16-L16</f>
        <v>0</v>
      </c>
      <c r="O16" s="373">
        <f>2200000-C16-E16-G16-I16-K16-M16</f>
        <v>0</v>
      </c>
      <c r="P16" s="368">
        <f>0-D16-F16-H16-J16-L16-N16</f>
        <v>0</v>
      </c>
      <c r="Q16" s="405">
        <f>2200000-C16-E16-G16-I16-K16-M16-O16</f>
        <v>0</v>
      </c>
      <c r="R16" s="405">
        <v>0</v>
      </c>
      <c r="S16" s="324"/>
      <c r="T16" s="324"/>
      <c r="U16" s="324"/>
      <c r="V16" s="324"/>
      <c r="W16" s="324"/>
      <c r="X16" s="324"/>
      <c r="Y16" s="324"/>
      <c r="Z16" s="324"/>
      <c r="AA16" s="334">
        <f>+A16-C16-E16-G16-I16-K16-M16-O16-Q16</f>
        <v>0</v>
      </c>
      <c r="AB16" s="334">
        <f>+D16+F16+H16+J16+L16+N16+P16+R16+T16+V16+X16+Z16</f>
        <v>0</v>
      </c>
      <c r="AC16" s="371">
        <f>+C16+E16+G16+I16+K16+M16+O16+Q16</f>
        <v>2200000</v>
      </c>
    </row>
    <row r="17" spans="1:31" s="325" customFormat="1" ht="15">
      <c r="A17" s="407">
        <f>SUM(A13:A16)</f>
        <v>770192774</v>
      </c>
      <c r="B17" s="328" t="s">
        <v>8</v>
      </c>
      <c r="C17" s="326">
        <f aca="true" t="shared" si="2" ref="C17:AA17">SUM(C13:C16)</f>
        <v>0</v>
      </c>
      <c r="D17" s="326">
        <f t="shared" si="2"/>
        <v>16901566</v>
      </c>
      <c r="E17" s="326">
        <f t="shared" si="2"/>
        <v>15600000</v>
      </c>
      <c r="F17" s="326">
        <f t="shared" si="2"/>
        <v>0</v>
      </c>
      <c r="G17" s="326">
        <f t="shared" si="2"/>
        <v>9575000</v>
      </c>
      <c r="H17" s="326">
        <f t="shared" si="2"/>
        <v>290657824</v>
      </c>
      <c r="I17" s="326">
        <f t="shared" si="2"/>
        <v>10200000</v>
      </c>
      <c r="J17" s="326">
        <f t="shared" si="2"/>
        <v>23974418</v>
      </c>
      <c r="K17" s="326">
        <f t="shared" si="2"/>
        <v>0</v>
      </c>
      <c r="L17" s="326">
        <f t="shared" si="2"/>
        <v>238947800</v>
      </c>
      <c r="M17" s="326">
        <f t="shared" si="2"/>
        <v>0</v>
      </c>
      <c r="N17" s="326">
        <f t="shared" si="2"/>
        <v>0</v>
      </c>
      <c r="O17" s="326">
        <f t="shared" si="2"/>
        <v>0</v>
      </c>
      <c r="P17" s="326">
        <f t="shared" si="2"/>
        <v>0</v>
      </c>
      <c r="Q17" s="326">
        <f t="shared" si="2"/>
        <v>1</v>
      </c>
      <c r="R17" s="326">
        <f t="shared" si="2"/>
        <v>0</v>
      </c>
      <c r="S17" s="326">
        <f t="shared" si="2"/>
        <v>0</v>
      </c>
      <c r="T17" s="326">
        <f t="shared" si="2"/>
        <v>0</v>
      </c>
      <c r="U17" s="326">
        <f t="shared" si="2"/>
        <v>0</v>
      </c>
      <c r="V17" s="326">
        <f t="shared" si="2"/>
        <v>0</v>
      </c>
      <c r="W17" s="326">
        <f t="shared" si="2"/>
        <v>0</v>
      </c>
      <c r="X17" s="326">
        <f t="shared" si="2"/>
        <v>0</v>
      </c>
      <c r="Y17" s="326">
        <f t="shared" si="2"/>
        <v>0</v>
      </c>
      <c r="Z17" s="326">
        <f t="shared" si="2"/>
        <v>0</v>
      </c>
      <c r="AA17" s="333">
        <f t="shared" si="2"/>
        <v>734817773</v>
      </c>
      <c r="AB17" s="333">
        <f>SUM(AB13:AB16)</f>
        <v>570481608</v>
      </c>
      <c r="AC17" s="333">
        <f>SUM(AC13:AC16)</f>
        <v>35375001</v>
      </c>
      <c r="AD17" s="329"/>
      <c r="AE17" s="337"/>
    </row>
    <row r="18" spans="27:28" ht="15">
      <c r="AA18" s="369">
        <v>734817773</v>
      </c>
      <c r="AB18" s="369">
        <v>570481608</v>
      </c>
    </row>
    <row r="19" ht="15">
      <c r="AB19" s="369"/>
    </row>
    <row r="20" spans="2:28" ht="15">
      <c r="B20" s="408" t="s">
        <v>774</v>
      </c>
      <c r="AB20" s="369"/>
    </row>
    <row r="23" ht="15">
      <c r="AA23" s="371">
        <f>+AA17-AB17</f>
        <v>164336165</v>
      </c>
    </row>
    <row r="26" spans="2:3" ht="15">
      <c r="B26" s="377" t="s">
        <v>766</v>
      </c>
      <c r="C26" s="369" t="s">
        <v>764</v>
      </c>
    </row>
    <row r="27" spans="2:3" ht="15">
      <c r="B27" s="377" t="s">
        <v>383</v>
      </c>
      <c r="C27" s="369" t="s">
        <v>765</v>
      </c>
    </row>
  </sheetData>
  <sheetProtection/>
  <mergeCells count="28">
    <mergeCell ref="Q11:R11"/>
    <mergeCell ref="S11:T11"/>
    <mergeCell ref="U11:V11"/>
    <mergeCell ref="W11:X11"/>
    <mergeCell ref="Y11:Z11"/>
    <mergeCell ref="AA11:AB11"/>
    <mergeCell ref="Y2:Z2"/>
    <mergeCell ref="AA2:AB2"/>
    <mergeCell ref="B11:B12"/>
    <mergeCell ref="C11:D11"/>
    <mergeCell ref="E11:F11"/>
    <mergeCell ref="G11:H11"/>
    <mergeCell ref="I11:J11"/>
    <mergeCell ref="K11:L11"/>
    <mergeCell ref="M11:N11"/>
    <mergeCell ref="O11:P11"/>
    <mergeCell ref="M2:N2"/>
    <mergeCell ref="O2:P2"/>
    <mergeCell ref="Q2:R2"/>
    <mergeCell ref="S2:T2"/>
    <mergeCell ref="U2:V2"/>
    <mergeCell ref="W2:X2"/>
    <mergeCell ref="B2:B3"/>
    <mergeCell ref="C2:D2"/>
    <mergeCell ref="E2:F2"/>
    <mergeCell ref="G2:H2"/>
    <mergeCell ref="I2:J2"/>
    <mergeCell ref="K2:L2"/>
  </mergeCells>
  <printOptions/>
  <pageMargins left="0.75" right="0.75" top="1" bottom="1" header="0.3" footer="0.3"/>
  <pageSetup orientation="landscape"/>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BB32"/>
  <sheetViews>
    <sheetView zoomScalePageLayoutView="0" workbookViewId="0" topLeftCell="K15">
      <selection activeCell="AV14" sqref="AV14"/>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112.00390625" style="113" customWidth="1"/>
    <col min="49" max="50" width="2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97.5" customHeight="1">
      <c r="A13" s="251">
        <v>518</v>
      </c>
      <c r="B13" s="125"/>
      <c r="C13" s="227"/>
      <c r="D13" s="125"/>
      <c r="E13" s="125"/>
      <c r="F13" s="125"/>
      <c r="G13" s="252" t="s">
        <v>429</v>
      </c>
      <c r="H13" s="125" t="s">
        <v>430</v>
      </c>
      <c r="I13" s="227" t="s">
        <v>431</v>
      </c>
      <c r="J13" s="227" t="s">
        <v>547</v>
      </c>
      <c r="K13" s="227" t="s">
        <v>468</v>
      </c>
      <c r="L13" s="125"/>
      <c r="M13" s="253" t="s">
        <v>432</v>
      </c>
      <c r="N13" s="227" t="s">
        <v>548</v>
      </c>
      <c r="O13" s="228"/>
      <c r="P13" s="228"/>
      <c r="Q13" s="245">
        <v>1</v>
      </c>
      <c r="R13" s="228"/>
      <c r="S13" s="228"/>
      <c r="T13" s="240" t="s">
        <v>433</v>
      </c>
      <c r="U13" s="240" t="s">
        <v>434</v>
      </c>
      <c r="V13" s="236"/>
      <c r="W13" s="236"/>
      <c r="X13" s="236">
        <v>0.21</v>
      </c>
      <c r="Y13" s="236"/>
      <c r="Z13" s="236"/>
      <c r="AA13" s="236">
        <v>0.26</v>
      </c>
      <c r="AB13" s="236"/>
      <c r="AC13" s="236"/>
      <c r="AD13" s="236">
        <v>0.28</v>
      </c>
      <c r="AE13" s="236"/>
      <c r="AF13" s="236"/>
      <c r="AG13" s="236">
        <v>0.25</v>
      </c>
      <c r="AH13" s="246"/>
      <c r="AI13" s="246"/>
      <c r="AJ13" s="256">
        <v>0.21</v>
      </c>
      <c r="AK13" s="231"/>
      <c r="AL13" s="231"/>
      <c r="AM13" s="231">
        <v>0.22</v>
      </c>
      <c r="AN13" s="231">
        <v>0.1</v>
      </c>
      <c r="AO13" s="366">
        <v>0.1</v>
      </c>
      <c r="AP13" s="230"/>
      <c r="AQ13" s="230"/>
      <c r="AR13" s="230"/>
      <c r="AS13" s="230"/>
      <c r="AT13" s="246">
        <f>SUM(AH13:AS13)</f>
        <v>0.63</v>
      </c>
      <c r="AU13" s="245">
        <f>+AT13/Q13</f>
        <v>0.63</v>
      </c>
      <c r="AV13" s="390" t="s">
        <v>797</v>
      </c>
      <c r="AW13" s="300" t="s">
        <v>798</v>
      </c>
      <c r="AX13" s="320" t="s">
        <v>799</v>
      </c>
    </row>
    <row r="14" spans="1:50" s="234" customFormat="1" ht="105.75" customHeight="1">
      <c r="A14" s="254"/>
      <c r="B14" s="125"/>
      <c r="C14" s="125"/>
      <c r="D14" s="125"/>
      <c r="E14" s="125"/>
      <c r="F14" s="125"/>
      <c r="G14" s="252" t="s">
        <v>429</v>
      </c>
      <c r="H14" s="125" t="s">
        <v>430</v>
      </c>
      <c r="I14" s="227" t="s">
        <v>435</v>
      </c>
      <c r="J14" s="227" t="s">
        <v>549</v>
      </c>
      <c r="K14" s="125" t="s">
        <v>452</v>
      </c>
      <c r="L14" s="125"/>
      <c r="M14" s="253" t="s">
        <v>432</v>
      </c>
      <c r="N14" s="227" t="s">
        <v>550</v>
      </c>
      <c r="O14" s="228"/>
      <c r="P14" s="228"/>
      <c r="Q14" s="245">
        <v>1</v>
      </c>
      <c r="R14" s="228"/>
      <c r="S14" s="228"/>
      <c r="T14" s="125" t="s">
        <v>433</v>
      </c>
      <c r="U14" s="227" t="s">
        <v>436</v>
      </c>
      <c r="V14" s="236"/>
      <c r="W14" s="236"/>
      <c r="X14" s="236">
        <v>1</v>
      </c>
      <c r="Y14" s="236"/>
      <c r="Z14" s="236"/>
      <c r="AA14" s="236">
        <v>1</v>
      </c>
      <c r="AB14" s="236"/>
      <c r="AC14" s="236"/>
      <c r="AD14" s="236">
        <v>1</v>
      </c>
      <c r="AE14" s="236"/>
      <c r="AF14" s="236"/>
      <c r="AG14" s="236">
        <v>1</v>
      </c>
      <c r="AH14" s="246"/>
      <c r="AI14" s="246"/>
      <c r="AJ14" s="256">
        <v>1</v>
      </c>
      <c r="AK14" s="231"/>
      <c r="AL14" s="366"/>
      <c r="AM14" s="366">
        <v>1</v>
      </c>
      <c r="AN14" s="366">
        <v>0.33</v>
      </c>
      <c r="AO14" s="366">
        <v>0.33</v>
      </c>
      <c r="AP14" s="230"/>
      <c r="AQ14" s="230"/>
      <c r="AR14" s="230"/>
      <c r="AS14" s="230"/>
      <c r="AT14" s="246">
        <f>+AM14</f>
        <v>1</v>
      </c>
      <c r="AU14" s="245">
        <f>+AT14/Q14</f>
        <v>1</v>
      </c>
      <c r="AV14" s="391" t="s">
        <v>800</v>
      </c>
      <c r="AW14" s="301"/>
      <c r="AX14" s="320"/>
    </row>
    <row r="15" spans="1:50" s="234" customFormat="1" ht="120" customHeight="1">
      <c r="A15" s="254"/>
      <c r="B15" s="125"/>
      <c r="C15" s="125"/>
      <c r="D15" s="125"/>
      <c r="E15" s="125"/>
      <c r="F15" s="125"/>
      <c r="G15" s="252" t="s">
        <v>429</v>
      </c>
      <c r="H15" s="125" t="s">
        <v>430</v>
      </c>
      <c r="I15" s="227" t="s">
        <v>437</v>
      </c>
      <c r="J15" s="227" t="s">
        <v>551</v>
      </c>
      <c r="K15" s="230" t="s">
        <v>468</v>
      </c>
      <c r="L15" s="230"/>
      <c r="M15" s="253" t="s">
        <v>432</v>
      </c>
      <c r="N15" s="227" t="s">
        <v>552</v>
      </c>
      <c r="O15" s="228"/>
      <c r="P15" s="228"/>
      <c r="Q15" s="245">
        <v>1</v>
      </c>
      <c r="R15" s="228"/>
      <c r="S15" s="228"/>
      <c r="T15" s="125" t="s">
        <v>433</v>
      </c>
      <c r="U15" s="227" t="s">
        <v>553</v>
      </c>
      <c r="V15" s="236"/>
      <c r="W15" s="236"/>
      <c r="X15" s="236">
        <v>0.25</v>
      </c>
      <c r="Y15" s="236"/>
      <c r="Z15" s="236"/>
      <c r="AA15" s="236">
        <v>0.25</v>
      </c>
      <c r="AB15" s="236"/>
      <c r="AC15" s="236"/>
      <c r="AD15" s="236">
        <v>0.25</v>
      </c>
      <c r="AE15" s="236"/>
      <c r="AF15" s="236"/>
      <c r="AG15" s="236">
        <v>0.25</v>
      </c>
      <c r="AH15" s="246"/>
      <c r="AI15" s="246"/>
      <c r="AJ15" s="256">
        <v>0.25</v>
      </c>
      <c r="AK15" s="231"/>
      <c r="AL15" s="366"/>
      <c r="AM15" s="231">
        <v>0.23</v>
      </c>
      <c r="AN15" s="366">
        <v>0.08</v>
      </c>
      <c r="AO15" s="366">
        <v>0.1</v>
      </c>
      <c r="AP15" s="230"/>
      <c r="AQ15" s="230"/>
      <c r="AR15" s="230"/>
      <c r="AS15" s="230"/>
      <c r="AT15" s="246">
        <f>SUM(AH15:AS15)</f>
        <v>0.6599999999999999</v>
      </c>
      <c r="AU15" s="245">
        <f>+AT15/Q15</f>
        <v>0.6599999999999999</v>
      </c>
      <c r="AV15" s="392" t="s">
        <v>801</v>
      </c>
      <c r="AW15" s="301" t="s">
        <v>802</v>
      </c>
      <c r="AX15" s="320" t="s">
        <v>803</v>
      </c>
    </row>
    <row r="16" spans="1:50" s="234" customFormat="1" ht="81" customHeight="1">
      <c r="A16" s="254"/>
      <c r="B16" s="125"/>
      <c r="C16" s="125"/>
      <c r="D16" s="125"/>
      <c r="E16" s="125"/>
      <c r="F16" s="125"/>
      <c r="G16" s="252" t="s">
        <v>429</v>
      </c>
      <c r="H16" s="125" t="s">
        <v>438</v>
      </c>
      <c r="I16" s="227" t="s">
        <v>439</v>
      </c>
      <c r="J16" s="227" t="s">
        <v>554</v>
      </c>
      <c r="K16" s="230" t="s">
        <v>452</v>
      </c>
      <c r="L16" s="230"/>
      <c r="M16" s="253" t="s">
        <v>432</v>
      </c>
      <c r="N16" s="227" t="s">
        <v>555</v>
      </c>
      <c r="O16" s="228"/>
      <c r="P16" s="228"/>
      <c r="Q16" s="245">
        <v>1</v>
      </c>
      <c r="R16" s="228"/>
      <c r="S16" s="228"/>
      <c r="T16" s="125" t="s">
        <v>433</v>
      </c>
      <c r="U16" s="227" t="s">
        <v>440</v>
      </c>
      <c r="V16" s="236"/>
      <c r="W16" s="236"/>
      <c r="X16" s="236">
        <v>1</v>
      </c>
      <c r="Y16" s="236"/>
      <c r="Z16" s="236"/>
      <c r="AA16" s="236">
        <v>1</v>
      </c>
      <c r="AB16" s="236"/>
      <c r="AC16" s="236"/>
      <c r="AD16" s="236">
        <v>1</v>
      </c>
      <c r="AE16" s="236"/>
      <c r="AF16" s="236"/>
      <c r="AG16" s="236">
        <v>1</v>
      </c>
      <c r="AH16" s="246"/>
      <c r="AI16" s="246"/>
      <c r="AJ16" s="256">
        <v>1</v>
      </c>
      <c r="AK16" s="231"/>
      <c r="AL16" s="366"/>
      <c r="AM16" s="231">
        <v>1</v>
      </c>
      <c r="AN16" s="366">
        <v>0.3</v>
      </c>
      <c r="AO16" s="366">
        <v>0.3</v>
      </c>
      <c r="AP16" s="230"/>
      <c r="AQ16" s="230"/>
      <c r="AR16" s="230"/>
      <c r="AS16" s="230"/>
      <c r="AT16" s="246">
        <f>+AM16</f>
        <v>1</v>
      </c>
      <c r="AU16" s="245">
        <f>+AT16/Q16</f>
        <v>1</v>
      </c>
      <c r="AV16" s="392" t="s">
        <v>804</v>
      </c>
      <c r="AW16" s="321"/>
      <c r="AX16" s="393"/>
    </row>
    <row r="17" spans="1:50" s="234" customFormat="1" ht="408.75" customHeight="1">
      <c r="A17" s="254"/>
      <c r="B17" s="125"/>
      <c r="C17" s="125"/>
      <c r="D17" s="125"/>
      <c r="E17" s="125"/>
      <c r="F17" s="125"/>
      <c r="G17" s="227" t="s">
        <v>429</v>
      </c>
      <c r="H17" s="125" t="s">
        <v>438</v>
      </c>
      <c r="I17" s="227" t="s">
        <v>441</v>
      </c>
      <c r="J17" s="227" t="s">
        <v>556</v>
      </c>
      <c r="K17" s="230" t="s">
        <v>452</v>
      </c>
      <c r="L17" s="230"/>
      <c r="M17" s="253" t="s">
        <v>432</v>
      </c>
      <c r="N17" s="227" t="s">
        <v>557</v>
      </c>
      <c r="O17" s="228"/>
      <c r="P17" s="228"/>
      <c r="Q17" s="245">
        <v>1</v>
      </c>
      <c r="R17" s="228"/>
      <c r="S17" s="228"/>
      <c r="T17" s="125" t="s">
        <v>433</v>
      </c>
      <c r="U17" s="379" t="s">
        <v>442</v>
      </c>
      <c r="V17" s="236"/>
      <c r="W17" s="236"/>
      <c r="X17" s="256">
        <v>1</v>
      </c>
      <c r="Y17" s="256"/>
      <c r="Z17" s="256"/>
      <c r="AA17" s="256">
        <v>1</v>
      </c>
      <c r="AB17" s="256"/>
      <c r="AC17" s="256"/>
      <c r="AD17" s="257">
        <v>1</v>
      </c>
      <c r="AE17" s="256"/>
      <c r="AF17" s="256"/>
      <c r="AG17" s="257">
        <v>1</v>
      </c>
      <c r="AH17" s="246"/>
      <c r="AI17" s="246"/>
      <c r="AJ17" s="256">
        <v>1</v>
      </c>
      <c r="AK17" s="231"/>
      <c r="AL17" s="366"/>
      <c r="AM17" s="231">
        <v>1</v>
      </c>
      <c r="AN17" s="366">
        <v>0.3</v>
      </c>
      <c r="AO17" s="366">
        <v>0.6</v>
      </c>
      <c r="AP17" s="230"/>
      <c r="AQ17" s="230"/>
      <c r="AR17" s="230"/>
      <c r="AS17" s="230"/>
      <c r="AT17" s="246">
        <f>+AM17</f>
        <v>1</v>
      </c>
      <c r="AU17" s="245">
        <f>+AT17/Q17</f>
        <v>1</v>
      </c>
      <c r="AV17" s="394" t="s">
        <v>805</v>
      </c>
      <c r="AW17" s="301"/>
      <c r="AX17" s="393"/>
    </row>
    <row r="18" spans="1:50" ht="15">
      <c r="A18" s="768" t="s">
        <v>295</v>
      </c>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69"/>
      <c r="AT18" s="769"/>
      <c r="AU18" s="769"/>
      <c r="AV18" s="769"/>
      <c r="AW18" s="769"/>
      <c r="AX18" s="770"/>
    </row>
    <row r="19" spans="1:50" ht="45" customHeight="1">
      <c r="A19" s="771" t="s">
        <v>64</v>
      </c>
      <c r="B19" s="771"/>
      <c r="C19" s="771"/>
      <c r="D19" s="767" t="s">
        <v>66</v>
      </c>
      <c r="E19" s="767"/>
      <c r="F19" s="767"/>
      <c r="G19" s="767"/>
      <c r="H19" s="767"/>
      <c r="I19" s="767"/>
      <c r="J19" s="766" t="s">
        <v>302</v>
      </c>
      <c r="K19" s="766"/>
      <c r="L19" s="766"/>
      <c r="M19" s="766"/>
      <c r="N19" s="766"/>
      <c r="O19" s="766"/>
      <c r="P19" s="767" t="s">
        <v>66</v>
      </c>
      <c r="Q19" s="767"/>
      <c r="R19" s="767"/>
      <c r="S19" s="767"/>
      <c r="T19" s="767"/>
      <c r="U19" s="767"/>
      <c r="V19" s="767" t="s">
        <v>66</v>
      </c>
      <c r="W19" s="767"/>
      <c r="X19" s="767"/>
      <c r="Y19" s="767"/>
      <c r="Z19" s="767"/>
      <c r="AA19" s="767"/>
      <c r="AB19" s="767"/>
      <c r="AC19" s="767"/>
      <c r="AD19" s="767" t="s">
        <v>66</v>
      </c>
      <c r="AE19" s="767"/>
      <c r="AF19" s="767"/>
      <c r="AG19" s="767"/>
      <c r="AH19" s="767"/>
      <c r="AI19" s="767"/>
      <c r="AJ19" s="767"/>
      <c r="AK19" s="767"/>
      <c r="AL19" s="767"/>
      <c r="AM19" s="767"/>
      <c r="AN19" s="767"/>
      <c r="AO19" s="767"/>
      <c r="AP19" s="766" t="s">
        <v>320</v>
      </c>
      <c r="AQ19" s="766"/>
      <c r="AR19" s="766"/>
      <c r="AS19" s="766"/>
      <c r="AT19" s="767" t="s">
        <v>13</v>
      </c>
      <c r="AU19" s="767"/>
      <c r="AV19" s="767"/>
      <c r="AW19" s="767"/>
      <c r="AX19" s="767"/>
    </row>
    <row r="20" spans="1:50" ht="22.5" customHeight="1">
      <c r="A20" s="771"/>
      <c r="B20" s="771"/>
      <c r="C20" s="771"/>
      <c r="D20" s="767" t="s">
        <v>743</v>
      </c>
      <c r="E20" s="767"/>
      <c r="F20" s="767"/>
      <c r="G20" s="767"/>
      <c r="H20" s="767"/>
      <c r="I20" s="767"/>
      <c r="J20" s="766"/>
      <c r="K20" s="766"/>
      <c r="L20" s="766"/>
      <c r="M20" s="766"/>
      <c r="N20" s="766"/>
      <c r="O20" s="766"/>
      <c r="P20" s="767" t="s">
        <v>634</v>
      </c>
      <c r="Q20" s="767"/>
      <c r="R20" s="767"/>
      <c r="S20" s="767"/>
      <c r="T20" s="767"/>
      <c r="U20" s="767"/>
      <c r="V20" s="767" t="s">
        <v>588</v>
      </c>
      <c r="W20" s="767"/>
      <c r="X20" s="767"/>
      <c r="Y20" s="767"/>
      <c r="Z20" s="767"/>
      <c r="AA20" s="767"/>
      <c r="AB20" s="767"/>
      <c r="AC20" s="767"/>
      <c r="AD20" s="767" t="s">
        <v>65</v>
      </c>
      <c r="AE20" s="767"/>
      <c r="AF20" s="767"/>
      <c r="AG20" s="767"/>
      <c r="AH20" s="767"/>
      <c r="AI20" s="767"/>
      <c r="AJ20" s="767"/>
      <c r="AK20" s="767"/>
      <c r="AL20" s="767"/>
      <c r="AM20" s="767"/>
      <c r="AN20" s="767"/>
      <c r="AO20" s="767"/>
      <c r="AP20" s="766"/>
      <c r="AQ20" s="766"/>
      <c r="AR20" s="766"/>
      <c r="AS20" s="766"/>
      <c r="AT20" s="767" t="s">
        <v>634</v>
      </c>
      <c r="AU20" s="767"/>
      <c r="AV20" s="767"/>
      <c r="AW20" s="767"/>
      <c r="AX20" s="767"/>
    </row>
    <row r="21" spans="1:50" ht="22.5" customHeight="1">
      <c r="A21" s="771"/>
      <c r="B21" s="771"/>
      <c r="C21" s="771"/>
      <c r="D21" s="767" t="s">
        <v>741</v>
      </c>
      <c r="E21" s="767"/>
      <c r="F21" s="767"/>
      <c r="G21" s="767"/>
      <c r="H21" s="767"/>
      <c r="I21" s="767"/>
      <c r="J21" s="766"/>
      <c r="K21" s="766"/>
      <c r="L21" s="766"/>
      <c r="M21" s="766"/>
      <c r="N21" s="766"/>
      <c r="O21" s="766"/>
      <c r="P21" s="767" t="s">
        <v>75</v>
      </c>
      <c r="Q21" s="767"/>
      <c r="R21" s="767"/>
      <c r="S21" s="767"/>
      <c r="T21" s="767"/>
      <c r="U21" s="767"/>
      <c r="V21" s="767" t="s">
        <v>298</v>
      </c>
      <c r="W21" s="767"/>
      <c r="X21" s="767"/>
      <c r="Y21" s="767"/>
      <c r="Z21" s="767"/>
      <c r="AA21" s="767"/>
      <c r="AB21" s="767"/>
      <c r="AC21" s="767"/>
      <c r="AD21" s="767" t="s">
        <v>298</v>
      </c>
      <c r="AE21" s="767"/>
      <c r="AF21" s="767"/>
      <c r="AG21" s="767"/>
      <c r="AH21" s="767"/>
      <c r="AI21" s="767"/>
      <c r="AJ21" s="767"/>
      <c r="AK21" s="767"/>
      <c r="AL21" s="767"/>
      <c r="AM21" s="767"/>
      <c r="AN21" s="767"/>
      <c r="AO21" s="767"/>
      <c r="AP21" s="766"/>
      <c r="AQ21" s="766"/>
      <c r="AR21" s="766"/>
      <c r="AS21" s="766"/>
      <c r="AT21" s="767" t="s">
        <v>75</v>
      </c>
      <c r="AU21" s="767"/>
      <c r="AV21" s="767"/>
      <c r="AW21" s="767"/>
      <c r="AX21" s="767"/>
    </row>
    <row r="32" ht="13.5">
      <c r="BB32" s="299"/>
    </row>
  </sheetData>
  <sheetProtection/>
  <mergeCells count="56">
    <mergeCell ref="D21:I21"/>
    <mergeCell ref="P21:U21"/>
    <mergeCell ref="V21:AC21"/>
    <mergeCell ref="AD21:AO21"/>
    <mergeCell ref="AT21:AX21"/>
    <mergeCell ref="AT19:AX19"/>
    <mergeCell ref="D20:I20"/>
    <mergeCell ref="P20:U20"/>
    <mergeCell ref="V20:AC20"/>
    <mergeCell ref="AD20:AO20"/>
    <mergeCell ref="AT20:AX20"/>
    <mergeCell ref="AH11:AS11"/>
    <mergeCell ref="AT11:AU11"/>
    <mergeCell ref="A18:AX18"/>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X20"/>
  <sheetViews>
    <sheetView zoomScale="66" zoomScaleNormal="66" zoomScalePageLayoutView="0" workbookViewId="0" topLeftCell="P16">
      <selection activeCell="AM16" sqref="AM16"/>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88.140625" style="113" customWidth="1"/>
    <col min="49" max="50" width="2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210.75" customHeight="1">
      <c r="A13" s="125"/>
      <c r="B13" s="125"/>
      <c r="C13" s="125"/>
      <c r="D13" s="125"/>
      <c r="E13" s="125"/>
      <c r="F13" s="242"/>
      <c r="G13" s="227" t="s">
        <v>449</v>
      </c>
      <c r="H13" s="258" t="s">
        <v>411</v>
      </c>
      <c r="I13" s="227" t="s">
        <v>450</v>
      </c>
      <c r="J13" s="227" t="s">
        <v>451</v>
      </c>
      <c r="K13" s="227" t="s">
        <v>452</v>
      </c>
      <c r="L13" s="230" t="s">
        <v>411</v>
      </c>
      <c r="M13" s="253" t="s">
        <v>432</v>
      </c>
      <c r="N13" s="227" t="s">
        <v>558</v>
      </c>
      <c r="O13" s="231"/>
      <c r="P13" s="231"/>
      <c r="Q13" s="231">
        <v>1</v>
      </c>
      <c r="R13" s="231"/>
      <c r="S13" s="231"/>
      <c r="T13" s="125" t="s">
        <v>433</v>
      </c>
      <c r="U13" s="227" t="s">
        <v>453</v>
      </c>
      <c r="V13" s="246"/>
      <c r="W13" s="246"/>
      <c r="X13" s="246">
        <v>0</v>
      </c>
      <c r="Y13" s="246"/>
      <c r="Z13" s="246"/>
      <c r="AA13" s="246">
        <v>0.8</v>
      </c>
      <c r="AB13" s="246"/>
      <c r="AC13" s="246"/>
      <c r="AD13" s="246">
        <v>0</v>
      </c>
      <c r="AE13" s="246"/>
      <c r="AF13" s="246"/>
      <c r="AG13" s="246">
        <v>0.2</v>
      </c>
      <c r="AH13" s="230"/>
      <c r="AI13" s="230"/>
      <c r="AJ13" s="231">
        <v>0</v>
      </c>
      <c r="AK13" s="230"/>
      <c r="AL13" s="230"/>
      <c r="AM13" s="231">
        <v>0.6</v>
      </c>
      <c r="AN13" s="230"/>
      <c r="AO13" s="230"/>
      <c r="AP13" s="230"/>
      <c r="AQ13" s="230"/>
      <c r="AR13" s="230"/>
      <c r="AS13" s="230"/>
      <c r="AT13" s="125">
        <v>3</v>
      </c>
      <c r="AU13" s="245">
        <v>0.6</v>
      </c>
      <c r="AV13" s="315" t="s">
        <v>861</v>
      </c>
      <c r="AW13" s="250"/>
      <c r="AX13" s="250"/>
    </row>
    <row r="14" spans="1:50" s="234" customFormat="1" ht="210.75" customHeight="1">
      <c r="A14" s="125"/>
      <c r="B14" s="125"/>
      <c r="C14" s="125"/>
      <c r="D14" s="125"/>
      <c r="E14" s="125"/>
      <c r="F14" s="242"/>
      <c r="G14" s="227" t="s">
        <v>449</v>
      </c>
      <c r="H14" s="258" t="s">
        <v>411</v>
      </c>
      <c r="I14" s="227" t="s">
        <v>454</v>
      </c>
      <c r="J14" s="227" t="s">
        <v>559</v>
      </c>
      <c r="K14" s="227" t="s">
        <v>468</v>
      </c>
      <c r="L14" s="230" t="s">
        <v>411</v>
      </c>
      <c r="M14" s="230" t="s">
        <v>432</v>
      </c>
      <c r="N14" s="227" t="s">
        <v>560</v>
      </c>
      <c r="O14" s="231"/>
      <c r="P14" s="231"/>
      <c r="Q14" s="231">
        <v>1</v>
      </c>
      <c r="R14" s="231"/>
      <c r="S14" s="231"/>
      <c r="T14" s="125" t="s">
        <v>433</v>
      </c>
      <c r="U14" s="227" t="s">
        <v>455</v>
      </c>
      <c r="V14" s="246"/>
      <c r="W14" s="246"/>
      <c r="X14" s="246">
        <v>0</v>
      </c>
      <c r="Y14" s="246"/>
      <c r="Z14" s="246"/>
      <c r="AA14" s="246">
        <f>4.34782608695652%+8.69565217391304%+4.34782608695652%</f>
        <v>0.17391304347826078</v>
      </c>
      <c r="AB14" s="246"/>
      <c r="AC14" s="246"/>
      <c r="AD14" s="246">
        <f>13.0434782608696%+4.34782608695652%+21.7391304347826%</f>
        <v>0.3913043478260872</v>
      </c>
      <c r="AE14" s="246"/>
      <c r="AF14" s="246"/>
      <c r="AG14" s="246">
        <f>13.0434782608696%+13.0434782608696%+17.3913043478261%</f>
        <v>0.434782608695653</v>
      </c>
      <c r="AH14" s="230"/>
      <c r="AI14" s="230"/>
      <c r="AJ14" s="231">
        <v>0</v>
      </c>
      <c r="AK14" s="230"/>
      <c r="AL14" s="230"/>
      <c r="AM14" s="231">
        <v>0.13</v>
      </c>
      <c r="AN14" s="230"/>
      <c r="AO14" s="230"/>
      <c r="AP14" s="230"/>
      <c r="AQ14" s="230"/>
      <c r="AR14" s="230"/>
      <c r="AS14" s="230"/>
      <c r="AT14" s="125">
        <v>3</v>
      </c>
      <c r="AU14" s="245">
        <v>0.13</v>
      </c>
      <c r="AV14" s="315" t="s">
        <v>862</v>
      </c>
      <c r="AW14" s="250"/>
      <c r="AX14" s="250"/>
    </row>
    <row r="15" spans="1:50" s="234" customFormat="1" ht="210.75" customHeight="1">
      <c r="A15" s="125"/>
      <c r="B15" s="125"/>
      <c r="C15" s="125"/>
      <c r="D15" s="125"/>
      <c r="E15" s="125"/>
      <c r="F15" s="242"/>
      <c r="G15" s="227" t="s">
        <v>449</v>
      </c>
      <c r="H15" s="258" t="s">
        <v>411</v>
      </c>
      <c r="I15" s="227" t="s">
        <v>456</v>
      </c>
      <c r="J15" s="227" t="s">
        <v>457</v>
      </c>
      <c r="K15" s="227" t="s">
        <v>468</v>
      </c>
      <c r="L15" s="230" t="s">
        <v>411</v>
      </c>
      <c r="M15" s="230" t="s">
        <v>432</v>
      </c>
      <c r="N15" s="227" t="s">
        <v>561</v>
      </c>
      <c r="O15" s="231"/>
      <c r="P15" s="231"/>
      <c r="Q15" s="231">
        <v>1</v>
      </c>
      <c r="R15" s="231"/>
      <c r="S15" s="231"/>
      <c r="T15" s="125" t="s">
        <v>433</v>
      </c>
      <c r="U15" s="227" t="s">
        <v>458</v>
      </c>
      <c r="V15" s="246"/>
      <c r="W15" s="246"/>
      <c r="X15" s="246">
        <f>8.69565217391304%+8.69565217391304%+43.4782608695652%</f>
        <v>0.6086956521739127</v>
      </c>
      <c r="Y15" s="246"/>
      <c r="Z15" s="246"/>
      <c r="AA15" s="246">
        <v>0.0869565217391304</v>
      </c>
      <c r="AB15" s="246"/>
      <c r="AC15" s="246"/>
      <c r="AD15" s="246">
        <f>4.34782608695652%+8.69565217391304%+8.69565217391304%</f>
        <v>0.217391304347826</v>
      </c>
      <c r="AE15" s="246"/>
      <c r="AF15" s="246"/>
      <c r="AG15" s="246">
        <f>4.34782608695652%+4.34782608695652%</f>
        <v>0.08695652173913039</v>
      </c>
      <c r="AH15" s="230"/>
      <c r="AI15" s="230"/>
      <c r="AJ15" s="231">
        <v>0.61</v>
      </c>
      <c r="AK15" s="230"/>
      <c r="AL15" s="230"/>
      <c r="AM15" s="246">
        <v>0.0869565217391304</v>
      </c>
      <c r="AN15" s="230"/>
      <c r="AO15" s="230"/>
      <c r="AP15" s="230"/>
      <c r="AQ15" s="230"/>
      <c r="AR15" s="230"/>
      <c r="AS15" s="230"/>
      <c r="AT15" s="125">
        <v>16</v>
      </c>
      <c r="AU15" s="245">
        <v>0.7</v>
      </c>
      <c r="AV15" s="315" t="s">
        <v>863</v>
      </c>
      <c r="AW15" s="250"/>
      <c r="AX15" s="250"/>
    </row>
    <row r="16" spans="1:50" s="234" customFormat="1" ht="210.75" customHeight="1">
      <c r="A16" s="125"/>
      <c r="B16" s="125"/>
      <c r="C16" s="125"/>
      <c r="D16" s="125"/>
      <c r="E16" s="125"/>
      <c r="F16" s="242"/>
      <c r="G16" s="227" t="s">
        <v>449</v>
      </c>
      <c r="H16" s="258" t="s">
        <v>411</v>
      </c>
      <c r="I16" s="227" t="s">
        <v>562</v>
      </c>
      <c r="J16" s="227" t="s">
        <v>563</v>
      </c>
      <c r="K16" s="227" t="s">
        <v>468</v>
      </c>
      <c r="L16" s="230" t="s">
        <v>411</v>
      </c>
      <c r="M16" s="125" t="s">
        <v>432</v>
      </c>
      <c r="N16" s="227" t="s">
        <v>564</v>
      </c>
      <c r="O16" s="231"/>
      <c r="P16" s="231"/>
      <c r="Q16" s="231">
        <v>1</v>
      </c>
      <c r="R16" s="231"/>
      <c r="S16" s="231"/>
      <c r="T16" s="125" t="s">
        <v>433</v>
      </c>
      <c r="U16" s="227" t="s">
        <v>459</v>
      </c>
      <c r="V16" s="246"/>
      <c r="W16" s="246"/>
      <c r="X16" s="246">
        <v>0.18</v>
      </c>
      <c r="Y16" s="246"/>
      <c r="Z16" s="246"/>
      <c r="AA16" s="246">
        <v>0.27</v>
      </c>
      <c r="AB16" s="246"/>
      <c r="AC16" s="246"/>
      <c r="AD16" s="246">
        <v>0.27</v>
      </c>
      <c r="AE16" s="246"/>
      <c r="AF16" s="246"/>
      <c r="AG16" s="246">
        <v>0.28</v>
      </c>
      <c r="AH16" s="230"/>
      <c r="AI16" s="230"/>
      <c r="AJ16" s="231">
        <v>0.18</v>
      </c>
      <c r="AK16" s="230"/>
      <c r="AL16" s="230"/>
      <c r="AM16" s="231">
        <v>0.27</v>
      </c>
      <c r="AN16" s="230"/>
      <c r="AO16" s="230"/>
      <c r="AP16" s="230"/>
      <c r="AQ16" s="230"/>
      <c r="AR16" s="230"/>
      <c r="AS16" s="230"/>
      <c r="AT16" s="282">
        <v>0.45</v>
      </c>
      <c r="AU16" s="245">
        <v>0.45</v>
      </c>
      <c r="AV16" s="315" t="s">
        <v>864</v>
      </c>
      <c r="AW16" s="250"/>
      <c r="AX16" s="250"/>
    </row>
    <row r="17" spans="1:50" ht="15">
      <c r="A17" s="768" t="s">
        <v>295</v>
      </c>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69"/>
      <c r="AL17" s="769"/>
      <c r="AM17" s="769"/>
      <c r="AN17" s="769"/>
      <c r="AO17" s="769"/>
      <c r="AP17" s="769"/>
      <c r="AQ17" s="769"/>
      <c r="AR17" s="769"/>
      <c r="AS17" s="769"/>
      <c r="AT17" s="769"/>
      <c r="AU17" s="769"/>
      <c r="AV17" s="769"/>
      <c r="AW17" s="769"/>
      <c r="AX17" s="770"/>
    </row>
    <row r="18" spans="1:50" ht="45" customHeight="1">
      <c r="A18" s="771" t="s">
        <v>64</v>
      </c>
      <c r="B18" s="771"/>
      <c r="C18" s="771"/>
      <c r="D18" s="767" t="s">
        <v>66</v>
      </c>
      <c r="E18" s="767"/>
      <c r="F18" s="767"/>
      <c r="G18" s="767"/>
      <c r="H18" s="767"/>
      <c r="I18" s="767"/>
      <c r="J18" s="766" t="s">
        <v>302</v>
      </c>
      <c r="K18" s="766"/>
      <c r="L18" s="766"/>
      <c r="M18" s="766"/>
      <c r="N18" s="766"/>
      <c r="O18" s="766"/>
      <c r="P18" s="767" t="s">
        <v>66</v>
      </c>
      <c r="Q18" s="767"/>
      <c r="R18" s="767"/>
      <c r="S18" s="767"/>
      <c r="T18" s="767"/>
      <c r="U18" s="767"/>
      <c r="V18" s="767" t="s">
        <v>66</v>
      </c>
      <c r="W18" s="767"/>
      <c r="X18" s="767"/>
      <c r="Y18" s="767"/>
      <c r="Z18" s="767"/>
      <c r="AA18" s="767"/>
      <c r="AB18" s="767"/>
      <c r="AC18" s="767"/>
      <c r="AD18" s="767" t="s">
        <v>66</v>
      </c>
      <c r="AE18" s="767"/>
      <c r="AF18" s="767"/>
      <c r="AG18" s="767"/>
      <c r="AH18" s="767"/>
      <c r="AI18" s="767"/>
      <c r="AJ18" s="767"/>
      <c r="AK18" s="767"/>
      <c r="AL18" s="767"/>
      <c r="AM18" s="767"/>
      <c r="AN18" s="767"/>
      <c r="AO18" s="767"/>
      <c r="AP18" s="766" t="s">
        <v>320</v>
      </c>
      <c r="AQ18" s="766"/>
      <c r="AR18" s="766"/>
      <c r="AS18" s="766"/>
      <c r="AT18" s="767" t="s">
        <v>13</v>
      </c>
      <c r="AU18" s="767"/>
      <c r="AV18" s="767"/>
      <c r="AW18" s="767"/>
      <c r="AX18" s="767"/>
    </row>
    <row r="19" spans="1:50" ht="22.5" customHeight="1">
      <c r="A19" s="771"/>
      <c r="B19" s="771"/>
      <c r="C19" s="771"/>
      <c r="D19" s="767" t="s">
        <v>745</v>
      </c>
      <c r="E19" s="767"/>
      <c r="F19" s="767"/>
      <c r="G19" s="767"/>
      <c r="H19" s="767"/>
      <c r="I19" s="767"/>
      <c r="J19" s="766"/>
      <c r="K19" s="766"/>
      <c r="L19" s="766"/>
      <c r="M19" s="766"/>
      <c r="N19" s="766"/>
      <c r="O19" s="766"/>
      <c r="P19" s="767" t="s">
        <v>745</v>
      </c>
      <c r="Q19" s="767"/>
      <c r="R19" s="767"/>
      <c r="S19" s="767"/>
      <c r="T19" s="767"/>
      <c r="U19" s="767"/>
      <c r="V19" s="767" t="s">
        <v>588</v>
      </c>
      <c r="W19" s="767"/>
      <c r="X19" s="767"/>
      <c r="Y19" s="767"/>
      <c r="Z19" s="767"/>
      <c r="AA19" s="767"/>
      <c r="AB19" s="767"/>
      <c r="AC19" s="767"/>
      <c r="AD19" s="767" t="s">
        <v>65</v>
      </c>
      <c r="AE19" s="767"/>
      <c r="AF19" s="767"/>
      <c r="AG19" s="767"/>
      <c r="AH19" s="767"/>
      <c r="AI19" s="767"/>
      <c r="AJ19" s="767"/>
      <c r="AK19" s="767"/>
      <c r="AL19" s="767"/>
      <c r="AM19" s="767"/>
      <c r="AN19" s="767"/>
      <c r="AO19" s="767"/>
      <c r="AP19" s="766"/>
      <c r="AQ19" s="766"/>
      <c r="AR19" s="766"/>
      <c r="AS19" s="766"/>
      <c r="AT19" s="767" t="s">
        <v>634</v>
      </c>
      <c r="AU19" s="767"/>
      <c r="AV19" s="767"/>
      <c r="AW19" s="767"/>
      <c r="AX19" s="767"/>
    </row>
    <row r="20" spans="1:50" ht="22.5" customHeight="1">
      <c r="A20" s="771"/>
      <c r="B20" s="771"/>
      <c r="C20" s="771"/>
      <c r="D20" s="767" t="s">
        <v>744</v>
      </c>
      <c r="E20" s="767"/>
      <c r="F20" s="767"/>
      <c r="G20" s="767"/>
      <c r="H20" s="767"/>
      <c r="I20" s="767"/>
      <c r="J20" s="766"/>
      <c r="K20" s="766"/>
      <c r="L20" s="766"/>
      <c r="M20" s="766"/>
      <c r="N20" s="766"/>
      <c r="O20" s="766"/>
      <c r="P20" s="767" t="s">
        <v>744</v>
      </c>
      <c r="Q20" s="767"/>
      <c r="R20" s="767"/>
      <c r="S20" s="767"/>
      <c r="T20" s="767"/>
      <c r="U20" s="767"/>
      <c r="V20" s="767" t="s">
        <v>298</v>
      </c>
      <c r="W20" s="767"/>
      <c r="X20" s="767"/>
      <c r="Y20" s="767"/>
      <c r="Z20" s="767"/>
      <c r="AA20" s="767"/>
      <c r="AB20" s="767"/>
      <c r="AC20" s="767"/>
      <c r="AD20" s="767" t="s">
        <v>298</v>
      </c>
      <c r="AE20" s="767"/>
      <c r="AF20" s="767"/>
      <c r="AG20" s="767"/>
      <c r="AH20" s="767"/>
      <c r="AI20" s="767"/>
      <c r="AJ20" s="767"/>
      <c r="AK20" s="767"/>
      <c r="AL20" s="767"/>
      <c r="AM20" s="767"/>
      <c r="AN20" s="767"/>
      <c r="AO20" s="767"/>
      <c r="AP20" s="766"/>
      <c r="AQ20" s="766"/>
      <c r="AR20" s="766"/>
      <c r="AS20" s="766"/>
      <c r="AT20" s="767" t="s">
        <v>75</v>
      </c>
      <c r="AU20" s="767"/>
      <c r="AV20" s="767"/>
      <c r="AW20" s="767"/>
      <c r="AX20" s="767"/>
    </row>
  </sheetData>
  <sheetProtection/>
  <mergeCells count="56">
    <mergeCell ref="D20:I20"/>
    <mergeCell ref="P20:U20"/>
    <mergeCell ref="V20:AC20"/>
    <mergeCell ref="AD20:AO20"/>
    <mergeCell ref="AT20:AX20"/>
    <mergeCell ref="AT18:AX18"/>
    <mergeCell ref="D19:I19"/>
    <mergeCell ref="P19:U19"/>
    <mergeCell ref="V19:AC19"/>
    <mergeCell ref="AD19:AO19"/>
    <mergeCell ref="AT19:AX19"/>
    <mergeCell ref="AH11:AS11"/>
    <mergeCell ref="AT11:AU11"/>
    <mergeCell ref="A17:AX17"/>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X21"/>
  <sheetViews>
    <sheetView zoomScale="67" zoomScaleNormal="67" zoomScalePageLayoutView="0" workbookViewId="0" topLeftCell="J16">
      <selection activeCell="AV13" sqref="AV13:AV17"/>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63.140625" style="113" customWidth="1"/>
    <col min="49" max="50" width="2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177.75" customHeight="1">
      <c r="A13" s="227" t="s">
        <v>256</v>
      </c>
      <c r="B13" s="125"/>
      <c r="C13" s="125"/>
      <c r="D13" s="125"/>
      <c r="E13" s="125"/>
      <c r="F13" s="125"/>
      <c r="G13" s="227" t="s">
        <v>465</v>
      </c>
      <c r="H13" s="125">
        <v>7662</v>
      </c>
      <c r="I13" s="147" t="s">
        <v>466</v>
      </c>
      <c r="J13" s="247" t="s">
        <v>467</v>
      </c>
      <c r="K13" s="227" t="s">
        <v>468</v>
      </c>
      <c r="L13" s="125"/>
      <c r="M13" s="227" t="s">
        <v>469</v>
      </c>
      <c r="N13" s="147" t="s">
        <v>565</v>
      </c>
      <c r="O13" s="228"/>
      <c r="P13" s="228"/>
      <c r="Q13" s="228">
        <v>80</v>
      </c>
      <c r="R13" s="228"/>
      <c r="S13" s="228"/>
      <c r="T13" s="240" t="s">
        <v>433</v>
      </c>
      <c r="U13" s="240" t="s">
        <v>470</v>
      </c>
      <c r="V13" s="99"/>
      <c r="W13" s="99"/>
      <c r="X13" s="259">
        <v>12</v>
      </c>
      <c r="Y13" s="259"/>
      <c r="Z13" s="259"/>
      <c r="AA13" s="259">
        <v>24</v>
      </c>
      <c r="AB13" s="259"/>
      <c r="AC13" s="259"/>
      <c r="AD13" s="259">
        <v>24</v>
      </c>
      <c r="AE13" s="259"/>
      <c r="AF13" s="259"/>
      <c r="AG13" s="259">
        <v>20</v>
      </c>
      <c r="AH13" s="230"/>
      <c r="AI13" s="230"/>
      <c r="AJ13" s="125">
        <v>12</v>
      </c>
      <c r="AK13" s="230"/>
      <c r="AL13" s="230"/>
      <c r="AM13" s="124">
        <v>24</v>
      </c>
      <c r="AN13" s="230"/>
      <c r="AO13" s="230"/>
      <c r="AP13" s="230"/>
      <c r="AQ13" s="230"/>
      <c r="AR13" s="230"/>
      <c r="AS13" s="230"/>
      <c r="AT13" s="380">
        <f>SUM(AH13:AS13)</f>
        <v>36</v>
      </c>
      <c r="AU13" s="245">
        <f>AT13/Q13</f>
        <v>0.45</v>
      </c>
      <c r="AV13" s="419" t="s">
        <v>831</v>
      </c>
      <c r="AW13" s="387"/>
      <c r="AX13" s="387"/>
    </row>
    <row r="14" spans="1:50" s="234" customFormat="1" ht="177.75" customHeight="1">
      <c r="A14" s="227" t="s">
        <v>256</v>
      </c>
      <c r="B14" s="125"/>
      <c r="C14" s="125"/>
      <c r="D14" s="125"/>
      <c r="E14" s="125"/>
      <c r="F14" s="125"/>
      <c r="G14" s="227" t="s">
        <v>465</v>
      </c>
      <c r="H14" s="125">
        <v>7662</v>
      </c>
      <c r="I14" s="147" t="s">
        <v>466</v>
      </c>
      <c r="J14" s="149" t="s">
        <v>471</v>
      </c>
      <c r="K14" s="125" t="s">
        <v>468</v>
      </c>
      <c r="L14" s="125"/>
      <c r="M14" s="227" t="s">
        <v>472</v>
      </c>
      <c r="N14" s="147" t="s">
        <v>566</v>
      </c>
      <c r="O14" s="228"/>
      <c r="P14" s="228"/>
      <c r="Q14" s="228">
        <v>150</v>
      </c>
      <c r="R14" s="228"/>
      <c r="S14" s="228"/>
      <c r="T14" s="125" t="s">
        <v>433</v>
      </c>
      <c r="U14" s="227" t="s">
        <v>473</v>
      </c>
      <c r="V14" s="230"/>
      <c r="W14" s="230"/>
      <c r="X14" s="260">
        <v>22.5</v>
      </c>
      <c r="Y14" s="260"/>
      <c r="Z14" s="260"/>
      <c r="AA14" s="260">
        <v>52.5</v>
      </c>
      <c r="AB14" s="261"/>
      <c r="AC14" s="261"/>
      <c r="AD14" s="261">
        <v>45</v>
      </c>
      <c r="AE14" s="261"/>
      <c r="AF14" s="261"/>
      <c r="AG14" s="261">
        <v>30</v>
      </c>
      <c r="AH14" s="261"/>
      <c r="AI14" s="230"/>
      <c r="AJ14" s="125">
        <v>22.5</v>
      </c>
      <c r="AK14" s="230"/>
      <c r="AL14" s="230"/>
      <c r="AM14" s="124">
        <v>52.5</v>
      </c>
      <c r="AN14" s="230"/>
      <c r="AO14" s="230"/>
      <c r="AP14" s="230"/>
      <c r="AQ14" s="230"/>
      <c r="AR14" s="230"/>
      <c r="AS14" s="230"/>
      <c r="AT14" s="381">
        <f>SUM(AH14:AS14)</f>
        <v>75</v>
      </c>
      <c r="AU14" s="245">
        <f>AT14/Q14</f>
        <v>0.5</v>
      </c>
      <c r="AV14" s="419" t="s">
        <v>832</v>
      </c>
      <c r="AW14" s="387"/>
      <c r="AX14" s="387"/>
    </row>
    <row r="15" spans="1:50" s="234" customFormat="1" ht="177.75" customHeight="1">
      <c r="A15" s="227" t="s">
        <v>256</v>
      </c>
      <c r="B15" s="125"/>
      <c r="C15" s="125"/>
      <c r="D15" s="125"/>
      <c r="E15" s="125"/>
      <c r="F15" s="125"/>
      <c r="G15" s="227" t="s">
        <v>465</v>
      </c>
      <c r="H15" s="125">
        <v>7662</v>
      </c>
      <c r="I15" s="147" t="s">
        <v>466</v>
      </c>
      <c r="J15" s="149" t="s">
        <v>474</v>
      </c>
      <c r="K15" s="125" t="s">
        <v>468</v>
      </c>
      <c r="L15" s="125"/>
      <c r="M15" s="227" t="s">
        <v>567</v>
      </c>
      <c r="N15" s="147" t="s">
        <v>568</v>
      </c>
      <c r="O15" s="230"/>
      <c r="P15" s="230"/>
      <c r="Q15" s="230">
        <v>6</v>
      </c>
      <c r="R15" s="230"/>
      <c r="S15" s="230"/>
      <c r="T15" s="125" t="s">
        <v>433</v>
      </c>
      <c r="U15" s="227" t="s">
        <v>475</v>
      </c>
      <c r="V15" s="230"/>
      <c r="W15" s="230"/>
      <c r="X15" s="230">
        <v>1</v>
      </c>
      <c r="Y15" s="230"/>
      <c r="Z15" s="230"/>
      <c r="AA15" s="230">
        <v>2</v>
      </c>
      <c r="AB15" s="230"/>
      <c r="AC15" s="230"/>
      <c r="AD15" s="230">
        <v>2</v>
      </c>
      <c r="AE15" s="230"/>
      <c r="AF15" s="230"/>
      <c r="AG15" s="230">
        <v>1</v>
      </c>
      <c r="AH15" s="230"/>
      <c r="AI15" s="230"/>
      <c r="AJ15" s="125">
        <v>1</v>
      </c>
      <c r="AK15" s="230"/>
      <c r="AL15" s="230"/>
      <c r="AM15" s="124">
        <v>2</v>
      </c>
      <c r="AN15" s="230"/>
      <c r="AO15" s="230"/>
      <c r="AP15" s="230"/>
      <c r="AQ15" s="230"/>
      <c r="AR15" s="230"/>
      <c r="AS15" s="230"/>
      <c r="AT15" s="380">
        <f>SUM(AH15:AS15)</f>
        <v>3</v>
      </c>
      <c r="AU15" s="245">
        <f>AT15/Q15</f>
        <v>0.5</v>
      </c>
      <c r="AV15" s="419" t="s">
        <v>833</v>
      </c>
      <c r="AW15" s="387"/>
      <c r="AX15" s="400"/>
    </row>
    <row r="16" spans="1:50" s="234" customFormat="1" ht="177.75" customHeight="1">
      <c r="A16" s="227" t="s">
        <v>256</v>
      </c>
      <c r="B16" s="125"/>
      <c r="C16" s="125"/>
      <c r="D16" s="125"/>
      <c r="E16" s="125"/>
      <c r="F16" s="125"/>
      <c r="G16" s="227" t="s">
        <v>465</v>
      </c>
      <c r="H16" s="125">
        <v>7662</v>
      </c>
      <c r="I16" s="147" t="s">
        <v>466</v>
      </c>
      <c r="J16" s="149" t="s">
        <v>569</v>
      </c>
      <c r="K16" s="125" t="s">
        <v>468</v>
      </c>
      <c r="L16" s="125"/>
      <c r="M16" s="227" t="s">
        <v>432</v>
      </c>
      <c r="N16" s="149" t="s">
        <v>570</v>
      </c>
      <c r="O16" s="230"/>
      <c r="P16" s="230"/>
      <c r="Q16" s="246">
        <v>1</v>
      </c>
      <c r="R16" s="230"/>
      <c r="S16" s="230"/>
      <c r="T16" s="125" t="s">
        <v>433</v>
      </c>
      <c r="U16" s="227" t="s">
        <v>476</v>
      </c>
      <c r="V16" s="230"/>
      <c r="W16" s="230"/>
      <c r="X16" s="231">
        <v>0.25</v>
      </c>
      <c r="Y16" s="230"/>
      <c r="Z16" s="230"/>
      <c r="AA16" s="231">
        <v>0.25</v>
      </c>
      <c r="AB16" s="230"/>
      <c r="AC16" s="230"/>
      <c r="AD16" s="231">
        <v>0.25</v>
      </c>
      <c r="AE16" s="230"/>
      <c r="AF16" s="230"/>
      <c r="AG16" s="231">
        <v>0.25</v>
      </c>
      <c r="AH16" s="230"/>
      <c r="AI16" s="230"/>
      <c r="AJ16" s="245">
        <v>0.25</v>
      </c>
      <c r="AK16" s="230"/>
      <c r="AL16" s="230"/>
      <c r="AM16" s="374">
        <v>0.25</v>
      </c>
      <c r="AN16" s="230"/>
      <c r="AO16" s="230"/>
      <c r="AP16" s="230"/>
      <c r="AQ16" s="230"/>
      <c r="AR16" s="230"/>
      <c r="AS16" s="230"/>
      <c r="AT16" s="376">
        <f>SUM(AH16:AS16)</f>
        <v>0.5</v>
      </c>
      <c r="AU16" s="245">
        <f>AT16/Q16</f>
        <v>0.5</v>
      </c>
      <c r="AV16" s="419" t="s">
        <v>834</v>
      </c>
      <c r="AW16" s="387"/>
      <c r="AX16" s="387"/>
    </row>
    <row r="17" spans="1:50" s="234" customFormat="1" ht="177.75" customHeight="1">
      <c r="A17" s="227" t="s">
        <v>256</v>
      </c>
      <c r="B17" s="125"/>
      <c r="C17" s="125"/>
      <c r="D17" s="125"/>
      <c r="E17" s="125"/>
      <c r="F17" s="125"/>
      <c r="G17" s="227" t="s">
        <v>465</v>
      </c>
      <c r="H17" s="227">
        <v>7662</v>
      </c>
      <c r="I17" s="147" t="s">
        <v>466</v>
      </c>
      <c r="J17" s="149" t="s">
        <v>571</v>
      </c>
      <c r="K17" s="227" t="s">
        <v>468</v>
      </c>
      <c r="L17" s="227"/>
      <c r="M17" s="227" t="s">
        <v>432</v>
      </c>
      <c r="N17" s="149" t="s">
        <v>572</v>
      </c>
      <c r="O17" s="230"/>
      <c r="P17" s="230"/>
      <c r="Q17" s="246">
        <v>1</v>
      </c>
      <c r="R17" s="230"/>
      <c r="S17" s="230"/>
      <c r="T17" s="125" t="s">
        <v>433</v>
      </c>
      <c r="U17" s="227" t="s">
        <v>476</v>
      </c>
      <c r="V17" s="230"/>
      <c r="W17" s="230"/>
      <c r="X17" s="231">
        <v>0.25</v>
      </c>
      <c r="Y17" s="230"/>
      <c r="Z17" s="230"/>
      <c r="AA17" s="231">
        <v>0.25</v>
      </c>
      <c r="AB17" s="230"/>
      <c r="AC17" s="230"/>
      <c r="AD17" s="231">
        <v>0.25</v>
      </c>
      <c r="AE17" s="230"/>
      <c r="AF17" s="230"/>
      <c r="AG17" s="231">
        <v>0.25</v>
      </c>
      <c r="AH17" s="230"/>
      <c r="AI17" s="230"/>
      <c r="AJ17" s="245">
        <v>0.25</v>
      </c>
      <c r="AK17" s="230"/>
      <c r="AL17" s="230"/>
      <c r="AM17" s="374">
        <v>0.25</v>
      </c>
      <c r="AN17" s="230"/>
      <c r="AO17" s="230"/>
      <c r="AP17" s="230"/>
      <c r="AQ17" s="230"/>
      <c r="AR17" s="230"/>
      <c r="AS17" s="230"/>
      <c r="AT17" s="376">
        <f>SUM(AH17:AS17)</f>
        <v>0.5</v>
      </c>
      <c r="AU17" s="245">
        <f>AT17/Q17</f>
        <v>0.5</v>
      </c>
      <c r="AV17" s="401" t="s">
        <v>835</v>
      </c>
      <c r="AW17" s="387"/>
      <c r="AX17" s="387"/>
    </row>
    <row r="18" spans="1:50" ht="13.5">
      <c r="A18" s="768" t="s">
        <v>295</v>
      </c>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69"/>
      <c r="AT18" s="769"/>
      <c r="AU18" s="769"/>
      <c r="AV18" s="769"/>
      <c r="AW18" s="769"/>
      <c r="AX18" s="770"/>
    </row>
    <row r="19" spans="1:50" ht="45" customHeight="1">
      <c r="A19" s="771" t="s">
        <v>64</v>
      </c>
      <c r="B19" s="771"/>
      <c r="C19" s="771"/>
      <c r="D19" s="767" t="s">
        <v>66</v>
      </c>
      <c r="E19" s="767"/>
      <c r="F19" s="767"/>
      <c r="G19" s="767"/>
      <c r="H19" s="767"/>
      <c r="I19" s="767"/>
      <c r="J19" s="766" t="s">
        <v>302</v>
      </c>
      <c r="K19" s="766"/>
      <c r="L19" s="766"/>
      <c r="M19" s="766"/>
      <c r="N19" s="766"/>
      <c r="O19" s="766"/>
      <c r="P19" s="767" t="s">
        <v>66</v>
      </c>
      <c r="Q19" s="767"/>
      <c r="R19" s="767"/>
      <c r="S19" s="767"/>
      <c r="T19" s="767"/>
      <c r="U19" s="767"/>
      <c r="V19" s="767" t="s">
        <v>66</v>
      </c>
      <c r="W19" s="767"/>
      <c r="X19" s="767"/>
      <c r="Y19" s="767"/>
      <c r="Z19" s="767"/>
      <c r="AA19" s="767"/>
      <c r="AB19" s="767"/>
      <c r="AC19" s="767"/>
      <c r="AD19" s="767" t="s">
        <v>66</v>
      </c>
      <c r="AE19" s="767"/>
      <c r="AF19" s="767"/>
      <c r="AG19" s="767"/>
      <c r="AH19" s="767"/>
      <c r="AI19" s="767"/>
      <c r="AJ19" s="767"/>
      <c r="AK19" s="767"/>
      <c r="AL19" s="767"/>
      <c r="AM19" s="767"/>
      <c r="AN19" s="767"/>
      <c r="AO19" s="767"/>
      <c r="AP19" s="766" t="s">
        <v>320</v>
      </c>
      <c r="AQ19" s="766"/>
      <c r="AR19" s="766"/>
      <c r="AS19" s="766"/>
      <c r="AT19" s="767" t="s">
        <v>13</v>
      </c>
      <c r="AU19" s="767"/>
      <c r="AV19" s="767"/>
      <c r="AW19" s="767"/>
      <c r="AX19" s="767"/>
    </row>
    <row r="20" spans="1:50" ht="22.5" customHeight="1">
      <c r="A20" s="771"/>
      <c r="B20" s="771"/>
      <c r="C20" s="771"/>
      <c r="D20" s="767" t="s">
        <v>721</v>
      </c>
      <c r="E20" s="767"/>
      <c r="F20" s="767"/>
      <c r="G20" s="767"/>
      <c r="H20" s="767"/>
      <c r="I20" s="767"/>
      <c r="J20" s="766"/>
      <c r="K20" s="766"/>
      <c r="L20" s="766"/>
      <c r="M20" s="766"/>
      <c r="N20" s="766"/>
      <c r="O20" s="766"/>
      <c r="P20" s="767" t="s">
        <v>723</v>
      </c>
      <c r="Q20" s="767"/>
      <c r="R20" s="767"/>
      <c r="S20" s="767"/>
      <c r="T20" s="767"/>
      <c r="U20" s="767"/>
      <c r="V20" s="767" t="s">
        <v>588</v>
      </c>
      <c r="W20" s="767"/>
      <c r="X20" s="767"/>
      <c r="Y20" s="767"/>
      <c r="Z20" s="767"/>
      <c r="AA20" s="767"/>
      <c r="AB20" s="767"/>
      <c r="AC20" s="767"/>
      <c r="AD20" s="767" t="s">
        <v>65</v>
      </c>
      <c r="AE20" s="767"/>
      <c r="AF20" s="767"/>
      <c r="AG20" s="767"/>
      <c r="AH20" s="767"/>
      <c r="AI20" s="767"/>
      <c r="AJ20" s="767"/>
      <c r="AK20" s="767"/>
      <c r="AL20" s="767"/>
      <c r="AM20" s="767"/>
      <c r="AN20" s="767"/>
      <c r="AO20" s="767"/>
      <c r="AP20" s="766"/>
      <c r="AQ20" s="766"/>
      <c r="AR20" s="766"/>
      <c r="AS20" s="766"/>
      <c r="AT20" s="767" t="s">
        <v>634</v>
      </c>
      <c r="AU20" s="767"/>
      <c r="AV20" s="767"/>
      <c r="AW20" s="767"/>
      <c r="AX20" s="767"/>
    </row>
    <row r="21" spans="1:50" ht="22.5" customHeight="1">
      <c r="A21" s="771"/>
      <c r="B21" s="771"/>
      <c r="C21" s="771"/>
      <c r="D21" s="767" t="s">
        <v>722</v>
      </c>
      <c r="E21" s="767"/>
      <c r="F21" s="767"/>
      <c r="G21" s="767"/>
      <c r="H21" s="767"/>
      <c r="I21" s="767"/>
      <c r="J21" s="766"/>
      <c r="K21" s="766"/>
      <c r="L21" s="766"/>
      <c r="M21" s="766"/>
      <c r="N21" s="766"/>
      <c r="O21" s="766"/>
      <c r="P21" s="767" t="s">
        <v>724</v>
      </c>
      <c r="Q21" s="767"/>
      <c r="R21" s="767"/>
      <c r="S21" s="767"/>
      <c r="T21" s="767"/>
      <c r="U21" s="767"/>
      <c r="V21" s="767" t="s">
        <v>298</v>
      </c>
      <c r="W21" s="767"/>
      <c r="X21" s="767"/>
      <c r="Y21" s="767"/>
      <c r="Z21" s="767"/>
      <c r="AA21" s="767"/>
      <c r="AB21" s="767"/>
      <c r="AC21" s="767"/>
      <c r="AD21" s="767" t="s">
        <v>298</v>
      </c>
      <c r="AE21" s="767"/>
      <c r="AF21" s="767"/>
      <c r="AG21" s="767"/>
      <c r="AH21" s="767"/>
      <c r="AI21" s="767"/>
      <c r="AJ21" s="767"/>
      <c r="AK21" s="767"/>
      <c r="AL21" s="767"/>
      <c r="AM21" s="767"/>
      <c r="AN21" s="767"/>
      <c r="AO21" s="767"/>
      <c r="AP21" s="766"/>
      <c r="AQ21" s="766"/>
      <c r="AR21" s="766"/>
      <c r="AS21" s="766"/>
      <c r="AT21" s="767" t="s">
        <v>75</v>
      </c>
      <c r="AU21" s="767"/>
      <c r="AV21" s="767"/>
      <c r="AW21" s="767"/>
      <c r="AX21" s="767"/>
    </row>
  </sheetData>
  <sheetProtection/>
  <mergeCells count="56">
    <mergeCell ref="D21:I21"/>
    <mergeCell ref="P21:U21"/>
    <mergeCell ref="V21:AC21"/>
    <mergeCell ref="AD21:AO21"/>
    <mergeCell ref="AT21:AX21"/>
    <mergeCell ref="AT19:AX19"/>
    <mergeCell ref="D20:I20"/>
    <mergeCell ref="P20:U20"/>
    <mergeCell ref="V20:AC20"/>
    <mergeCell ref="AD20:AO20"/>
    <mergeCell ref="AT20:AX20"/>
    <mergeCell ref="AH11:AS11"/>
    <mergeCell ref="AT11:AU11"/>
    <mergeCell ref="A18:AX18"/>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20"/>
  <drawing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X23"/>
  <sheetViews>
    <sheetView zoomScalePageLayoutView="0" workbookViewId="0" topLeftCell="AA11">
      <selection activeCell="AO14" sqref="AO14"/>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6.00390625" style="113" customWidth="1"/>
    <col min="49" max="49" width="24.421875" style="113" customWidth="1"/>
    <col min="50" max="50" width="32.851562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148.5" customHeight="1">
      <c r="A13" s="227" t="s">
        <v>256</v>
      </c>
      <c r="B13" s="125"/>
      <c r="C13" s="125"/>
      <c r="D13" s="125"/>
      <c r="E13" s="125"/>
      <c r="F13" s="125"/>
      <c r="G13" s="227" t="s">
        <v>477</v>
      </c>
      <c r="H13" s="125" t="s">
        <v>411</v>
      </c>
      <c r="I13" s="149" t="s">
        <v>478</v>
      </c>
      <c r="J13" s="149" t="s">
        <v>573</v>
      </c>
      <c r="K13" s="230" t="s">
        <v>468</v>
      </c>
      <c r="L13" s="240" t="s">
        <v>411</v>
      </c>
      <c r="M13" s="149" t="s">
        <v>489</v>
      </c>
      <c r="N13" s="149" t="s">
        <v>574</v>
      </c>
      <c r="O13" s="230"/>
      <c r="P13" s="230"/>
      <c r="Q13" s="261">
        <v>6</v>
      </c>
      <c r="R13" s="230"/>
      <c r="S13" s="230"/>
      <c r="T13" s="125" t="s">
        <v>433</v>
      </c>
      <c r="U13" s="227" t="s">
        <v>479</v>
      </c>
      <c r="V13" s="261">
        <v>2</v>
      </c>
      <c r="W13" s="261"/>
      <c r="X13" s="261"/>
      <c r="Y13" s="261">
        <v>1</v>
      </c>
      <c r="Z13" s="261"/>
      <c r="AA13" s="261"/>
      <c r="AB13" s="261">
        <v>2</v>
      </c>
      <c r="AC13" s="261"/>
      <c r="AD13" s="261"/>
      <c r="AE13" s="261">
        <v>1</v>
      </c>
      <c r="AF13" s="231"/>
      <c r="AG13" s="231"/>
      <c r="AH13" s="230">
        <v>1</v>
      </c>
      <c r="AI13" s="230"/>
      <c r="AJ13" s="230">
        <v>1</v>
      </c>
      <c r="AK13" s="230">
        <v>1</v>
      </c>
      <c r="AL13" s="230"/>
      <c r="AM13" s="124"/>
      <c r="AN13" s="230"/>
      <c r="AO13" s="414"/>
      <c r="AP13" s="230"/>
      <c r="AQ13" s="230"/>
      <c r="AR13" s="230"/>
      <c r="AS13" s="230"/>
      <c r="AT13" s="230">
        <f>SUM(AH13:AS13)</f>
        <v>3</v>
      </c>
      <c r="AU13" s="246">
        <f aca="true" t="shared" si="0" ref="AU13:AU19">+AT13/Q13</f>
        <v>0.5</v>
      </c>
      <c r="AV13" s="412" t="s">
        <v>824</v>
      </c>
      <c r="AW13" s="250"/>
      <c r="AX13" s="250"/>
    </row>
    <row r="14" spans="1:50" s="234" customFormat="1" ht="72" customHeight="1">
      <c r="A14" s="227" t="s">
        <v>256</v>
      </c>
      <c r="B14" s="125"/>
      <c r="C14" s="125"/>
      <c r="D14" s="125"/>
      <c r="E14" s="125"/>
      <c r="F14" s="125"/>
      <c r="G14" s="227" t="s">
        <v>477</v>
      </c>
      <c r="H14" s="125" t="s">
        <v>411</v>
      </c>
      <c r="I14" s="149" t="s">
        <v>480</v>
      </c>
      <c r="J14" s="149" t="s">
        <v>575</v>
      </c>
      <c r="K14" s="230" t="s">
        <v>452</v>
      </c>
      <c r="L14" s="125" t="s">
        <v>411</v>
      </c>
      <c r="M14" s="149" t="s">
        <v>432</v>
      </c>
      <c r="N14" s="149" t="s">
        <v>576</v>
      </c>
      <c r="O14" s="230"/>
      <c r="P14" s="230"/>
      <c r="Q14" s="246">
        <v>1</v>
      </c>
      <c r="R14" s="230"/>
      <c r="S14" s="230"/>
      <c r="T14" s="125" t="s">
        <v>433</v>
      </c>
      <c r="U14" s="227" t="s">
        <v>481</v>
      </c>
      <c r="V14" s="230"/>
      <c r="W14" s="230"/>
      <c r="X14" s="231">
        <v>0.2</v>
      </c>
      <c r="Y14" s="231"/>
      <c r="Z14" s="230"/>
      <c r="AA14" s="231">
        <v>0.35</v>
      </c>
      <c r="AB14" s="231"/>
      <c r="AC14" s="230"/>
      <c r="AD14" s="231">
        <v>0.35</v>
      </c>
      <c r="AE14" s="230"/>
      <c r="AF14" s="230"/>
      <c r="AG14" s="231">
        <v>0.1</v>
      </c>
      <c r="AH14" s="230"/>
      <c r="AI14" s="230"/>
      <c r="AJ14" s="231">
        <v>0.2</v>
      </c>
      <c r="AK14" s="230"/>
      <c r="AL14" s="230"/>
      <c r="AM14" s="374">
        <v>0.35</v>
      </c>
      <c r="AN14" s="230"/>
      <c r="AO14" s="415">
        <v>0.15</v>
      </c>
      <c r="AP14" s="230"/>
      <c r="AQ14" s="230"/>
      <c r="AR14" s="230"/>
      <c r="AS14" s="230"/>
      <c r="AT14" s="246">
        <f>SUM(AH14:AS14)</f>
        <v>0.7000000000000001</v>
      </c>
      <c r="AU14" s="246">
        <f t="shared" si="0"/>
        <v>0.7000000000000001</v>
      </c>
      <c r="AV14" s="402" t="s">
        <v>825</v>
      </c>
      <c r="AW14" s="250"/>
      <c r="AX14" s="250"/>
    </row>
    <row r="15" spans="1:50" s="234" customFormat="1" ht="72" customHeight="1">
      <c r="A15" s="227" t="s">
        <v>256</v>
      </c>
      <c r="B15" s="125"/>
      <c r="C15" s="125"/>
      <c r="D15" s="125"/>
      <c r="E15" s="125"/>
      <c r="F15" s="125"/>
      <c r="G15" s="227" t="s">
        <v>477</v>
      </c>
      <c r="H15" s="125" t="s">
        <v>411</v>
      </c>
      <c r="I15" s="149" t="s">
        <v>482</v>
      </c>
      <c r="J15" s="149" t="s">
        <v>577</v>
      </c>
      <c r="K15" s="230" t="s">
        <v>468</v>
      </c>
      <c r="L15" s="125" t="s">
        <v>411</v>
      </c>
      <c r="M15" s="149" t="s">
        <v>578</v>
      </c>
      <c r="N15" s="149" t="s">
        <v>579</v>
      </c>
      <c r="O15" s="230"/>
      <c r="P15" s="230"/>
      <c r="Q15" s="230">
        <v>2</v>
      </c>
      <c r="R15" s="230"/>
      <c r="S15" s="230"/>
      <c r="T15" s="125" t="s">
        <v>483</v>
      </c>
      <c r="U15" s="227" t="s">
        <v>484</v>
      </c>
      <c r="V15" s="230"/>
      <c r="W15" s="230"/>
      <c r="X15" s="230"/>
      <c r="Y15" s="230"/>
      <c r="Z15" s="230"/>
      <c r="AA15" s="261">
        <v>1</v>
      </c>
      <c r="AB15" s="261"/>
      <c r="AC15" s="261"/>
      <c r="AD15" s="261"/>
      <c r="AE15" s="261"/>
      <c r="AF15" s="261"/>
      <c r="AG15" s="261">
        <v>1</v>
      </c>
      <c r="AH15" s="230"/>
      <c r="AI15" s="230"/>
      <c r="AJ15" s="230"/>
      <c r="AK15" s="230"/>
      <c r="AL15" s="230"/>
      <c r="AM15" s="124">
        <v>1</v>
      </c>
      <c r="AN15" s="230"/>
      <c r="AO15" s="404"/>
      <c r="AP15" s="230"/>
      <c r="AQ15" s="230"/>
      <c r="AR15" s="230"/>
      <c r="AS15" s="230"/>
      <c r="AT15" s="261">
        <f>SUM(AH15:AS15)</f>
        <v>1</v>
      </c>
      <c r="AU15" s="246">
        <f t="shared" si="0"/>
        <v>0.5</v>
      </c>
      <c r="AV15" s="402" t="s">
        <v>826</v>
      </c>
      <c r="AW15" s="250"/>
      <c r="AX15" s="250"/>
    </row>
    <row r="16" spans="1:50" s="234" customFormat="1" ht="267.75" customHeight="1">
      <c r="A16" s="227" t="s">
        <v>256</v>
      </c>
      <c r="B16" s="125"/>
      <c r="C16" s="125"/>
      <c r="D16" s="125"/>
      <c r="E16" s="125"/>
      <c r="F16" s="125"/>
      <c r="G16" s="227" t="s">
        <v>485</v>
      </c>
      <c r="H16" s="125" t="s">
        <v>411</v>
      </c>
      <c r="I16" s="149" t="s">
        <v>486</v>
      </c>
      <c r="J16" s="149" t="s">
        <v>580</v>
      </c>
      <c r="K16" s="230" t="s">
        <v>468</v>
      </c>
      <c r="L16" s="125" t="s">
        <v>411</v>
      </c>
      <c r="M16" s="227" t="s">
        <v>432</v>
      </c>
      <c r="N16" s="149" t="s">
        <v>581</v>
      </c>
      <c r="O16" s="230"/>
      <c r="P16" s="230"/>
      <c r="Q16" s="246">
        <v>1</v>
      </c>
      <c r="R16" s="230"/>
      <c r="S16" s="230"/>
      <c r="T16" s="125" t="s">
        <v>409</v>
      </c>
      <c r="U16" s="227" t="s">
        <v>487</v>
      </c>
      <c r="V16" s="262">
        <v>0.08333333333333334</v>
      </c>
      <c r="W16" s="262">
        <v>0.08333333333333334</v>
      </c>
      <c r="X16" s="262">
        <v>0.08333333333333334</v>
      </c>
      <c r="Y16" s="262">
        <v>0.08333333333333334</v>
      </c>
      <c r="Z16" s="262">
        <v>0.08333333333333334</v>
      </c>
      <c r="AA16" s="262">
        <v>0.08333333333333334</v>
      </c>
      <c r="AB16" s="262">
        <v>0.08333333333333334</v>
      </c>
      <c r="AC16" s="262">
        <v>0.08333333333333334</v>
      </c>
      <c r="AD16" s="262">
        <v>0.08333333333333334</v>
      </c>
      <c r="AE16" s="262">
        <v>0.08333333333333334</v>
      </c>
      <c r="AF16" s="262">
        <v>0.08333333333333334</v>
      </c>
      <c r="AG16" s="262">
        <v>0.08333333333333334</v>
      </c>
      <c r="AH16" s="303">
        <v>0.0749</v>
      </c>
      <c r="AI16" s="262">
        <v>0.0918</v>
      </c>
      <c r="AJ16" s="262">
        <v>0.0833</v>
      </c>
      <c r="AK16" s="262">
        <v>0.0833</v>
      </c>
      <c r="AL16" s="262">
        <v>0.0833</v>
      </c>
      <c r="AM16" s="375">
        <v>0.0833</v>
      </c>
      <c r="AN16" s="230"/>
      <c r="AO16" s="416">
        <v>0.0833</v>
      </c>
      <c r="AP16" s="230"/>
      <c r="AQ16" s="230"/>
      <c r="AR16" s="230"/>
      <c r="AS16" s="230"/>
      <c r="AT16" s="246">
        <f>SUM(AH16:AS16)</f>
        <v>0.5831999999999999</v>
      </c>
      <c r="AU16" s="246">
        <f t="shared" si="0"/>
        <v>0.5831999999999999</v>
      </c>
      <c r="AV16" s="413" t="s">
        <v>827</v>
      </c>
      <c r="AW16" s="250"/>
      <c r="AX16" s="250"/>
    </row>
    <row r="17" spans="1:50" s="234" customFormat="1" ht="132.75" customHeight="1">
      <c r="A17" s="227" t="s">
        <v>256</v>
      </c>
      <c r="B17" s="125"/>
      <c r="C17" s="125"/>
      <c r="D17" s="125"/>
      <c r="E17" s="125"/>
      <c r="F17" s="125"/>
      <c r="G17" s="227" t="s">
        <v>485</v>
      </c>
      <c r="H17" s="125" t="s">
        <v>411</v>
      </c>
      <c r="I17" s="149" t="s">
        <v>488</v>
      </c>
      <c r="J17" s="149" t="s">
        <v>582</v>
      </c>
      <c r="K17" s="230" t="s">
        <v>468</v>
      </c>
      <c r="L17" s="230" t="s">
        <v>411</v>
      </c>
      <c r="M17" s="230" t="s">
        <v>432</v>
      </c>
      <c r="N17" s="147" t="s">
        <v>583</v>
      </c>
      <c r="O17" s="230"/>
      <c r="P17" s="230"/>
      <c r="Q17" s="246">
        <v>1</v>
      </c>
      <c r="R17" s="230"/>
      <c r="S17" s="230"/>
      <c r="T17" s="227" t="s">
        <v>490</v>
      </c>
      <c r="U17" s="147" t="s">
        <v>491</v>
      </c>
      <c r="V17" s="231">
        <v>0.25</v>
      </c>
      <c r="W17" s="230"/>
      <c r="X17" s="230"/>
      <c r="Y17" s="231">
        <v>0.25</v>
      </c>
      <c r="Z17" s="230"/>
      <c r="AA17" s="230"/>
      <c r="AB17" s="231">
        <v>0.25</v>
      </c>
      <c r="AC17" s="231">
        <v>0.25</v>
      </c>
      <c r="AD17" s="230"/>
      <c r="AE17" s="230"/>
      <c r="AF17" s="230"/>
      <c r="AG17" s="230"/>
      <c r="AH17" s="246">
        <v>0.25</v>
      </c>
      <c r="AI17" s="230"/>
      <c r="AJ17" s="230"/>
      <c r="AK17" s="246">
        <v>0.25</v>
      </c>
      <c r="AL17" s="230"/>
      <c r="AM17" s="124"/>
      <c r="AN17" s="230"/>
      <c r="AO17" s="403"/>
      <c r="AP17" s="230"/>
      <c r="AQ17" s="230"/>
      <c r="AR17" s="230"/>
      <c r="AS17" s="230"/>
      <c r="AT17" s="246">
        <f>SUM(AH17:AS17)</f>
        <v>0.5</v>
      </c>
      <c r="AU17" s="246">
        <f t="shared" si="0"/>
        <v>0.5</v>
      </c>
      <c r="AV17" s="403" t="s">
        <v>828</v>
      </c>
      <c r="AW17" s="250"/>
      <c r="AX17" s="250"/>
    </row>
    <row r="18" spans="1:50" s="234" customFormat="1" ht="76.5" customHeight="1">
      <c r="A18" s="227" t="s">
        <v>256</v>
      </c>
      <c r="B18" s="125"/>
      <c r="C18" s="125"/>
      <c r="D18" s="125"/>
      <c r="E18" s="125"/>
      <c r="F18" s="125"/>
      <c r="G18" s="227" t="s">
        <v>485</v>
      </c>
      <c r="H18" s="125" t="s">
        <v>411</v>
      </c>
      <c r="I18" s="149" t="s">
        <v>492</v>
      </c>
      <c r="J18" s="149" t="s">
        <v>584</v>
      </c>
      <c r="K18" s="230" t="s">
        <v>452</v>
      </c>
      <c r="L18" s="230" t="s">
        <v>411</v>
      </c>
      <c r="M18" s="230" t="s">
        <v>493</v>
      </c>
      <c r="N18" s="149" t="s">
        <v>585</v>
      </c>
      <c r="O18" s="230"/>
      <c r="P18" s="230"/>
      <c r="Q18" s="246">
        <v>1</v>
      </c>
      <c r="R18" s="230"/>
      <c r="S18" s="230"/>
      <c r="T18" s="125" t="s">
        <v>409</v>
      </c>
      <c r="U18" s="227" t="s">
        <v>494</v>
      </c>
      <c r="V18" s="246">
        <v>1</v>
      </c>
      <c r="W18" s="246">
        <v>1</v>
      </c>
      <c r="X18" s="246">
        <v>1</v>
      </c>
      <c r="Y18" s="246">
        <v>1</v>
      </c>
      <c r="Z18" s="246">
        <v>1</v>
      </c>
      <c r="AA18" s="246">
        <v>1</v>
      </c>
      <c r="AB18" s="246">
        <v>1</v>
      </c>
      <c r="AC18" s="246">
        <v>1</v>
      </c>
      <c r="AD18" s="246">
        <v>1</v>
      </c>
      <c r="AE18" s="246">
        <v>1</v>
      </c>
      <c r="AF18" s="246">
        <v>1</v>
      </c>
      <c r="AG18" s="246">
        <v>1</v>
      </c>
      <c r="AH18" s="246">
        <v>1</v>
      </c>
      <c r="AI18" s="246">
        <v>1</v>
      </c>
      <c r="AJ18" s="246">
        <v>1</v>
      </c>
      <c r="AK18" s="246">
        <v>1</v>
      </c>
      <c r="AL18" s="246">
        <v>1</v>
      </c>
      <c r="AM18" s="374">
        <v>1</v>
      </c>
      <c r="AN18" s="230"/>
      <c r="AO18" s="417">
        <v>1</v>
      </c>
      <c r="AP18" s="230"/>
      <c r="AQ18" s="230"/>
      <c r="AR18" s="230"/>
      <c r="AS18" s="230"/>
      <c r="AT18" s="246">
        <f>+AM18</f>
        <v>1</v>
      </c>
      <c r="AU18" s="246">
        <f t="shared" si="0"/>
        <v>1</v>
      </c>
      <c r="AV18" s="402" t="s">
        <v>829</v>
      </c>
      <c r="AW18" s="250"/>
      <c r="AX18" s="250"/>
    </row>
    <row r="19" spans="1:50" s="234" customFormat="1" ht="89.25" customHeight="1">
      <c r="A19" s="227" t="s">
        <v>256</v>
      </c>
      <c r="B19" s="125"/>
      <c r="C19" s="125"/>
      <c r="D19" s="125"/>
      <c r="E19" s="125"/>
      <c r="F19" s="125"/>
      <c r="G19" s="227" t="s">
        <v>485</v>
      </c>
      <c r="H19" s="125" t="s">
        <v>411</v>
      </c>
      <c r="I19" s="149" t="s">
        <v>495</v>
      </c>
      <c r="J19" s="149" t="s">
        <v>586</v>
      </c>
      <c r="K19" s="230" t="s">
        <v>468</v>
      </c>
      <c r="L19" s="230" t="s">
        <v>411</v>
      </c>
      <c r="M19" s="149" t="s">
        <v>496</v>
      </c>
      <c r="N19" s="149" t="s">
        <v>587</v>
      </c>
      <c r="O19" s="230"/>
      <c r="P19" s="230"/>
      <c r="Q19" s="246">
        <v>1</v>
      </c>
      <c r="R19" s="230"/>
      <c r="S19" s="230"/>
      <c r="T19" s="125" t="s">
        <v>409</v>
      </c>
      <c r="U19" s="227" t="s">
        <v>497</v>
      </c>
      <c r="V19" s="262">
        <v>0.08333333333333334</v>
      </c>
      <c r="W19" s="262">
        <v>0.08333333333333334</v>
      </c>
      <c r="X19" s="262">
        <v>0.08333333333333334</v>
      </c>
      <c r="Y19" s="262">
        <v>0.08333333333333334</v>
      </c>
      <c r="Z19" s="262">
        <v>0.08333333333333334</v>
      </c>
      <c r="AA19" s="262">
        <v>0.08333333333333334</v>
      </c>
      <c r="AB19" s="262">
        <v>0.08333333333333334</v>
      </c>
      <c r="AC19" s="262">
        <v>0.08333333333333334</v>
      </c>
      <c r="AD19" s="262">
        <v>0.08333333333333334</v>
      </c>
      <c r="AE19" s="262">
        <v>0.08333333333333334</v>
      </c>
      <c r="AF19" s="262">
        <v>0.08333333333333334</v>
      </c>
      <c r="AG19" s="262">
        <v>0.08333333333333334</v>
      </c>
      <c r="AH19" s="303">
        <v>0.0833</v>
      </c>
      <c r="AI19" s="303">
        <v>0.0833</v>
      </c>
      <c r="AJ19" s="303">
        <v>0.0833</v>
      </c>
      <c r="AK19" s="303">
        <v>0.0833</v>
      </c>
      <c r="AL19" s="303">
        <v>0.0833</v>
      </c>
      <c r="AM19" s="375">
        <v>0.0833</v>
      </c>
      <c r="AN19" s="230"/>
      <c r="AO19" s="418">
        <v>0.0833</v>
      </c>
      <c r="AP19" s="230"/>
      <c r="AQ19" s="230"/>
      <c r="AR19" s="230"/>
      <c r="AS19" s="230"/>
      <c r="AT19" s="246">
        <f>SUM(AH19:AS19)</f>
        <v>0.5831</v>
      </c>
      <c r="AU19" s="246">
        <f t="shared" si="0"/>
        <v>0.5831</v>
      </c>
      <c r="AV19" s="412" t="s">
        <v>830</v>
      </c>
      <c r="AW19" s="250"/>
      <c r="AX19" s="250"/>
    </row>
    <row r="20" spans="1:50" ht="13.5">
      <c r="A20" s="768" t="s">
        <v>295</v>
      </c>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c r="AO20" s="769"/>
      <c r="AP20" s="769"/>
      <c r="AQ20" s="769"/>
      <c r="AR20" s="769"/>
      <c r="AS20" s="769"/>
      <c r="AT20" s="769"/>
      <c r="AU20" s="769"/>
      <c r="AV20" s="769"/>
      <c r="AW20" s="769"/>
      <c r="AX20" s="770"/>
    </row>
    <row r="21" spans="1:50" ht="45" customHeight="1">
      <c r="A21" s="771" t="s">
        <v>64</v>
      </c>
      <c r="B21" s="771"/>
      <c r="C21" s="771"/>
      <c r="D21" s="767" t="s">
        <v>66</v>
      </c>
      <c r="E21" s="767"/>
      <c r="F21" s="767"/>
      <c r="G21" s="767"/>
      <c r="H21" s="767"/>
      <c r="I21" s="767"/>
      <c r="J21" s="766" t="s">
        <v>302</v>
      </c>
      <c r="K21" s="766"/>
      <c r="L21" s="766"/>
      <c r="M21" s="766"/>
      <c r="N21" s="766"/>
      <c r="O21" s="766"/>
      <c r="P21" s="767" t="s">
        <v>66</v>
      </c>
      <c r="Q21" s="767"/>
      <c r="R21" s="767"/>
      <c r="S21" s="767"/>
      <c r="T21" s="767"/>
      <c r="U21" s="767"/>
      <c r="V21" s="767" t="s">
        <v>66</v>
      </c>
      <c r="W21" s="767"/>
      <c r="X21" s="767"/>
      <c r="Y21" s="767"/>
      <c r="Z21" s="767"/>
      <c r="AA21" s="767"/>
      <c r="AB21" s="767"/>
      <c r="AC21" s="767"/>
      <c r="AD21" s="767" t="s">
        <v>66</v>
      </c>
      <c r="AE21" s="767"/>
      <c r="AF21" s="767"/>
      <c r="AG21" s="767"/>
      <c r="AH21" s="767"/>
      <c r="AI21" s="767"/>
      <c r="AJ21" s="767"/>
      <c r="AK21" s="767"/>
      <c r="AL21" s="767"/>
      <c r="AM21" s="767"/>
      <c r="AN21" s="767"/>
      <c r="AO21" s="767"/>
      <c r="AP21" s="766" t="s">
        <v>320</v>
      </c>
      <c r="AQ21" s="766"/>
      <c r="AR21" s="766"/>
      <c r="AS21" s="766"/>
      <c r="AT21" s="767" t="s">
        <v>13</v>
      </c>
      <c r="AU21" s="767"/>
      <c r="AV21" s="767"/>
      <c r="AW21" s="767"/>
      <c r="AX21" s="767"/>
    </row>
    <row r="22" spans="1:50" ht="22.5" customHeight="1">
      <c r="A22" s="771"/>
      <c r="B22" s="771"/>
      <c r="C22" s="771"/>
      <c r="D22" s="767" t="s">
        <v>721</v>
      </c>
      <c r="E22" s="767"/>
      <c r="F22" s="767"/>
      <c r="G22" s="767"/>
      <c r="H22" s="767"/>
      <c r="I22" s="767"/>
      <c r="J22" s="766"/>
      <c r="K22" s="766"/>
      <c r="L22" s="766"/>
      <c r="M22" s="766"/>
      <c r="N22" s="766"/>
      <c r="O22" s="766"/>
      <c r="P22" s="767" t="s">
        <v>723</v>
      </c>
      <c r="Q22" s="767"/>
      <c r="R22" s="767"/>
      <c r="S22" s="767"/>
      <c r="T22" s="767"/>
      <c r="U22" s="767"/>
      <c r="V22" s="767" t="s">
        <v>588</v>
      </c>
      <c r="W22" s="767"/>
      <c r="X22" s="767"/>
      <c r="Y22" s="767"/>
      <c r="Z22" s="767"/>
      <c r="AA22" s="767"/>
      <c r="AB22" s="767"/>
      <c r="AC22" s="767"/>
      <c r="AD22" s="767" t="s">
        <v>65</v>
      </c>
      <c r="AE22" s="767"/>
      <c r="AF22" s="767"/>
      <c r="AG22" s="767"/>
      <c r="AH22" s="767"/>
      <c r="AI22" s="767"/>
      <c r="AJ22" s="767"/>
      <c r="AK22" s="767"/>
      <c r="AL22" s="767"/>
      <c r="AM22" s="767"/>
      <c r="AN22" s="767"/>
      <c r="AO22" s="767"/>
      <c r="AP22" s="766"/>
      <c r="AQ22" s="766"/>
      <c r="AR22" s="766"/>
      <c r="AS22" s="766"/>
      <c r="AT22" s="767" t="s">
        <v>634</v>
      </c>
      <c r="AU22" s="767"/>
      <c r="AV22" s="767"/>
      <c r="AW22" s="767"/>
      <c r="AX22" s="767"/>
    </row>
    <row r="23" spans="1:50" ht="22.5" customHeight="1">
      <c r="A23" s="771"/>
      <c r="B23" s="771"/>
      <c r="C23" s="771"/>
      <c r="D23" s="767" t="s">
        <v>722</v>
      </c>
      <c r="E23" s="767"/>
      <c r="F23" s="767"/>
      <c r="G23" s="767"/>
      <c r="H23" s="767"/>
      <c r="I23" s="767"/>
      <c r="J23" s="766"/>
      <c r="K23" s="766"/>
      <c r="L23" s="766"/>
      <c r="M23" s="766"/>
      <c r="N23" s="766"/>
      <c r="O23" s="766"/>
      <c r="P23" s="767" t="s">
        <v>724</v>
      </c>
      <c r="Q23" s="767"/>
      <c r="R23" s="767"/>
      <c r="S23" s="767"/>
      <c r="T23" s="767"/>
      <c r="U23" s="767"/>
      <c r="V23" s="767" t="s">
        <v>298</v>
      </c>
      <c r="W23" s="767"/>
      <c r="X23" s="767"/>
      <c r="Y23" s="767"/>
      <c r="Z23" s="767"/>
      <c r="AA23" s="767"/>
      <c r="AB23" s="767"/>
      <c r="AC23" s="767"/>
      <c r="AD23" s="767" t="s">
        <v>298</v>
      </c>
      <c r="AE23" s="767"/>
      <c r="AF23" s="767"/>
      <c r="AG23" s="767"/>
      <c r="AH23" s="767"/>
      <c r="AI23" s="767"/>
      <c r="AJ23" s="767"/>
      <c r="AK23" s="767"/>
      <c r="AL23" s="767"/>
      <c r="AM23" s="767"/>
      <c r="AN23" s="767"/>
      <c r="AO23" s="767"/>
      <c r="AP23" s="766"/>
      <c r="AQ23" s="766"/>
      <c r="AR23" s="766"/>
      <c r="AS23" s="766"/>
      <c r="AT23" s="767" t="s">
        <v>75</v>
      </c>
      <c r="AU23" s="767"/>
      <c r="AV23" s="767"/>
      <c r="AW23" s="767"/>
      <c r="AX23" s="767"/>
    </row>
  </sheetData>
  <sheetProtection/>
  <mergeCells count="56">
    <mergeCell ref="D23:I23"/>
    <mergeCell ref="P23:U23"/>
    <mergeCell ref="V23:AC23"/>
    <mergeCell ref="AD23:AO23"/>
    <mergeCell ref="AT23:AX23"/>
    <mergeCell ref="AT21:AX21"/>
    <mergeCell ref="D22:I22"/>
    <mergeCell ref="P22:U22"/>
    <mergeCell ref="V22:AC22"/>
    <mergeCell ref="AD22:AO22"/>
    <mergeCell ref="AT22:AX22"/>
    <mergeCell ref="AH11:AS11"/>
    <mergeCell ref="AT11:AU11"/>
    <mergeCell ref="A20:AX20"/>
    <mergeCell ref="A21:C23"/>
    <mergeCell ref="D21:I21"/>
    <mergeCell ref="J21:O23"/>
    <mergeCell ref="P21:U21"/>
    <mergeCell ref="V21:AC21"/>
    <mergeCell ref="AD21:AO21"/>
    <mergeCell ref="AP21:AS23"/>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X20"/>
  <sheetViews>
    <sheetView zoomScalePageLayoutView="0" workbookViewId="0" topLeftCell="Y13">
      <selection activeCell="AO13" sqref="AO13:AO16"/>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00390625" style="113" customWidth="1"/>
    <col min="49" max="50" width="2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310" t="s">
        <v>39</v>
      </c>
      <c r="W12" s="310" t="s">
        <v>40</v>
      </c>
      <c r="X12" s="310" t="s">
        <v>41</v>
      </c>
      <c r="Y12" s="310" t="s">
        <v>42</v>
      </c>
      <c r="Z12" s="310" t="s">
        <v>43</v>
      </c>
      <c r="AA12" s="310" t="s">
        <v>44</v>
      </c>
      <c r="AB12" s="310" t="s">
        <v>45</v>
      </c>
      <c r="AC12" s="310" t="s">
        <v>46</v>
      </c>
      <c r="AD12" s="310" t="s">
        <v>47</v>
      </c>
      <c r="AE12" s="310" t="s">
        <v>48</v>
      </c>
      <c r="AF12" s="310" t="s">
        <v>49</v>
      </c>
      <c r="AG12" s="310" t="s">
        <v>50</v>
      </c>
      <c r="AH12" s="310" t="s">
        <v>39</v>
      </c>
      <c r="AI12" s="310" t="s">
        <v>40</v>
      </c>
      <c r="AJ12" s="310" t="s">
        <v>41</v>
      </c>
      <c r="AK12" s="310" t="s">
        <v>42</v>
      </c>
      <c r="AL12" s="310" t="s">
        <v>43</v>
      </c>
      <c r="AM12" s="310" t="s">
        <v>44</v>
      </c>
      <c r="AN12" s="310" t="s">
        <v>45</v>
      </c>
      <c r="AO12" s="310" t="s">
        <v>46</v>
      </c>
      <c r="AP12" s="310" t="s">
        <v>47</v>
      </c>
      <c r="AQ12" s="310" t="s">
        <v>48</v>
      </c>
      <c r="AR12" s="310" t="s">
        <v>49</v>
      </c>
      <c r="AS12" s="310" t="s">
        <v>50</v>
      </c>
      <c r="AT12" s="120" t="s">
        <v>88</v>
      </c>
      <c r="AU12" s="120" t="s">
        <v>89</v>
      </c>
      <c r="AV12" s="747"/>
      <c r="AW12" s="747"/>
      <c r="AX12" s="747"/>
    </row>
    <row r="13" spans="1:50" ht="145.5" customHeight="1">
      <c r="A13" s="263"/>
      <c r="B13" s="121"/>
      <c r="C13" s="122"/>
      <c r="D13" s="121"/>
      <c r="E13" s="121"/>
      <c r="F13" s="121" t="s">
        <v>589</v>
      </c>
      <c r="G13" s="264" t="s">
        <v>590</v>
      </c>
      <c r="H13" s="121"/>
      <c r="I13" s="265" t="s">
        <v>591</v>
      </c>
      <c r="J13" s="122" t="s">
        <v>592</v>
      </c>
      <c r="K13" s="122" t="s">
        <v>468</v>
      </c>
      <c r="L13" s="121">
        <v>4</v>
      </c>
      <c r="M13" s="266" t="s">
        <v>593</v>
      </c>
      <c r="N13" s="122" t="s">
        <v>594</v>
      </c>
      <c r="O13" s="267"/>
      <c r="P13" s="267"/>
      <c r="Q13" s="228">
        <v>2</v>
      </c>
      <c r="R13" s="228"/>
      <c r="S13" s="228"/>
      <c r="T13" s="123" t="s">
        <v>483</v>
      </c>
      <c r="U13" s="122" t="s">
        <v>594</v>
      </c>
      <c r="V13" s="236"/>
      <c r="W13" s="236"/>
      <c r="X13" s="236"/>
      <c r="Y13" s="89"/>
      <c r="Z13" s="89"/>
      <c r="AA13" s="316">
        <v>1</v>
      </c>
      <c r="AB13" s="316"/>
      <c r="AC13" s="316"/>
      <c r="AD13" s="316"/>
      <c r="AE13" s="317"/>
      <c r="AF13" s="317"/>
      <c r="AG13" s="316">
        <v>1</v>
      </c>
      <c r="AH13" s="124"/>
      <c r="AI13" s="124"/>
      <c r="AJ13" s="124"/>
      <c r="AK13" s="124"/>
      <c r="AL13" s="121">
        <v>2</v>
      </c>
      <c r="AM13" s="124">
        <v>2</v>
      </c>
      <c r="AN13" s="124"/>
      <c r="AO13" s="124">
        <v>1</v>
      </c>
      <c r="AP13" s="124"/>
      <c r="AQ13" s="124"/>
      <c r="AR13" s="124"/>
      <c r="AS13" s="124"/>
      <c r="AT13" s="384">
        <f>SUM(AH13:AS13)</f>
        <v>5</v>
      </c>
      <c r="AU13" s="268">
        <f>+AT13/Q13</f>
        <v>2.5</v>
      </c>
      <c r="AV13" s="300" t="s">
        <v>865</v>
      </c>
      <c r="AW13" s="250"/>
      <c r="AX13" s="250"/>
    </row>
    <row r="14" spans="1:50" ht="114.75" customHeight="1">
      <c r="A14" s="269"/>
      <c r="B14" s="121"/>
      <c r="C14" s="121"/>
      <c r="D14" s="121"/>
      <c r="E14" s="121"/>
      <c r="F14" s="121" t="s">
        <v>595</v>
      </c>
      <c r="G14" s="264" t="s">
        <v>590</v>
      </c>
      <c r="H14" s="121"/>
      <c r="I14" s="270" t="s">
        <v>751</v>
      </c>
      <c r="J14" s="122" t="s">
        <v>596</v>
      </c>
      <c r="K14" s="122" t="s">
        <v>468</v>
      </c>
      <c r="L14" s="121">
        <v>90</v>
      </c>
      <c r="M14" s="266" t="s">
        <v>597</v>
      </c>
      <c r="N14" s="122" t="s">
        <v>738</v>
      </c>
      <c r="O14" s="267"/>
      <c r="P14" s="267"/>
      <c r="Q14" s="228">
        <v>50</v>
      </c>
      <c r="R14" s="228"/>
      <c r="S14" s="228"/>
      <c r="T14" s="123" t="s">
        <v>483</v>
      </c>
      <c r="U14" s="122" t="s">
        <v>752</v>
      </c>
      <c r="V14" s="236"/>
      <c r="W14" s="236"/>
      <c r="X14" s="236"/>
      <c r="Y14" s="236"/>
      <c r="Z14" s="236"/>
      <c r="AA14" s="316">
        <v>25</v>
      </c>
      <c r="AB14" s="316"/>
      <c r="AC14" s="316"/>
      <c r="AD14" s="316"/>
      <c r="AE14" s="316"/>
      <c r="AF14" s="316"/>
      <c r="AG14" s="316">
        <v>25</v>
      </c>
      <c r="AH14" s="124"/>
      <c r="AI14" s="124"/>
      <c r="AJ14" s="121"/>
      <c r="AK14" s="124"/>
      <c r="AL14" s="121"/>
      <c r="AM14" s="124">
        <v>42</v>
      </c>
      <c r="AN14" s="124">
        <v>10</v>
      </c>
      <c r="AO14" s="124">
        <v>4</v>
      </c>
      <c r="AP14" s="124"/>
      <c r="AQ14" s="124"/>
      <c r="AR14" s="124"/>
      <c r="AS14" s="124"/>
      <c r="AT14" s="384">
        <f>SUM(AH14:AS14)</f>
        <v>56</v>
      </c>
      <c r="AU14" s="268">
        <f>+AT14/Q14</f>
        <v>1.12</v>
      </c>
      <c r="AV14" s="301" t="s">
        <v>866</v>
      </c>
      <c r="AW14" s="250"/>
      <c r="AX14" s="250"/>
    </row>
    <row r="15" spans="1:50" ht="147" customHeight="1">
      <c r="A15" s="269"/>
      <c r="B15" s="121"/>
      <c r="C15" s="121"/>
      <c r="D15" s="121"/>
      <c r="E15" s="121"/>
      <c r="F15" s="121" t="s">
        <v>599</v>
      </c>
      <c r="G15" s="264" t="s">
        <v>590</v>
      </c>
      <c r="H15" s="121"/>
      <c r="I15" s="122" t="s">
        <v>753</v>
      </c>
      <c r="J15" s="122" t="s">
        <v>600</v>
      </c>
      <c r="K15" s="122" t="s">
        <v>468</v>
      </c>
      <c r="L15" s="121">
        <v>10</v>
      </c>
      <c r="M15" s="266" t="s">
        <v>593</v>
      </c>
      <c r="N15" s="122" t="s">
        <v>754</v>
      </c>
      <c r="O15" s="228"/>
      <c r="P15" s="228"/>
      <c r="Q15" s="271">
        <v>10</v>
      </c>
      <c r="R15" s="228"/>
      <c r="S15" s="228"/>
      <c r="T15" s="121" t="s">
        <v>755</v>
      </c>
      <c r="U15" s="122" t="s">
        <v>754</v>
      </c>
      <c r="V15" s="236"/>
      <c r="W15" s="272">
        <v>1</v>
      </c>
      <c r="X15" s="272"/>
      <c r="Y15" s="272">
        <v>2</v>
      </c>
      <c r="Z15" s="272"/>
      <c r="AA15" s="272">
        <v>2</v>
      </c>
      <c r="AB15" s="272"/>
      <c r="AC15" s="272">
        <v>2</v>
      </c>
      <c r="AD15" s="272"/>
      <c r="AE15" s="272">
        <v>2</v>
      </c>
      <c r="AF15" s="272"/>
      <c r="AG15" s="318">
        <v>1</v>
      </c>
      <c r="AH15" s="124"/>
      <c r="AI15" s="312"/>
      <c r="AJ15" s="121"/>
      <c r="AK15" s="124"/>
      <c r="AL15" s="121"/>
      <c r="AM15" s="124">
        <v>5</v>
      </c>
      <c r="AN15" s="124">
        <v>1</v>
      </c>
      <c r="AO15" s="124">
        <v>4</v>
      </c>
      <c r="AP15" s="124"/>
      <c r="AQ15" s="124"/>
      <c r="AR15" s="124"/>
      <c r="AS15" s="124"/>
      <c r="AT15" s="384">
        <f>SUM(AH15:AS15)</f>
        <v>10</v>
      </c>
      <c r="AU15" s="268">
        <f>+AT15/Q15</f>
        <v>1</v>
      </c>
      <c r="AV15" s="346" t="s">
        <v>867</v>
      </c>
      <c r="AW15" s="250"/>
      <c r="AX15" s="250"/>
    </row>
    <row r="16" spans="1:50" ht="114.75" customHeight="1">
      <c r="A16" s="269"/>
      <c r="B16" s="121"/>
      <c r="C16" s="121"/>
      <c r="D16" s="121"/>
      <c r="E16" s="121"/>
      <c r="F16" s="121" t="s">
        <v>601</v>
      </c>
      <c r="G16" s="264" t="s">
        <v>590</v>
      </c>
      <c r="H16" s="121"/>
      <c r="I16" s="122" t="s">
        <v>602</v>
      </c>
      <c r="J16" s="122" t="s">
        <v>756</v>
      </c>
      <c r="K16" s="122" t="s">
        <v>468</v>
      </c>
      <c r="L16" s="121">
        <v>2</v>
      </c>
      <c r="M16" s="266" t="s">
        <v>757</v>
      </c>
      <c r="N16" s="122" t="s">
        <v>603</v>
      </c>
      <c r="O16" s="228"/>
      <c r="P16" s="228"/>
      <c r="Q16" s="271">
        <v>1</v>
      </c>
      <c r="R16" s="228"/>
      <c r="S16" s="228"/>
      <c r="T16" s="121" t="s">
        <v>598</v>
      </c>
      <c r="U16" s="122" t="s">
        <v>603</v>
      </c>
      <c r="V16" s="236"/>
      <c r="W16" s="236"/>
      <c r="X16" s="236"/>
      <c r="Y16" s="236"/>
      <c r="Z16" s="236"/>
      <c r="AA16" s="236"/>
      <c r="AB16" s="236"/>
      <c r="AC16" s="236"/>
      <c r="AD16" s="236"/>
      <c r="AE16" s="272">
        <v>1</v>
      </c>
      <c r="AF16" s="236"/>
      <c r="AG16" s="236"/>
      <c r="AH16" s="124"/>
      <c r="AI16" s="124"/>
      <c r="AJ16" s="121"/>
      <c r="AK16" s="124"/>
      <c r="AL16" s="124"/>
      <c r="AM16" s="124"/>
      <c r="AN16" s="124"/>
      <c r="AO16" s="124"/>
      <c r="AP16" s="124"/>
      <c r="AQ16" s="124"/>
      <c r="AR16" s="124"/>
      <c r="AS16" s="124"/>
      <c r="AT16" s="384">
        <f>SUM(AH16:AS16)</f>
        <v>0</v>
      </c>
      <c r="AU16" s="268">
        <f>+AT16/Q16</f>
        <v>0</v>
      </c>
      <c r="AV16" s="301" t="s">
        <v>868</v>
      </c>
      <c r="AW16" s="250"/>
      <c r="AX16" s="250"/>
    </row>
    <row r="17" spans="1:50" ht="13.5">
      <c r="A17" s="768" t="s">
        <v>295</v>
      </c>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69"/>
      <c r="AL17" s="769"/>
      <c r="AM17" s="769"/>
      <c r="AN17" s="769"/>
      <c r="AO17" s="769"/>
      <c r="AP17" s="769"/>
      <c r="AQ17" s="769"/>
      <c r="AR17" s="769"/>
      <c r="AS17" s="769"/>
      <c r="AT17" s="769"/>
      <c r="AU17" s="769"/>
      <c r="AV17" s="769"/>
      <c r="AW17" s="769"/>
      <c r="AX17" s="770"/>
    </row>
    <row r="18" spans="1:50" ht="45" customHeight="1">
      <c r="A18" s="771" t="s">
        <v>64</v>
      </c>
      <c r="B18" s="771"/>
      <c r="C18" s="771"/>
      <c r="D18" s="767" t="s">
        <v>66</v>
      </c>
      <c r="E18" s="767"/>
      <c r="F18" s="767"/>
      <c r="G18" s="767"/>
      <c r="H18" s="767"/>
      <c r="I18" s="767"/>
      <c r="J18" s="766" t="s">
        <v>302</v>
      </c>
      <c r="K18" s="766"/>
      <c r="L18" s="766"/>
      <c r="M18" s="766"/>
      <c r="N18" s="766"/>
      <c r="O18" s="766"/>
      <c r="P18" s="767" t="s">
        <v>66</v>
      </c>
      <c r="Q18" s="767"/>
      <c r="R18" s="767"/>
      <c r="S18" s="767"/>
      <c r="T18" s="767"/>
      <c r="U18" s="767"/>
      <c r="V18" s="767" t="s">
        <v>66</v>
      </c>
      <c r="W18" s="767"/>
      <c r="X18" s="767"/>
      <c r="Y18" s="767"/>
      <c r="Z18" s="767"/>
      <c r="AA18" s="767"/>
      <c r="AB18" s="767"/>
      <c r="AC18" s="767"/>
      <c r="AD18" s="767" t="s">
        <v>66</v>
      </c>
      <c r="AE18" s="767"/>
      <c r="AF18" s="767"/>
      <c r="AG18" s="767"/>
      <c r="AH18" s="767"/>
      <c r="AI18" s="767"/>
      <c r="AJ18" s="767"/>
      <c r="AK18" s="767"/>
      <c r="AL18" s="767"/>
      <c r="AM18" s="767"/>
      <c r="AN18" s="767"/>
      <c r="AO18" s="767"/>
      <c r="AP18" s="766" t="s">
        <v>320</v>
      </c>
      <c r="AQ18" s="766"/>
      <c r="AR18" s="766"/>
      <c r="AS18" s="766"/>
      <c r="AT18" s="767" t="s">
        <v>13</v>
      </c>
      <c r="AU18" s="767"/>
      <c r="AV18" s="767"/>
      <c r="AW18" s="767"/>
      <c r="AX18" s="767"/>
    </row>
    <row r="19" spans="1:50" ht="22.5" customHeight="1">
      <c r="A19" s="771"/>
      <c r="B19" s="771"/>
      <c r="C19" s="771"/>
      <c r="D19" s="767" t="s">
        <v>775</v>
      </c>
      <c r="E19" s="767"/>
      <c r="F19" s="767"/>
      <c r="G19" s="767"/>
      <c r="H19" s="767"/>
      <c r="I19" s="767"/>
      <c r="J19" s="766"/>
      <c r="K19" s="766"/>
      <c r="L19" s="766"/>
      <c r="M19" s="766"/>
      <c r="N19" s="766"/>
      <c r="O19" s="766"/>
      <c r="P19" s="767" t="s">
        <v>746</v>
      </c>
      <c r="Q19" s="767"/>
      <c r="R19" s="767"/>
      <c r="S19" s="767"/>
      <c r="T19" s="767"/>
      <c r="U19" s="767"/>
      <c r="V19" s="767" t="s">
        <v>588</v>
      </c>
      <c r="W19" s="767"/>
      <c r="X19" s="767"/>
      <c r="Y19" s="767"/>
      <c r="Z19" s="767"/>
      <c r="AA19" s="767"/>
      <c r="AB19" s="767"/>
      <c r="AC19" s="767"/>
      <c r="AD19" s="767" t="s">
        <v>65</v>
      </c>
      <c r="AE19" s="767"/>
      <c r="AF19" s="767"/>
      <c r="AG19" s="767"/>
      <c r="AH19" s="767"/>
      <c r="AI19" s="767"/>
      <c r="AJ19" s="767"/>
      <c r="AK19" s="767"/>
      <c r="AL19" s="767"/>
      <c r="AM19" s="767"/>
      <c r="AN19" s="767"/>
      <c r="AO19" s="767"/>
      <c r="AP19" s="766"/>
      <c r="AQ19" s="766"/>
      <c r="AR19" s="766"/>
      <c r="AS19" s="766"/>
      <c r="AT19" s="767" t="s">
        <v>634</v>
      </c>
      <c r="AU19" s="767"/>
      <c r="AV19" s="767"/>
      <c r="AW19" s="767"/>
      <c r="AX19" s="767"/>
    </row>
    <row r="20" spans="1:50" ht="22.5" customHeight="1">
      <c r="A20" s="771"/>
      <c r="B20" s="771"/>
      <c r="C20" s="771"/>
      <c r="D20" s="767" t="s">
        <v>776</v>
      </c>
      <c r="E20" s="767"/>
      <c r="F20" s="767"/>
      <c r="G20" s="767"/>
      <c r="H20" s="767"/>
      <c r="I20" s="767"/>
      <c r="J20" s="766"/>
      <c r="K20" s="766"/>
      <c r="L20" s="766"/>
      <c r="M20" s="766"/>
      <c r="N20" s="766"/>
      <c r="O20" s="766"/>
      <c r="P20" s="767" t="s">
        <v>747</v>
      </c>
      <c r="Q20" s="767"/>
      <c r="R20" s="767"/>
      <c r="S20" s="767"/>
      <c r="T20" s="767"/>
      <c r="U20" s="767"/>
      <c r="V20" s="767" t="s">
        <v>298</v>
      </c>
      <c r="W20" s="767"/>
      <c r="X20" s="767"/>
      <c r="Y20" s="767"/>
      <c r="Z20" s="767"/>
      <c r="AA20" s="767"/>
      <c r="AB20" s="767"/>
      <c r="AC20" s="767"/>
      <c r="AD20" s="767" t="s">
        <v>298</v>
      </c>
      <c r="AE20" s="767"/>
      <c r="AF20" s="767"/>
      <c r="AG20" s="767"/>
      <c r="AH20" s="767"/>
      <c r="AI20" s="767"/>
      <c r="AJ20" s="767"/>
      <c r="AK20" s="767"/>
      <c r="AL20" s="767"/>
      <c r="AM20" s="767"/>
      <c r="AN20" s="767"/>
      <c r="AO20" s="767"/>
      <c r="AP20" s="766"/>
      <c r="AQ20" s="766"/>
      <c r="AR20" s="766"/>
      <c r="AS20" s="766"/>
      <c r="AT20" s="767" t="s">
        <v>75</v>
      </c>
      <c r="AU20" s="767"/>
      <c r="AV20" s="767"/>
      <c r="AW20" s="767"/>
      <c r="AX20" s="767"/>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8:AS20"/>
    <mergeCell ref="M11:M12"/>
    <mergeCell ref="N11:N12"/>
    <mergeCell ref="O11:S11"/>
    <mergeCell ref="T11:T12"/>
    <mergeCell ref="U11:U12"/>
    <mergeCell ref="V11:AG11"/>
    <mergeCell ref="AT19:AX19"/>
    <mergeCell ref="AH11:AS11"/>
    <mergeCell ref="AT11:AU11"/>
    <mergeCell ref="A17:AX17"/>
    <mergeCell ref="A18:C20"/>
    <mergeCell ref="D18:I18"/>
    <mergeCell ref="J18:O20"/>
    <mergeCell ref="P18:U18"/>
    <mergeCell ref="V18:AC18"/>
    <mergeCell ref="AD18:AO18"/>
    <mergeCell ref="D20:I20"/>
    <mergeCell ref="P20:U20"/>
    <mergeCell ref="V20:AC20"/>
    <mergeCell ref="AD20:AO20"/>
    <mergeCell ref="AT20:AX20"/>
    <mergeCell ref="AT18:AX18"/>
    <mergeCell ref="D19:I19"/>
    <mergeCell ref="P19:U19"/>
    <mergeCell ref="V19:AC19"/>
    <mergeCell ref="AD19:AO19"/>
  </mergeCells>
  <printOptions/>
  <pageMargins left="0.7500000000000001" right="0.7500000000000001" top="1" bottom="1" header="0.30000000000000004" footer="0.30000000000000004"/>
  <pageSetup fitToHeight="0" fitToWidth="1" horizontalDpi="600" verticalDpi="600" orientation="landscape" scale="20"/>
  <drawing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X24"/>
  <sheetViews>
    <sheetView zoomScalePageLayoutView="0" workbookViewId="0" topLeftCell="AQ10">
      <selection activeCell="AD22" sqref="AD22:AO22"/>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3.8515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0.8515625" style="302" customWidth="1"/>
    <col min="49" max="50" width="2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135">
      <c r="A13" s="125"/>
      <c r="B13" s="125"/>
      <c r="C13" s="125"/>
      <c r="D13" s="125"/>
      <c r="E13" s="125"/>
      <c r="F13" s="125"/>
      <c r="G13" s="227" t="s">
        <v>604</v>
      </c>
      <c r="H13" s="125" t="s">
        <v>638</v>
      </c>
      <c r="I13" s="149" t="s">
        <v>606</v>
      </c>
      <c r="J13" s="147" t="s">
        <v>639</v>
      </c>
      <c r="K13" s="227" t="s">
        <v>468</v>
      </c>
      <c r="L13" s="125"/>
      <c r="M13" s="227" t="s">
        <v>432</v>
      </c>
      <c r="N13" s="149" t="s">
        <v>640</v>
      </c>
      <c r="O13" s="228"/>
      <c r="P13" s="228"/>
      <c r="Q13" s="245">
        <v>1</v>
      </c>
      <c r="R13" s="228"/>
      <c r="S13" s="228"/>
      <c r="T13" s="240" t="s">
        <v>433</v>
      </c>
      <c r="U13" s="281" t="s">
        <v>641</v>
      </c>
      <c r="V13" s="245"/>
      <c r="W13" s="245"/>
      <c r="X13" s="245">
        <v>0.7300000000000001</v>
      </c>
      <c r="Y13" s="245"/>
      <c r="Z13" s="245"/>
      <c r="AA13" s="245">
        <v>0.12000000000000001</v>
      </c>
      <c r="AB13" s="245"/>
      <c r="AC13" s="245"/>
      <c r="AD13" s="245">
        <v>0.04</v>
      </c>
      <c r="AE13" s="245"/>
      <c r="AF13" s="245"/>
      <c r="AG13" s="245">
        <v>0.11000000000000001</v>
      </c>
      <c r="AH13" s="230"/>
      <c r="AI13" s="230"/>
      <c r="AJ13" s="231">
        <v>0.73</v>
      </c>
      <c r="AK13" s="230"/>
      <c r="AL13" s="230"/>
      <c r="AM13" s="376">
        <v>0.12</v>
      </c>
      <c r="AN13" s="230"/>
      <c r="AO13" s="230"/>
      <c r="AP13" s="230"/>
      <c r="AQ13" s="230"/>
      <c r="AR13" s="230"/>
      <c r="AS13" s="230"/>
      <c r="AT13" s="246">
        <f>SUM(AH13:AS13)</f>
        <v>0.85</v>
      </c>
      <c r="AU13" s="245">
        <f>+AT13/Q13</f>
        <v>0.85</v>
      </c>
      <c r="AV13" s="347" t="s">
        <v>816</v>
      </c>
      <c r="AW13" s="250"/>
      <c r="AX13" s="250"/>
    </row>
    <row r="14" spans="1:50" s="234" customFormat="1" ht="108" customHeight="1">
      <c r="A14" s="125"/>
      <c r="B14" s="125"/>
      <c r="C14" s="125"/>
      <c r="D14" s="125"/>
      <c r="E14" s="125"/>
      <c r="F14" s="125"/>
      <c r="G14" s="227" t="s">
        <v>604</v>
      </c>
      <c r="H14" s="125" t="s">
        <v>638</v>
      </c>
      <c r="I14" s="149" t="s">
        <v>606</v>
      </c>
      <c r="J14" s="149" t="s">
        <v>608</v>
      </c>
      <c r="K14" s="125" t="s">
        <v>468</v>
      </c>
      <c r="L14" s="125"/>
      <c r="M14" s="227" t="s">
        <v>432</v>
      </c>
      <c r="N14" s="149" t="s">
        <v>609</v>
      </c>
      <c r="O14" s="228"/>
      <c r="P14" s="228"/>
      <c r="Q14" s="245">
        <v>1</v>
      </c>
      <c r="R14" s="228"/>
      <c r="S14" s="228"/>
      <c r="T14" s="240" t="s">
        <v>433</v>
      </c>
      <c r="U14" s="281" t="s">
        <v>642</v>
      </c>
      <c r="V14" s="125"/>
      <c r="W14" s="125"/>
      <c r="X14" s="282">
        <v>0.73</v>
      </c>
      <c r="Y14" s="125"/>
      <c r="Z14" s="125"/>
      <c r="AA14" s="282">
        <v>0.12</v>
      </c>
      <c r="AB14" s="125"/>
      <c r="AC14" s="125"/>
      <c r="AD14" s="282">
        <v>0.04</v>
      </c>
      <c r="AE14" s="125"/>
      <c r="AF14" s="125"/>
      <c r="AG14" s="282">
        <v>0.11</v>
      </c>
      <c r="AH14" s="283"/>
      <c r="AI14" s="230"/>
      <c r="AJ14" s="282">
        <v>0.73</v>
      </c>
      <c r="AK14" s="230"/>
      <c r="AL14" s="230"/>
      <c r="AM14" s="376">
        <v>0.09</v>
      </c>
      <c r="AN14" s="230"/>
      <c r="AO14" s="230"/>
      <c r="AP14" s="230"/>
      <c r="AQ14" s="230"/>
      <c r="AR14" s="230"/>
      <c r="AS14" s="230"/>
      <c r="AT14" s="246">
        <f>SUM(AH14:AS14)</f>
        <v>0.82</v>
      </c>
      <c r="AU14" s="245">
        <f aca="true" t="shared" si="0" ref="AU14:AU20">+AT14/Q14</f>
        <v>0.82</v>
      </c>
      <c r="AV14" s="347" t="s">
        <v>817</v>
      </c>
      <c r="AW14" s="250"/>
      <c r="AX14" s="250"/>
    </row>
    <row r="15" spans="1:50" s="234" customFormat="1" ht="108" customHeight="1">
      <c r="A15" s="125"/>
      <c r="B15" s="125"/>
      <c r="C15" s="125"/>
      <c r="D15" s="125"/>
      <c r="E15" s="125"/>
      <c r="F15" s="125"/>
      <c r="G15" s="227" t="s">
        <v>604</v>
      </c>
      <c r="H15" s="125" t="s">
        <v>638</v>
      </c>
      <c r="I15" s="149" t="s">
        <v>606</v>
      </c>
      <c r="J15" s="149" t="s">
        <v>643</v>
      </c>
      <c r="K15" s="227" t="s">
        <v>468</v>
      </c>
      <c r="L15" s="230"/>
      <c r="M15" s="227" t="s">
        <v>432</v>
      </c>
      <c r="N15" s="149" t="s">
        <v>644</v>
      </c>
      <c r="O15" s="230"/>
      <c r="P15" s="230"/>
      <c r="Q15" s="245">
        <v>1</v>
      </c>
      <c r="R15" s="230"/>
      <c r="S15" s="230"/>
      <c r="T15" s="240" t="s">
        <v>433</v>
      </c>
      <c r="U15" s="281" t="s">
        <v>645</v>
      </c>
      <c r="V15" s="125"/>
      <c r="W15" s="125"/>
      <c r="X15" s="282">
        <v>0.73</v>
      </c>
      <c r="Y15" s="125"/>
      <c r="Z15" s="125"/>
      <c r="AA15" s="282">
        <v>0.12</v>
      </c>
      <c r="AB15" s="125"/>
      <c r="AC15" s="125"/>
      <c r="AD15" s="282">
        <v>0.04</v>
      </c>
      <c r="AE15" s="125"/>
      <c r="AF15" s="125"/>
      <c r="AG15" s="282">
        <v>0.11</v>
      </c>
      <c r="AH15" s="230"/>
      <c r="AI15" s="230"/>
      <c r="AJ15" s="282">
        <v>0.73</v>
      </c>
      <c r="AK15" s="230"/>
      <c r="AL15" s="230"/>
      <c r="AM15" s="376">
        <v>0.06</v>
      </c>
      <c r="AN15" s="230"/>
      <c r="AO15" s="230"/>
      <c r="AP15" s="230"/>
      <c r="AQ15" s="230"/>
      <c r="AR15" s="230"/>
      <c r="AS15" s="230"/>
      <c r="AT15" s="246">
        <f>SUM(AH15:AS15)</f>
        <v>0.79</v>
      </c>
      <c r="AU15" s="245">
        <f t="shared" si="0"/>
        <v>0.79</v>
      </c>
      <c r="AV15" s="347" t="s">
        <v>818</v>
      </c>
      <c r="AW15" s="250"/>
      <c r="AX15" s="250"/>
    </row>
    <row r="16" spans="1:50" s="234" customFormat="1" ht="117" customHeight="1">
      <c r="A16" s="125"/>
      <c r="B16" s="125"/>
      <c r="C16" s="125"/>
      <c r="D16" s="125"/>
      <c r="E16" s="125"/>
      <c r="F16" s="304"/>
      <c r="G16" s="227" t="s">
        <v>604</v>
      </c>
      <c r="H16" s="125" t="s">
        <v>605</v>
      </c>
      <c r="I16" s="149" t="s">
        <v>606</v>
      </c>
      <c r="J16" s="149" t="s">
        <v>646</v>
      </c>
      <c r="K16" s="227" t="s">
        <v>468</v>
      </c>
      <c r="L16" s="230"/>
      <c r="M16" s="227" t="s">
        <v>432</v>
      </c>
      <c r="N16" s="149" t="s">
        <v>647</v>
      </c>
      <c r="O16" s="230"/>
      <c r="P16" s="230"/>
      <c r="Q16" s="245">
        <v>1</v>
      </c>
      <c r="R16" s="230"/>
      <c r="S16" s="230"/>
      <c r="T16" s="240" t="s">
        <v>433</v>
      </c>
      <c r="U16" s="281" t="s">
        <v>648</v>
      </c>
      <c r="V16" s="125"/>
      <c r="W16" s="125"/>
      <c r="X16" s="282">
        <v>0.25</v>
      </c>
      <c r="Y16" s="125"/>
      <c r="Z16" s="125"/>
      <c r="AA16" s="282">
        <v>0.25</v>
      </c>
      <c r="AB16" s="125"/>
      <c r="AC16" s="125"/>
      <c r="AD16" s="282">
        <v>0.25</v>
      </c>
      <c r="AE16" s="125"/>
      <c r="AF16" s="125"/>
      <c r="AG16" s="282">
        <v>0.25</v>
      </c>
      <c r="AH16" s="230"/>
      <c r="AI16" s="230"/>
      <c r="AJ16" s="314">
        <v>0.25</v>
      </c>
      <c r="AK16" s="230"/>
      <c r="AL16" s="230"/>
      <c r="AM16" s="376">
        <v>0.25</v>
      </c>
      <c r="AN16" s="230"/>
      <c r="AO16" s="230"/>
      <c r="AP16" s="230"/>
      <c r="AQ16" s="230"/>
      <c r="AR16" s="230"/>
      <c r="AS16" s="230"/>
      <c r="AT16" s="246">
        <f>SUM(AH16:AS16)</f>
        <v>0.5</v>
      </c>
      <c r="AU16" s="245">
        <f t="shared" si="0"/>
        <v>0.5</v>
      </c>
      <c r="AV16" s="305" t="s">
        <v>819</v>
      </c>
      <c r="AW16" s="250"/>
      <c r="AX16" s="250"/>
    </row>
    <row r="17" spans="1:50" s="234" customFormat="1" ht="78" customHeight="1">
      <c r="A17" s="125"/>
      <c r="B17" s="125"/>
      <c r="C17" s="125"/>
      <c r="D17" s="125"/>
      <c r="E17" s="125"/>
      <c r="F17" s="125"/>
      <c r="G17" s="227" t="s">
        <v>604</v>
      </c>
      <c r="H17" s="125" t="s">
        <v>638</v>
      </c>
      <c r="I17" s="149" t="s">
        <v>606</v>
      </c>
      <c r="J17" s="149" t="s">
        <v>649</v>
      </c>
      <c r="K17" s="227" t="s">
        <v>452</v>
      </c>
      <c r="L17" s="230"/>
      <c r="M17" s="227" t="s">
        <v>432</v>
      </c>
      <c r="N17" s="149" t="s">
        <v>650</v>
      </c>
      <c r="O17" s="230"/>
      <c r="P17" s="230"/>
      <c r="Q17" s="245">
        <v>1</v>
      </c>
      <c r="R17" s="230"/>
      <c r="S17" s="230"/>
      <c r="T17" s="240" t="s">
        <v>433</v>
      </c>
      <c r="U17" s="281" t="s">
        <v>651</v>
      </c>
      <c r="V17" s="125"/>
      <c r="W17" s="125"/>
      <c r="X17" s="245">
        <v>1</v>
      </c>
      <c r="Y17" s="245"/>
      <c r="Z17" s="245"/>
      <c r="AA17" s="245">
        <v>1</v>
      </c>
      <c r="AB17" s="245"/>
      <c r="AC17" s="245"/>
      <c r="AD17" s="245">
        <v>1</v>
      </c>
      <c r="AE17" s="245"/>
      <c r="AF17" s="245"/>
      <c r="AG17" s="245">
        <v>1</v>
      </c>
      <c r="AH17" s="230"/>
      <c r="AI17" s="230"/>
      <c r="AJ17" s="245">
        <v>1</v>
      </c>
      <c r="AK17" s="230"/>
      <c r="AL17" s="230"/>
      <c r="AM17" s="374">
        <v>1</v>
      </c>
      <c r="AN17" s="230"/>
      <c r="AO17" s="230"/>
      <c r="AP17" s="230"/>
      <c r="AQ17" s="230"/>
      <c r="AR17" s="230"/>
      <c r="AS17" s="230"/>
      <c r="AT17" s="246">
        <f>+AM17</f>
        <v>1</v>
      </c>
      <c r="AU17" s="245">
        <f t="shared" si="0"/>
        <v>1</v>
      </c>
      <c r="AV17" s="347" t="s">
        <v>820</v>
      </c>
      <c r="AW17" s="250"/>
      <c r="AX17" s="250"/>
    </row>
    <row r="18" spans="1:50" s="234" customFormat="1" ht="78" customHeight="1">
      <c r="A18" s="125"/>
      <c r="B18" s="125"/>
      <c r="C18" s="125"/>
      <c r="D18" s="125"/>
      <c r="E18" s="125"/>
      <c r="F18" s="125"/>
      <c r="G18" s="227" t="s">
        <v>604</v>
      </c>
      <c r="H18" s="125" t="s">
        <v>638</v>
      </c>
      <c r="I18" s="149" t="s">
        <v>606</v>
      </c>
      <c r="J18" s="149" t="s">
        <v>652</v>
      </c>
      <c r="K18" s="227" t="s">
        <v>468</v>
      </c>
      <c r="L18" s="240"/>
      <c r="M18" s="227" t="s">
        <v>432</v>
      </c>
      <c r="N18" s="149" t="s">
        <v>653</v>
      </c>
      <c r="O18" s="230"/>
      <c r="P18" s="230"/>
      <c r="Q18" s="245">
        <v>1</v>
      </c>
      <c r="R18" s="230"/>
      <c r="S18" s="230"/>
      <c r="T18" s="240" t="s">
        <v>433</v>
      </c>
      <c r="U18" s="281" t="s">
        <v>654</v>
      </c>
      <c r="V18" s="125"/>
      <c r="W18" s="125"/>
      <c r="X18" s="245">
        <v>0.25</v>
      </c>
      <c r="Y18" s="245"/>
      <c r="Z18" s="245"/>
      <c r="AA18" s="245">
        <v>0.25</v>
      </c>
      <c r="AB18" s="245"/>
      <c r="AC18" s="245"/>
      <c r="AD18" s="245">
        <v>0.25</v>
      </c>
      <c r="AE18" s="245"/>
      <c r="AF18" s="245"/>
      <c r="AG18" s="245">
        <v>0.25</v>
      </c>
      <c r="AH18" s="230"/>
      <c r="AI18" s="230"/>
      <c r="AJ18" s="245">
        <v>0.25</v>
      </c>
      <c r="AK18" s="230"/>
      <c r="AL18" s="230"/>
      <c r="AM18" s="376">
        <v>0.25</v>
      </c>
      <c r="AN18" s="230"/>
      <c r="AO18" s="230"/>
      <c r="AP18" s="230"/>
      <c r="AQ18" s="230"/>
      <c r="AR18" s="230"/>
      <c r="AS18" s="230"/>
      <c r="AT18" s="246">
        <f>SUM(AH18:AS18)</f>
        <v>0.5</v>
      </c>
      <c r="AU18" s="245">
        <f t="shared" si="0"/>
        <v>0.5</v>
      </c>
      <c r="AV18" s="305" t="s">
        <v>821</v>
      </c>
      <c r="AW18" s="250"/>
      <c r="AX18" s="250"/>
    </row>
    <row r="19" spans="1:50" s="234" customFormat="1" ht="78" customHeight="1">
      <c r="A19" s="125"/>
      <c r="B19" s="125"/>
      <c r="C19" s="125"/>
      <c r="D19" s="125"/>
      <c r="E19" s="125"/>
      <c r="F19" s="125"/>
      <c r="G19" s="227" t="s">
        <v>604</v>
      </c>
      <c r="H19" s="125" t="s">
        <v>638</v>
      </c>
      <c r="I19" s="149" t="s">
        <v>606</v>
      </c>
      <c r="J19" s="149" t="s">
        <v>655</v>
      </c>
      <c r="K19" s="227" t="s">
        <v>468</v>
      </c>
      <c r="L19" s="240"/>
      <c r="M19" s="227" t="s">
        <v>432</v>
      </c>
      <c r="N19" s="149" t="s">
        <v>610</v>
      </c>
      <c r="O19" s="230"/>
      <c r="P19" s="230"/>
      <c r="Q19" s="245">
        <v>1</v>
      </c>
      <c r="R19" s="230"/>
      <c r="S19" s="230"/>
      <c r="T19" s="240" t="s">
        <v>433</v>
      </c>
      <c r="U19" s="281" t="s">
        <v>656</v>
      </c>
      <c r="V19" s="125"/>
      <c r="W19" s="125"/>
      <c r="X19" s="282">
        <v>0.14</v>
      </c>
      <c r="Y19" s="125"/>
      <c r="Z19" s="125"/>
      <c r="AA19" s="245">
        <v>0.21</v>
      </c>
      <c r="AB19" s="245"/>
      <c r="AC19" s="245"/>
      <c r="AD19" s="245">
        <v>0.23</v>
      </c>
      <c r="AE19" s="245"/>
      <c r="AF19" s="245"/>
      <c r="AG19" s="245">
        <v>0.42</v>
      </c>
      <c r="AH19" s="230"/>
      <c r="AI19" s="230"/>
      <c r="AJ19" s="282">
        <v>0.14</v>
      </c>
      <c r="AK19" s="230"/>
      <c r="AL19" s="230"/>
      <c r="AM19" s="376">
        <v>0.21</v>
      </c>
      <c r="AN19" s="230"/>
      <c r="AO19" s="230"/>
      <c r="AP19" s="230"/>
      <c r="AQ19" s="230"/>
      <c r="AR19" s="230"/>
      <c r="AS19" s="230"/>
      <c r="AT19" s="246">
        <f>SUM(AH19:AS19)</f>
        <v>0.35</v>
      </c>
      <c r="AU19" s="245">
        <f t="shared" si="0"/>
        <v>0.35</v>
      </c>
      <c r="AV19" s="347" t="s">
        <v>822</v>
      </c>
      <c r="AW19" s="250"/>
      <c r="AX19" s="250"/>
    </row>
    <row r="20" spans="1:50" s="234" customFormat="1" ht="78" customHeight="1">
      <c r="A20" s="125"/>
      <c r="B20" s="125"/>
      <c r="C20" s="125"/>
      <c r="D20" s="125"/>
      <c r="E20" s="125"/>
      <c r="F20" s="125"/>
      <c r="G20" s="227" t="s">
        <v>604</v>
      </c>
      <c r="H20" s="125" t="s">
        <v>605</v>
      </c>
      <c r="I20" s="149" t="s">
        <v>606</v>
      </c>
      <c r="J20" s="149" t="s">
        <v>657</v>
      </c>
      <c r="K20" s="227" t="s">
        <v>452</v>
      </c>
      <c r="L20" s="230"/>
      <c r="M20" s="227" t="s">
        <v>432</v>
      </c>
      <c r="N20" s="149" t="s">
        <v>658</v>
      </c>
      <c r="O20" s="230"/>
      <c r="P20" s="230"/>
      <c r="Q20" s="245">
        <v>1</v>
      </c>
      <c r="R20" s="230"/>
      <c r="S20" s="230"/>
      <c r="T20" s="240" t="s">
        <v>607</v>
      </c>
      <c r="U20" s="281" t="s">
        <v>611</v>
      </c>
      <c r="V20" s="245"/>
      <c r="W20" s="245"/>
      <c r="X20" s="245">
        <v>1</v>
      </c>
      <c r="Y20" s="245"/>
      <c r="Z20" s="245"/>
      <c r="AA20" s="245">
        <v>1</v>
      </c>
      <c r="AB20" s="245"/>
      <c r="AC20" s="245"/>
      <c r="AD20" s="245">
        <v>1</v>
      </c>
      <c r="AE20" s="245"/>
      <c r="AF20" s="245"/>
      <c r="AG20" s="245">
        <v>1</v>
      </c>
      <c r="AH20" s="230"/>
      <c r="AI20" s="230"/>
      <c r="AJ20" s="245">
        <v>1</v>
      </c>
      <c r="AK20" s="230"/>
      <c r="AL20" s="230"/>
      <c r="AM20" s="376">
        <v>0.8</v>
      </c>
      <c r="AN20" s="230"/>
      <c r="AO20" s="230"/>
      <c r="AP20" s="230"/>
      <c r="AQ20" s="230"/>
      <c r="AR20" s="230"/>
      <c r="AS20" s="230"/>
      <c r="AT20" s="246">
        <f>+AM20</f>
        <v>0.8</v>
      </c>
      <c r="AU20" s="245">
        <f t="shared" si="0"/>
        <v>0.8</v>
      </c>
      <c r="AV20" s="306" t="s">
        <v>823</v>
      </c>
      <c r="AW20" s="250"/>
      <c r="AX20" s="250"/>
    </row>
    <row r="21" spans="1:50" ht="13.5">
      <c r="A21" s="768" t="s">
        <v>295</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770"/>
    </row>
    <row r="22" spans="1:50" ht="45" customHeight="1">
      <c r="A22" s="771" t="s">
        <v>64</v>
      </c>
      <c r="B22" s="771"/>
      <c r="C22" s="771"/>
      <c r="D22" s="767" t="s">
        <v>66</v>
      </c>
      <c r="E22" s="767"/>
      <c r="F22" s="767"/>
      <c r="G22" s="767"/>
      <c r="H22" s="767"/>
      <c r="I22" s="767"/>
      <c r="J22" s="766" t="s">
        <v>302</v>
      </c>
      <c r="K22" s="766"/>
      <c r="L22" s="766"/>
      <c r="M22" s="766"/>
      <c r="N22" s="766"/>
      <c r="O22" s="766"/>
      <c r="P22" s="767" t="s">
        <v>66</v>
      </c>
      <c r="Q22" s="767"/>
      <c r="R22" s="767"/>
      <c r="S22" s="767"/>
      <c r="T22" s="767"/>
      <c r="U22" s="767"/>
      <c r="V22" s="767" t="s">
        <v>66</v>
      </c>
      <c r="W22" s="767"/>
      <c r="X22" s="767"/>
      <c r="Y22" s="767"/>
      <c r="Z22" s="767"/>
      <c r="AA22" s="767"/>
      <c r="AB22" s="767"/>
      <c r="AC22" s="767"/>
      <c r="AD22" s="767" t="s">
        <v>66</v>
      </c>
      <c r="AE22" s="767"/>
      <c r="AF22" s="767"/>
      <c r="AG22" s="767"/>
      <c r="AH22" s="767"/>
      <c r="AI22" s="767"/>
      <c r="AJ22" s="767"/>
      <c r="AK22" s="767"/>
      <c r="AL22" s="767"/>
      <c r="AM22" s="767"/>
      <c r="AN22" s="767"/>
      <c r="AO22" s="767"/>
      <c r="AP22" s="766" t="s">
        <v>320</v>
      </c>
      <c r="AQ22" s="766"/>
      <c r="AR22" s="766"/>
      <c r="AS22" s="766"/>
      <c r="AT22" s="767" t="s">
        <v>13</v>
      </c>
      <c r="AU22" s="767"/>
      <c r="AV22" s="767"/>
      <c r="AW22" s="767"/>
      <c r="AX22" s="767"/>
    </row>
    <row r="23" spans="1:50" ht="22.5" customHeight="1">
      <c r="A23" s="771"/>
      <c r="B23" s="771"/>
      <c r="C23" s="771"/>
      <c r="D23" s="767" t="s">
        <v>733</v>
      </c>
      <c r="E23" s="767"/>
      <c r="F23" s="767"/>
      <c r="G23" s="767"/>
      <c r="H23" s="767"/>
      <c r="I23" s="767"/>
      <c r="J23" s="766"/>
      <c r="K23" s="766"/>
      <c r="L23" s="766"/>
      <c r="M23" s="766"/>
      <c r="N23" s="766"/>
      <c r="O23" s="766"/>
      <c r="P23" s="767" t="s">
        <v>732</v>
      </c>
      <c r="Q23" s="767"/>
      <c r="R23" s="767"/>
      <c r="S23" s="767"/>
      <c r="T23" s="767"/>
      <c r="U23" s="767"/>
      <c r="V23" s="767" t="s">
        <v>588</v>
      </c>
      <c r="W23" s="767"/>
      <c r="X23" s="767"/>
      <c r="Y23" s="767"/>
      <c r="Z23" s="767"/>
      <c r="AA23" s="767"/>
      <c r="AB23" s="767"/>
      <c r="AC23" s="767"/>
      <c r="AD23" s="767" t="s">
        <v>65</v>
      </c>
      <c r="AE23" s="767"/>
      <c r="AF23" s="767"/>
      <c r="AG23" s="767"/>
      <c r="AH23" s="767"/>
      <c r="AI23" s="767"/>
      <c r="AJ23" s="767"/>
      <c r="AK23" s="767"/>
      <c r="AL23" s="767"/>
      <c r="AM23" s="767"/>
      <c r="AN23" s="767"/>
      <c r="AO23" s="767"/>
      <c r="AP23" s="766"/>
      <c r="AQ23" s="766"/>
      <c r="AR23" s="766"/>
      <c r="AS23" s="766"/>
      <c r="AT23" s="767" t="s">
        <v>634</v>
      </c>
      <c r="AU23" s="767"/>
      <c r="AV23" s="767"/>
      <c r="AW23" s="767"/>
      <c r="AX23" s="767"/>
    </row>
    <row r="24" spans="1:50" ht="22.5" customHeight="1">
      <c r="A24" s="771"/>
      <c r="B24" s="771"/>
      <c r="C24" s="771"/>
      <c r="D24" s="767" t="s">
        <v>734</v>
      </c>
      <c r="E24" s="767"/>
      <c r="F24" s="767"/>
      <c r="G24" s="767"/>
      <c r="H24" s="767"/>
      <c r="I24" s="767"/>
      <c r="J24" s="766"/>
      <c r="K24" s="766"/>
      <c r="L24" s="766"/>
      <c r="M24" s="766"/>
      <c r="N24" s="766"/>
      <c r="O24" s="766"/>
      <c r="P24" s="767" t="s">
        <v>748</v>
      </c>
      <c r="Q24" s="767"/>
      <c r="R24" s="767"/>
      <c r="S24" s="767"/>
      <c r="T24" s="767"/>
      <c r="U24" s="767"/>
      <c r="V24" s="767" t="s">
        <v>749</v>
      </c>
      <c r="W24" s="767"/>
      <c r="X24" s="767"/>
      <c r="Y24" s="767"/>
      <c r="Z24" s="767"/>
      <c r="AA24" s="767"/>
      <c r="AB24" s="767"/>
      <c r="AC24" s="767"/>
      <c r="AD24" s="767" t="s">
        <v>298</v>
      </c>
      <c r="AE24" s="767"/>
      <c r="AF24" s="767"/>
      <c r="AG24" s="767"/>
      <c r="AH24" s="767"/>
      <c r="AI24" s="767"/>
      <c r="AJ24" s="767"/>
      <c r="AK24" s="767"/>
      <c r="AL24" s="767"/>
      <c r="AM24" s="767"/>
      <c r="AN24" s="767"/>
      <c r="AO24" s="767"/>
      <c r="AP24" s="766"/>
      <c r="AQ24" s="766"/>
      <c r="AR24" s="766"/>
      <c r="AS24" s="766"/>
      <c r="AT24" s="767" t="s">
        <v>75</v>
      </c>
      <c r="AU24" s="767"/>
      <c r="AV24" s="767"/>
      <c r="AW24" s="767"/>
      <c r="AX24" s="767"/>
    </row>
  </sheetData>
  <sheetProtection/>
  <mergeCells count="56">
    <mergeCell ref="AD24:AO24"/>
    <mergeCell ref="AT24:AX24"/>
    <mergeCell ref="AP22:AS24"/>
    <mergeCell ref="AT22:AX22"/>
    <mergeCell ref="D23:I23"/>
    <mergeCell ref="P23:U23"/>
    <mergeCell ref="V23:AC23"/>
    <mergeCell ref="AD23:AO23"/>
    <mergeCell ref="AT23:AX23"/>
    <mergeCell ref="D24:I24"/>
    <mergeCell ref="P24:U24"/>
    <mergeCell ref="V24:AC24"/>
    <mergeCell ref="AH11:AS11"/>
    <mergeCell ref="AT11:AU11"/>
    <mergeCell ref="A21:AX21"/>
    <mergeCell ref="A22:C24"/>
    <mergeCell ref="D22:I22"/>
    <mergeCell ref="J22:O24"/>
    <mergeCell ref="P22:U22"/>
    <mergeCell ref="V22:AC22"/>
    <mergeCell ref="AD22:AO22"/>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20"/>
  <drawing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Z27"/>
  <sheetViews>
    <sheetView zoomScale="117" zoomScaleNormal="117" zoomScalePageLayoutView="0" workbookViewId="0" topLeftCell="Z23">
      <selection activeCell="AO22" sqref="AO22"/>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5.42187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7109375" style="113" customWidth="1"/>
    <col min="49" max="49" width="41.7109375" style="113" customWidth="1"/>
    <col min="50" max="50" width="4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2" s="234" customFormat="1" ht="112.5" customHeight="1">
      <c r="A13" s="125"/>
      <c r="B13" s="125"/>
      <c r="C13" s="125"/>
      <c r="D13" s="125"/>
      <c r="E13" s="125"/>
      <c r="F13" s="125"/>
      <c r="G13" s="227" t="s">
        <v>612</v>
      </c>
      <c r="H13" s="125" t="s">
        <v>438</v>
      </c>
      <c r="I13" s="249" t="s">
        <v>613</v>
      </c>
      <c r="J13" s="284" t="s">
        <v>614</v>
      </c>
      <c r="K13" s="227" t="s">
        <v>468</v>
      </c>
      <c r="L13" s="125"/>
      <c r="M13" s="227" t="s">
        <v>432</v>
      </c>
      <c r="N13" s="227" t="s">
        <v>659</v>
      </c>
      <c r="O13" s="285"/>
      <c r="P13" s="250"/>
      <c r="Q13" s="250">
        <v>1</v>
      </c>
      <c r="R13" s="250"/>
      <c r="S13" s="250"/>
      <c r="T13" s="240" t="s">
        <v>433</v>
      </c>
      <c r="U13" s="249" t="s">
        <v>615</v>
      </c>
      <c r="V13" s="282"/>
      <c r="W13" s="282"/>
      <c r="X13" s="282">
        <v>0.25</v>
      </c>
      <c r="Y13" s="282"/>
      <c r="Z13" s="282"/>
      <c r="AA13" s="282">
        <v>0.25</v>
      </c>
      <c r="AB13" s="282"/>
      <c r="AC13" s="282"/>
      <c r="AD13" s="282">
        <v>0.25</v>
      </c>
      <c r="AE13" s="282"/>
      <c r="AF13" s="282"/>
      <c r="AG13" s="282">
        <v>0.25</v>
      </c>
      <c r="AH13" s="307"/>
      <c r="AI13" s="307"/>
      <c r="AJ13" s="319">
        <v>0.25</v>
      </c>
      <c r="AK13" s="303"/>
      <c r="AL13" s="262"/>
      <c r="AM13" s="246">
        <v>0.25</v>
      </c>
      <c r="AN13" s="262">
        <v>0.0833</v>
      </c>
      <c r="AO13" s="303">
        <v>0.0833</v>
      </c>
      <c r="AP13" s="230"/>
      <c r="AQ13" s="230"/>
      <c r="AR13" s="230"/>
      <c r="AS13" s="230"/>
      <c r="AT13" s="245">
        <f>SUM(AH13:AS13)</f>
        <v>0.6666000000000001</v>
      </c>
      <c r="AU13" s="245">
        <f aca="true" t="shared" si="0" ref="AU13:AU22">+AT13/Q13</f>
        <v>0.6666000000000001</v>
      </c>
      <c r="AV13" s="300" t="s">
        <v>869</v>
      </c>
      <c r="AW13" s="250" t="s">
        <v>837</v>
      </c>
      <c r="AX13" s="250" t="s">
        <v>411</v>
      </c>
      <c r="AZ13" s="286"/>
    </row>
    <row r="14" spans="1:52" s="234" customFormat="1" ht="112.5" customHeight="1">
      <c r="A14" s="125"/>
      <c r="B14" s="125"/>
      <c r="C14" s="125"/>
      <c r="D14" s="125"/>
      <c r="E14" s="125"/>
      <c r="F14" s="125"/>
      <c r="G14" s="227" t="s">
        <v>612</v>
      </c>
      <c r="H14" s="125" t="s">
        <v>438</v>
      </c>
      <c r="I14" s="249" t="s">
        <v>616</v>
      </c>
      <c r="J14" s="284" t="s">
        <v>660</v>
      </c>
      <c r="K14" s="125" t="s">
        <v>452</v>
      </c>
      <c r="L14" s="125"/>
      <c r="M14" s="125" t="s">
        <v>432</v>
      </c>
      <c r="N14" s="287" t="s">
        <v>661</v>
      </c>
      <c r="O14" s="228"/>
      <c r="P14" s="228"/>
      <c r="Q14" s="250">
        <v>1</v>
      </c>
      <c r="R14" s="228"/>
      <c r="S14" s="228"/>
      <c r="T14" s="240" t="s">
        <v>483</v>
      </c>
      <c r="U14" s="249" t="s">
        <v>617</v>
      </c>
      <c r="V14" s="282"/>
      <c r="W14" s="282"/>
      <c r="X14" s="282"/>
      <c r="Y14" s="282"/>
      <c r="Z14" s="282"/>
      <c r="AA14" s="282">
        <v>1</v>
      </c>
      <c r="AB14" s="282"/>
      <c r="AC14" s="282"/>
      <c r="AD14" s="282"/>
      <c r="AE14" s="282"/>
      <c r="AF14" s="282"/>
      <c r="AG14" s="282">
        <v>1</v>
      </c>
      <c r="AH14" s="125"/>
      <c r="AI14" s="125"/>
      <c r="AJ14" s="246"/>
      <c r="AK14" s="230"/>
      <c r="AL14" s="230"/>
      <c r="AM14" s="246">
        <v>0</v>
      </c>
      <c r="AN14" s="230"/>
      <c r="AO14" s="230"/>
      <c r="AP14" s="230"/>
      <c r="AQ14" s="230"/>
      <c r="AR14" s="230"/>
      <c r="AS14" s="230"/>
      <c r="AT14" s="245">
        <f>SUM(AH14:AS14)</f>
        <v>0</v>
      </c>
      <c r="AU14" s="245">
        <f t="shared" si="0"/>
        <v>0</v>
      </c>
      <c r="AV14" s="301"/>
      <c r="AW14" s="301" t="s">
        <v>870</v>
      </c>
      <c r="AX14" s="121" t="s">
        <v>411</v>
      </c>
      <c r="AZ14" s="286"/>
    </row>
    <row r="15" spans="1:52" s="234" customFormat="1" ht="112.5" customHeight="1">
      <c r="A15" s="125"/>
      <c r="B15" s="125"/>
      <c r="C15" s="125"/>
      <c r="D15" s="125"/>
      <c r="E15" s="125"/>
      <c r="F15" s="125"/>
      <c r="G15" s="227" t="s">
        <v>612</v>
      </c>
      <c r="H15" s="125" t="s">
        <v>438</v>
      </c>
      <c r="I15" s="249" t="s">
        <v>618</v>
      </c>
      <c r="J15" s="284" t="s">
        <v>662</v>
      </c>
      <c r="K15" s="230" t="s">
        <v>468</v>
      </c>
      <c r="L15" s="230"/>
      <c r="M15" s="227" t="s">
        <v>663</v>
      </c>
      <c r="N15" s="287" t="s">
        <v>664</v>
      </c>
      <c r="O15" s="230"/>
      <c r="P15" s="230"/>
      <c r="Q15" s="240">
        <v>1</v>
      </c>
      <c r="R15" s="230"/>
      <c r="S15" s="230"/>
      <c r="T15" s="240" t="s">
        <v>665</v>
      </c>
      <c r="U15" s="249" t="s">
        <v>666</v>
      </c>
      <c r="V15" s="282"/>
      <c r="W15" s="282"/>
      <c r="X15" s="282"/>
      <c r="Y15" s="282"/>
      <c r="Z15" s="282"/>
      <c r="AA15" s="282"/>
      <c r="AB15" s="282"/>
      <c r="AC15" s="282"/>
      <c r="AD15" s="282"/>
      <c r="AE15" s="282"/>
      <c r="AF15" s="282"/>
      <c r="AG15" s="228">
        <v>1</v>
      </c>
      <c r="AH15" s="125"/>
      <c r="AI15" s="125"/>
      <c r="AJ15" s="246"/>
      <c r="AK15" s="230"/>
      <c r="AL15" s="230"/>
      <c r="AM15" s="230"/>
      <c r="AN15" s="230"/>
      <c r="AO15" s="230"/>
      <c r="AP15" s="230"/>
      <c r="AQ15" s="230"/>
      <c r="AR15" s="230"/>
      <c r="AS15" s="230"/>
      <c r="AT15" s="228">
        <f>SUM(AH15:AS15)</f>
        <v>0</v>
      </c>
      <c r="AU15" s="245">
        <f t="shared" si="0"/>
        <v>0</v>
      </c>
      <c r="AV15" s="301" t="s">
        <v>871</v>
      </c>
      <c r="AW15" s="250" t="s">
        <v>837</v>
      </c>
      <c r="AX15" s="250" t="s">
        <v>411</v>
      </c>
      <c r="AZ15" s="286"/>
    </row>
    <row r="16" spans="1:52" s="234" customFormat="1" ht="297" customHeight="1">
      <c r="A16" s="125"/>
      <c r="B16" s="125"/>
      <c r="C16" s="125"/>
      <c r="D16" s="125"/>
      <c r="E16" s="125"/>
      <c r="F16" s="125"/>
      <c r="G16" s="227" t="s">
        <v>612</v>
      </c>
      <c r="H16" s="125" t="s">
        <v>438</v>
      </c>
      <c r="I16" s="249" t="s">
        <v>667</v>
      </c>
      <c r="J16" s="284" t="s">
        <v>668</v>
      </c>
      <c r="K16" s="230" t="s">
        <v>468</v>
      </c>
      <c r="L16" s="230"/>
      <c r="M16" s="125" t="s">
        <v>663</v>
      </c>
      <c r="N16" s="287" t="s">
        <v>669</v>
      </c>
      <c r="O16" s="230"/>
      <c r="P16" s="230"/>
      <c r="Q16" s="240">
        <v>12</v>
      </c>
      <c r="R16" s="230"/>
      <c r="S16" s="230"/>
      <c r="T16" s="240" t="s">
        <v>433</v>
      </c>
      <c r="U16" s="249" t="s">
        <v>619</v>
      </c>
      <c r="V16" s="282"/>
      <c r="W16" s="282"/>
      <c r="X16" s="228">
        <v>3</v>
      </c>
      <c r="Y16" s="228"/>
      <c r="Z16" s="228"/>
      <c r="AA16" s="228">
        <v>3</v>
      </c>
      <c r="AB16" s="228"/>
      <c r="AC16" s="228"/>
      <c r="AD16" s="228">
        <v>3</v>
      </c>
      <c r="AE16" s="228"/>
      <c r="AF16" s="228"/>
      <c r="AG16" s="228">
        <v>3</v>
      </c>
      <c r="AH16" s="125"/>
      <c r="AI16" s="125"/>
      <c r="AJ16" s="261">
        <v>5</v>
      </c>
      <c r="AK16" s="230"/>
      <c r="AL16" s="125"/>
      <c r="AM16" s="230">
        <v>8</v>
      </c>
      <c r="AN16" s="125">
        <v>1</v>
      </c>
      <c r="AO16" s="230">
        <v>2</v>
      </c>
      <c r="AP16" s="230"/>
      <c r="AQ16" s="230"/>
      <c r="AR16" s="230"/>
      <c r="AS16" s="230"/>
      <c r="AT16" s="228">
        <f>SUM(AH16:AS16)</f>
        <v>16</v>
      </c>
      <c r="AU16" s="245">
        <f t="shared" si="0"/>
        <v>1.3333333333333333</v>
      </c>
      <c r="AV16" s="385" t="s">
        <v>872</v>
      </c>
      <c r="AW16" s="250" t="s">
        <v>837</v>
      </c>
      <c r="AX16" s="250" t="s">
        <v>411</v>
      </c>
      <c r="AZ16" s="286"/>
    </row>
    <row r="17" spans="1:52" s="234" customFormat="1" ht="183.75" customHeight="1">
      <c r="A17" s="125"/>
      <c r="B17" s="125"/>
      <c r="C17" s="125"/>
      <c r="D17" s="125"/>
      <c r="E17" s="125"/>
      <c r="F17" s="125"/>
      <c r="G17" s="227" t="s">
        <v>612</v>
      </c>
      <c r="H17" s="125" t="s">
        <v>438</v>
      </c>
      <c r="I17" s="249" t="s">
        <v>620</v>
      </c>
      <c r="J17" s="284" t="s">
        <v>670</v>
      </c>
      <c r="K17" s="230" t="s">
        <v>468</v>
      </c>
      <c r="L17" s="230"/>
      <c r="M17" s="227" t="s">
        <v>663</v>
      </c>
      <c r="N17" s="284" t="s">
        <v>671</v>
      </c>
      <c r="O17" s="230"/>
      <c r="P17" s="230"/>
      <c r="Q17" s="240">
        <v>10</v>
      </c>
      <c r="R17" s="230"/>
      <c r="S17" s="230"/>
      <c r="T17" s="240" t="s">
        <v>483</v>
      </c>
      <c r="U17" s="249" t="s">
        <v>672</v>
      </c>
      <c r="V17" s="282"/>
      <c r="W17" s="282"/>
      <c r="X17" s="282"/>
      <c r="Y17" s="282"/>
      <c r="Z17" s="282"/>
      <c r="AA17" s="228">
        <v>5</v>
      </c>
      <c r="AB17" s="282"/>
      <c r="AC17" s="282"/>
      <c r="AD17" s="282"/>
      <c r="AE17" s="282"/>
      <c r="AF17" s="282"/>
      <c r="AG17" s="228">
        <v>5</v>
      </c>
      <c r="AH17" s="125"/>
      <c r="AI17" s="125"/>
      <c r="AJ17" s="261"/>
      <c r="AK17" s="230"/>
      <c r="AL17" s="230"/>
      <c r="AM17" s="230">
        <v>2</v>
      </c>
      <c r="AN17" s="125">
        <v>3</v>
      </c>
      <c r="AO17" s="230"/>
      <c r="AP17" s="230"/>
      <c r="AQ17" s="230"/>
      <c r="AR17" s="230"/>
      <c r="AS17" s="230"/>
      <c r="AT17" s="228">
        <f>SUM(AH17:AS17)</f>
        <v>5</v>
      </c>
      <c r="AU17" s="245">
        <f t="shared" si="0"/>
        <v>0.5</v>
      </c>
      <c r="AV17" s="385" t="s">
        <v>873</v>
      </c>
      <c r="AW17" s="250" t="s">
        <v>837</v>
      </c>
      <c r="AX17" s="250" t="s">
        <v>411</v>
      </c>
      <c r="AZ17" s="286"/>
    </row>
    <row r="18" spans="1:52" s="234" customFormat="1" ht="112.5" customHeight="1">
      <c r="A18" s="125"/>
      <c r="B18" s="125"/>
      <c r="C18" s="125"/>
      <c r="D18" s="125"/>
      <c r="E18" s="125"/>
      <c r="F18" s="149"/>
      <c r="G18" s="227" t="s">
        <v>612</v>
      </c>
      <c r="H18" s="125" t="s">
        <v>438</v>
      </c>
      <c r="I18" s="249" t="s">
        <v>621</v>
      </c>
      <c r="J18" s="284" t="s">
        <v>673</v>
      </c>
      <c r="K18" s="230" t="s">
        <v>452</v>
      </c>
      <c r="L18" s="240"/>
      <c r="M18" s="125" t="s">
        <v>432</v>
      </c>
      <c r="N18" s="227" t="s">
        <v>674</v>
      </c>
      <c r="O18" s="230"/>
      <c r="P18" s="230"/>
      <c r="Q18" s="250">
        <v>1</v>
      </c>
      <c r="R18" s="230"/>
      <c r="S18" s="230"/>
      <c r="T18" s="240" t="s">
        <v>483</v>
      </c>
      <c r="U18" s="249" t="s">
        <v>675</v>
      </c>
      <c r="V18" s="282"/>
      <c r="W18" s="282"/>
      <c r="X18" s="282"/>
      <c r="Y18" s="282"/>
      <c r="Z18" s="282"/>
      <c r="AA18" s="282">
        <v>1</v>
      </c>
      <c r="AB18" s="282"/>
      <c r="AC18" s="282"/>
      <c r="AD18" s="282"/>
      <c r="AE18" s="282"/>
      <c r="AF18" s="282"/>
      <c r="AG18" s="282">
        <v>1</v>
      </c>
      <c r="AH18" s="282"/>
      <c r="AI18" s="125"/>
      <c r="AJ18" s="246"/>
      <c r="AK18" s="230"/>
      <c r="AL18" s="231"/>
      <c r="AM18" s="231">
        <v>1</v>
      </c>
      <c r="AN18" s="230"/>
      <c r="AO18" s="230"/>
      <c r="AP18" s="230"/>
      <c r="AQ18" s="230"/>
      <c r="AR18" s="230"/>
      <c r="AS18" s="230"/>
      <c r="AT18" s="282">
        <f>+AM18</f>
        <v>1</v>
      </c>
      <c r="AU18" s="245">
        <f t="shared" si="0"/>
        <v>1</v>
      </c>
      <c r="AV18" s="301" t="s">
        <v>874</v>
      </c>
      <c r="AW18" s="250" t="s">
        <v>837</v>
      </c>
      <c r="AX18" s="250" t="s">
        <v>411</v>
      </c>
      <c r="AZ18" s="286"/>
    </row>
    <row r="19" spans="1:52" s="234" customFormat="1" ht="112.5" customHeight="1">
      <c r="A19" s="125"/>
      <c r="B19" s="125"/>
      <c r="C19" s="125"/>
      <c r="D19" s="125"/>
      <c r="E19" s="125"/>
      <c r="F19" s="288"/>
      <c r="G19" s="227" t="s">
        <v>612</v>
      </c>
      <c r="H19" s="125" t="s">
        <v>411</v>
      </c>
      <c r="I19" s="249" t="s">
        <v>622</v>
      </c>
      <c r="J19" s="284" t="s">
        <v>676</v>
      </c>
      <c r="K19" s="230" t="s">
        <v>452</v>
      </c>
      <c r="L19" s="240"/>
      <c r="M19" s="125" t="s">
        <v>432</v>
      </c>
      <c r="N19" s="227" t="s">
        <v>677</v>
      </c>
      <c r="O19" s="230"/>
      <c r="P19" s="230"/>
      <c r="Q19" s="250">
        <v>1</v>
      </c>
      <c r="R19" s="230"/>
      <c r="S19" s="230"/>
      <c r="T19" s="240" t="s">
        <v>409</v>
      </c>
      <c r="U19" s="249" t="s">
        <v>623</v>
      </c>
      <c r="V19" s="282">
        <v>1</v>
      </c>
      <c r="W19" s="282">
        <v>1</v>
      </c>
      <c r="X19" s="282">
        <v>1</v>
      </c>
      <c r="Y19" s="282">
        <v>1</v>
      </c>
      <c r="Z19" s="282">
        <v>1</v>
      </c>
      <c r="AA19" s="282">
        <v>1</v>
      </c>
      <c r="AB19" s="282">
        <v>1</v>
      </c>
      <c r="AC19" s="282">
        <v>1</v>
      </c>
      <c r="AD19" s="282">
        <v>1</v>
      </c>
      <c r="AE19" s="282">
        <v>1</v>
      </c>
      <c r="AF19" s="282">
        <v>1</v>
      </c>
      <c r="AG19" s="282">
        <v>1</v>
      </c>
      <c r="AH19" s="282">
        <v>1</v>
      </c>
      <c r="AI19" s="282">
        <v>1</v>
      </c>
      <c r="AJ19" s="246">
        <v>1</v>
      </c>
      <c r="AK19" s="246">
        <v>1</v>
      </c>
      <c r="AL19" s="231">
        <v>1</v>
      </c>
      <c r="AM19" s="231">
        <v>1</v>
      </c>
      <c r="AN19" s="231">
        <v>1</v>
      </c>
      <c r="AO19" s="246">
        <v>1</v>
      </c>
      <c r="AP19" s="230"/>
      <c r="AQ19" s="230"/>
      <c r="AR19" s="230"/>
      <c r="AS19" s="230"/>
      <c r="AT19" s="282">
        <f>+AM19</f>
        <v>1</v>
      </c>
      <c r="AU19" s="245">
        <f t="shared" si="0"/>
        <v>1</v>
      </c>
      <c r="AV19" s="301" t="s">
        <v>875</v>
      </c>
      <c r="AW19" s="250" t="s">
        <v>837</v>
      </c>
      <c r="AX19" s="250" t="s">
        <v>411</v>
      </c>
      <c r="AZ19" s="286"/>
    </row>
    <row r="20" spans="1:52" s="234" customFormat="1" ht="378.75" customHeight="1">
      <c r="A20" s="125"/>
      <c r="B20" s="125"/>
      <c r="C20" s="125"/>
      <c r="D20" s="125"/>
      <c r="E20" s="125"/>
      <c r="F20" s="125"/>
      <c r="G20" s="227" t="s">
        <v>612</v>
      </c>
      <c r="H20" s="125" t="s">
        <v>438</v>
      </c>
      <c r="I20" s="249" t="s">
        <v>624</v>
      </c>
      <c r="J20" s="249" t="s">
        <v>678</v>
      </c>
      <c r="K20" s="125" t="s">
        <v>452</v>
      </c>
      <c r="L20" s="230"/>
      <c r="M20" s="227" t="s">
        <v>432</v>
      </c>
      <c r="N20" s="249" t="s">
        <v>679</v>
      </c>
      <c r="O20" s="230"/>
      <c r="P20" s="230"/>
      <c r="Q20" s="250">
        <v>1</v>
      </c>
      <c r="R20" s="230"/>
      <c r="S20" s="230"/>
      <c r="T20" s="240" t="s">
        <v>433</v>
      </c>
      <c r="U20" s="249" t="s">
        <v>680</v>
      </c>
      <c r="V20" s="282"/>
      <c r="W20" s="282"/>
      <c r="X20" s="282">
        <v>1</v>
      </c>
      <c r="Y20" s="282"/>
      <c r="Z20" s="282"/>
      <c r="AA20" s="282">
        <v>1</v>
      </c>
      <c r="AB20" s="282"/>
      <c r="AC20" s="282"/>
      <c r="AD20" s="282">
        <v>1</v>
      </c>
      <c r="AE20" s="282"/>
      <c r="AF20" s="282"/>
      <c r="AG20" s="282">
        <v>1</v>
      </c>
      <c r="AH20" s="125"/>
      <c r="AI20" s="282"/>
      <c r="AJ20" s="246">
        <v>1</v>
      </c>
      <c r="AK20" s="246"/>
      <c r="AL20" s="231"/>
      <c r="AM20" s="231">
        <v>1</v>
      </c>
      <c r="AN20" s="231">
        <v>1</v>
      </c>
      <c r="AO20" s="246">
        <v>1</v>
      </c>
      <c r="AP20" s="230"/>
      <c r="AQ20" s="230"/>
      <c r="AR20" s="230"/>
      <c r="AS20" s="230"/>
      <c r="AT20" s="282">
        <f>+AM20</f>
        <v>1</v>
      </c>
      <c r="AU20" s="245">
        <f t="shared" si="0"/>
        <v>1</v>
      </c>
      <c r="AV20" s="420" t="s">
        <v>876</v>
      </c>
      <c r="AW20" s="250" t="s">
        <v>837</v>
      </c>
      <c r="AX20" s="250" t="s">
        <v>411</v>
      </c>
      <c r="AZ20" s="286"/>
    </row>
    <row r="21" spans="1:52" s="234" customFormat="1" ht="112.5" customHeight="1">
      <c r="A21" s="125"/>
      <c r="B21" s="125"/>
      <c r="C21" s="125"/>
      <c r="D21" s="125"/>
      <c r="E21" s="125"/>
      <c r="F21" s="125"/>
      <c r="G21" s="227" t="s">
        <v>612</v>
      </c>
      <c r="H21" s="125" t="s">
        <v>438</v>
      </c>
      <c r="I21" s="249" t="s">
        <v>625</v>
      </c>
      <c r="J21" s="284" t="s">
        <v>681</v>
      </c>
      <c r="K21" s="230" t="s">
        <v>468</v>
      </c>
      <c r="L21" s="230"/>
      <c r="M21" s="125" t="s">
        <v>663</v>
      </c>
      <c r="N21" s="287" t="s">
        <v>682</v>
      </c>
      <c r="O21" s="230"/>
      <c r="P21" s="230"/>
      <c r="Q21" s="240">
        <v>2</v>
      </c>
      <c r="R21" s="230"/>
      <c r="S21" s="230"/>
      <c r="T21" s="240" t="s">
        <v>483</v>
      </c>
      <c r="U21" s="249" t="s">
        <v>683</v>
      </c>
      <c r="V21" s="282"/>
      <c r="W21" s="282"/>
      <c r="X21" s="282"/>
      <c r="Y21" s="282"/>
      <c r="Z21" s="282"/>
      <c r="AA21" s="228">
        <v>1</v>
      </c>
      <c r="AB21" s="282"/>
      <c r="AC21" s="282"/>
      <c r="AD21" s="282"/>
      <c r="AE21" s="282"/>
      <c r="AF21" s="282"/>
      <c r="AG21" s="228">
        <v>1</v>
      </c>
      <c r="AH21" s="125"/>
      <c r="AI21" s="125"/>
      <c r="AJ21" s="246"/>
      <c r="AK21" s="230"/>
      <c r="AL21" s="230"/>
      <c r="AM21" s="230">
        <v>1</v>
      </c>
      <c r="AN21" s="230"/>
      <c r="AO21" s="230"/>
      <c r="AP21" s="230"/>
      <c r="AQ21" s="230"/>
      <c r="AR21" s="230"/>
      <c r="AS21" s="230"/>
      <c r="AT21" s="125">
        <f>SUM(AH21:AS21)</f>
        <v>1</v>
      </c>
      <c r="AU21" s="245">
        <f t="shared" si="0"/>
        <v>0.5</v>
      </c>
      <c r="AV21" s="301" t="s">
        <v>877</v>
      </c>
      <c r="AW21" s="250" t="s">
        <v>837</v>
      </c>
      <c r="AX21" s="250" t="s">
        <v>411</v>
      </c>
      <c r="AZ21" s="286"/>
    </row>
    <row r="22" spans="1:52" s="234" customFormat="1" ht="219" customHeight="1">
      <c r="A22" s="125"/>
      <c r="B22" s="125"/>
      <c r="C22" s="125"/>
      <c r="D22" s="125"/>
      <c r="E22" s="125"/>
      <c r="F22" s="125"/>
      <c r="G22" s="227" t="s">
        <v>612</v>
      </c>
      <c r="H22" s="125" t="s">
        <v>438</v>
      </c>
      <c r="I22" s="249" t="s">
        <v>626</v>
      </c>
      <c r="J22" s="284" t="s">
        <v>684</v>
      </c>
      <c r="K22" s="230" t="s">
        <v>468</v>
      </c>
      <c r="L22" s="230"/>
      <c r="M22" s="227" t="s">
        <v>432</v>
      </c>
      <c r="N22" s="227" t="s">
        <v>685</v>
      </c>
      <c r="O22" s="230"/>
      <c r="P22" s="230"/>
      <c r="Q22" s="250">
        <v>1</v>
      </c>
      <c r="R22" s="230"/>
      <c r="S22" s="230"/>
      <c r="T22" s="240" t="s">
        <v>433</v>
      </c>
      <c r="U22" s="249" t="s">
        <v>686</v>
      </c>
      <c r="V22" s="282"/>
      <c r="W22" s="282"/>
      <c r="X22" s="282">
        <v>0.25</v>
      </c>
      <c r="Y22" s="282"/>
      <c r="Z22" s="282"/>
      <c r="AA22" s="282">
        <v>0.25</v>
      </c>
      <c r="AB22" s="282"/>
      <c r="AC22" s="282"/>
      <c r="AD22" s="282">
        <v>0.25</v>
      </c>
      <c r="AE22" s="282"/>
      <c r="AF22" s="282"/>
      <c r="AG22" s="282">
        <v>0.25</v>
      </c>
      <c r="AH22" s="307"/>
      <c r="AI22" s="307"/>
      <c r="AJ22" s="319">
        <v>0.25</v>
      </c>
      <c r="AK22" s="303"/>
      <c r="AL22" s="262"/>
      <c r="AM22" s="246">
        <v>0.25</v>
      </c>
      <c r="AN22" s="262">
        <v>0.0833</v>
      </c>
      <c r="AO22" s="303">
        <v>0.0833</v>
      </c>
      <c r="AP22" s="230"/>
      <c r="AQ22" s="230"/>
      <c r="AR22" s="230"/>
      <c r="AS22" s="230"/>
      <c r="AT22" s="245">
        <f>SUM(AH22:AS22)</f>
        <v>0.6666000000000001</v>
      </c>
      <c r="AU22" s="245">
        <f t="shared" si="0"/>
        <v>0.6666000000000001</v>
      </c>
      <c r="AV22" s="301" t="s">
        <v>878</v>
      </c>
      <c r="AW22" s="250" t="s">
        <v>837</v>
      </c>
      <c r="AX22" s="250" t="s">
        <v>411</v>
      </c>
      <c r="AZ22" s="286"/>
    </row>
    <row r="23" spans="1:52" s="234" customFormat="1" ht="112.5" customHeight="1">
      <c r="A23" s="125"/>
      <c r="B23" s="125"/>
      <c r="C23" s="125"/>
      <c r="D23" s="125"/>
      <c r="E23" s="125"/>
      <c r="F23" s="125"/>
      <c r="G23" s="227" t="s">
        <v>612</v>
      </c>
      <c r="H23" s="125" t="s">
        <v>438</v>
      </c>
      <c r="I23" s="249" t="s">
        <v>627</v>
      </c>
      <c r="J23" s="284" t="s">
        <v>687</v>
      </c>
      <c r="K23" s="230" t="s">
        <v>468</v>
      </c>
      <c r="L23" s="230"/>
      <c r="M23" s="125" t="s">
        <v>663</v>
      </c>
      <c r="N23" s="287" t="s">
        <v>688</v>
      </c>
      <c r="O23" s="230"/>
      <c r="P23" s="230"/>
      <c r="Q23" s="240">
        <v>2</v>
      </c>
      <c r="R23" s="230"/>
      <c r="S23" s="230"/>
      <c r="T23" s="240" t="s">
        <v>483</v>
      </c>
      <c r="U23" s="249" t="s">
        <v>689</v>
      </c>
      <c r="V23" s="282"/>
      <c r="W23" s="282"/>
      <c r="X23" s="282"/>
      <c r="Y23" s="282"/>
      <c r="Z23" s="282"/>
      <c r="AA23" s="282"/>
      <c r="AB23" s="228">
        <v>1</v>
      </c>
      <c r="AC23" s="282"/>
      <c r="AD23" s="282"/>
      <c r="AE23" s="282"/>
      <c r="AF23" s="282"/>
      <c r="AG23" s="228">
        <v>1</v>
      </c>
      <c r="AH23" s="125"/>
      <c r="AI23" s="125"/>
      <c r="AJ23" s="246"/>
      <c r="AK23" s="230"/>
      <c r="AL23" s="230"/>
      <c r="AM23" s="230"/>
      <c r="AN23" s="230">
        <v>1</v>
      </c>
      <c r="AO23" s="230"/>
      <c r="AP23" s="230"/>
      <c r="AQ23" s="230"/>
      <c r="AR23" s="230"/>
      <c r="AS23" s="230"/>
      <c r="AT23" s="125"/>
      <c r="AU23" s="245"/>
      <c r="AV23" s="301" t="s">
        <v>879</v>
      </c>
      <c r="AW23" s="250" t="s">
        <v>837</v>
      </c>
      <c r="AX23" s="122" t="s">
        <v>411</v>
      </c>
      <c r="AZ23" s="286"/>
    </row>
    <row r="24" spans="1:50" ht="13.5">
      <c r="A24" s="768" t="s">
        <v>295</v>
      </c>
      <c r="B24" s="769"/>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45" customHeight="1">
      <c r="A25" s="771" t="s">
        <v>64</v>
      </c>
      <c r="B25" s="771"/>
      <c r="C25" s="771"/>
      <c r="D25" s="767" t="s">
        <v>66</v>
      </c>
      <c r="E25" s="767"/>
      <c r="F25" s="767"/>
      <c r="G25" s="767"/>
      <c r="H25" s="767"/>
      <c r="I25" s="767"/>
      <c r="J25" s="766" t="s">
        <v>302</v>
      </c>
      <c r="K25" s="766"/>
      <c r="L25" s="766"/>
      <c r="M25" s="766"/>
      <c r="N25" s="766"/>
      <c r="O25" s="766"/>
      <c r="P25" s="767" t="s">
        <v>66</v>
      </c>
      <c r="Q25" s="767"/>
      <c r="R25" s="767"/>
      <c r="S25" s="767"/>
      <c r="T25" s="767"/>
      <c r="U25" s="767"/>
      <c r="V25" s="767" t="s">
        <v>66</v>
      </c>
      <c r="W25" s="767"/>
      <c r="X25" s="767"/>
      <c r="Y25" s="767"/>
      <c r="Z25" s="767"/>
      <c r="AA25" s="767"/>
      <c r="AB25" s="767"/>
      <c r="AC25" s="767"/>
      <c r="AD25" s="767" t="s">
        <v>66</v>
      </c>
      <c r="AE25" s="767"/>
      <c r="AF25" s="767"/>
      <c r="AG25" s="767"/>
      <c r="AH25" s="767"/>
      <c r="AI25" s="767"/>
      <c r="AJ25" s="767"/>
      <c r="AK25" s="767"/>
      <c r="AL25" s="767"/>
      <c r="AM25" s="767"/>
      <c r="AN25" s="767"/>
      <c r="AO25" s="767"/>
      <c r="AP25" s="766" t="s">
        <v>320</v>
      </c>
      <c r="AQ25" s="766"/>
      <c r="AR25" s="766"/>
      <c r="AS25" s="766"/>
      <c r="AT25" s="767" t="s">
        <v>13</v>
      </c>
      <c r="AU25" s="767"/>
      <c r="AV25" s="767"/>
      <c r="AW25" s="767"/>
      <c r="AX25" s="767"/>
    </row>
    <row r="26" spans="1:50" ht="22.5" customHeight="1">
      <c r="A26" s="771"/>
      <c r="B26" s="771"/>
      <c r="C26" s="771"/>
      <c r="D26" s="767" t="s">
        <v>731</v>
      </c>
      <c r="E26" s="767"/>
      <c r="F26" s="767"/>
      <c r="G26" s="767"/>
      <c r="H26" s="767"/>
      <c r="I26" s="767"/>
      <c r="J26" s="766"/>
      <c r="K26" s="766"/>
      <c r="L26" s="766"/>
      <c r="M26" s="766"/>
      <c r="N26" s="766"/>
      <c r="O26" s="766"/>
      <c r="P26" s="767" t="s">
        <v>729</v>
      </c>
      <c r="Q26" s="767"/>
      <c r="R26" s="767"/>
      <c r="S26" s="767"/>
      <c r="T26" s="767"/>
      <c r="U26" s="767"/>
      <c r="V26" s="767" t="s">
        <v>727</v>
      </c>
      <c r="W26" s="767"/>
      <c r="X26" s="767"/>
      <c r="Y26" s="767"/>
      <c r="Z26" s="767"/>
      <c r="AA26" s="767"/>
      <c r="AB26" s="767"/>
      <c r="AC26" s="767"/>
      <c r="AD26" s="767" t="s">
        <v>588</v>
      </c>
      <c r="AE26" s="767"/>
      <c r="AF26" s="767"/>
      <c r="AG26" s="767"/>
      <c r="AH26" s="767"/>
      <c r="AI26" s="767"/>
      <c r="AJ26" s="767"/>
      <c r="AK26" s="767"/>
      <c r="AL26" s="767"/>
      <c r="AM26" s="767"/>
      <c r="AN26" s="767"/>
      <c r="AO26" s="767"/>
      <c r="AP26" s="766"/>
      <c r="AQ26" s="766"/>
      <c r="AR26" s="766"/>
      <c r="AS26" s="766"/>
      <c r="AT26" s="767" t="s">
        <v>634</v>
      </c>
      <c r="AU26" s="767"/>
      <c r="AV26" s="767"/>
      <c r="AW26" s="767"/>
      <c r="AX26" s="767"/>
    </row>
    <row r="27" spans="1:50" ht="22.5" customHeight="1">
      <c r="A27" s="771"/>
      <c r="B27" s="771"/>
      <c r="C27" s="771"/>
      <c r="D27" s="767" t="s">
        <v>730</v>
      </c>
      <c r="E27" s="767"/>
      <c r="F27" s="767"/>
      <c r="G27" s="767"/>
      <c r="H27" s="767"/>
      <c r="I27" s="767"/>
      <c r="J27" s="766"/>
      <c r="K27" s="766"/>
      <c r="L27" s="766"/>
      <c r="M27" s="766"/>
      <c r="N27" s="766"/>
      <c r="O27" s="766"/>
      <c r="P27" s="767" t="s">
        <v>730</v>
      </c>
      <c r="Q27" s="767"/>
      <c r="R27" s="767"/>
      <c r="S27" s="767"/>
      <c r="T27" s="767"/>
      <c r="U27" s="767"/>
      <c r="V27" s="767" t="s">
        <v>728</v>
      </c>
      <c r="W27" s="767"/>
      <c r="X27" s="767"/>
      <c r="Y27" s="767"/>
      <c r="Z27" s="767"/>
      <c r="AA27" s="767"/>
      <c r="AB27" s="767"/>
      <c r="AC27" s="767"/>
      <c r="AD27" s="767" t="s">
        <v>298</v>
      </c>
      <c r="AE27" s="767"/>
      <c r="AF27" s="767"/>
      <c r="AG27" s="767"/>
      <c r="AH27" s="767"/>
      <c r="AI27" s="767"/>
      <c r="AJ27" s="767"/>
      <c r="AK27" s="767"/>
      <c r="AL27" s="767"/>
      <c r="AM27" s="767"/>
      <c r="AN27" s="767"/>
      <c r="AO27" s="767"/>
      <c r="AP27" s="766"/>
      <c r="AQ27" s="766"/>
      <c r="AR27" s="766"/>
      <c r="AS27" s="766"/>
      <c r="AT27" s="767" t="s">
        <v>75</v>
      </c>
      <c r="AU27" s="767"/>
      <c r="AV27" s="767"/>
      <c r="AW27" s="767"/>
      <c r="AX27" s="767"/>
    </row>
  </sheetData>
  <sheetProtection/>
  <mergeCells count="56">
    <mergeCell ref="D27:I27"/>
    <mergeCell ref="P27:U27"/>
    <mergeCell ref="V27:AC27"/>
    <mergeCell ref="AD27:AO27"/>
    <mergeCell ref="AT27:AX27"/>
    <mergeCell ref="AT25:AX25"/>
    <mergeCell ref="D26:I26"/>
    <mergeCell ref="P26:U26"/>
    <mergeCell ref="V26:AC26"/>
    <mergeCell ref="AD26:AO26"/>
    <mergeCell ref="AT26:AX26"/>
    <mergeCell ref="AH11:AS11"/>
    <mergeCell ref="AT11:AU11"/>
    <mergeCell ref="A24:AX24"/>
    <mergeCell ref="A25:C27"/>
    <mergeCell ref="D25:I25"/>
    <mergeCell ref="J25:O27"/>
    <mergeCell ref="P25:U25"/>
    <mergeCell ref="V25:AC25"/>
    <mergeCell ref="AD25:AO25"/>
    <mergeCell ref="AP25:AS27"/>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8"/>
  <drawing r:id="rId3"/>
  <legacy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X23"/>
  <sheetViews>
    <sheetView zoomScalePageLayoutView="0" workbookViewId="0" topLeftCell="V19">
      <selection activeCell="AV13" sqref="AV13:AX19"/>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1.28125" style="113" customWidth="1"/>
    <col min="49" max="50" width="24.421875" style="113" customWidth="1"/>
    <col min="51" max="16384" width="9.140625" style="289"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97" customFormat="1" ht="127.5" customHeight="1">
      <c r="A13" s="776" t="s">
        <v>690</v>
      </c>
      <c r="B13" s="125"/>
      <c r="C13" s="125"/>
      <c r="D13" s="125"/>
      <c r="E13" s="125"/>
      <c r="F13" s="125"/>
      <c r="G13" s="290" t="s">
        <v>691</v>
      </c>
      <c r="H13" s="125"/>
      <c r="I13" s="249" t="s">
        <v>692</v>
      </c>
      <c r="J13" s="291" t="s">
        <v>693</v>
      </c>
      <c r="K13" s="292" t="s">
        <v>452</v>
      </c>
      <c r="L13" s="293"/>
      <c r="M13" s="292" t="s">
        <v>432</v>
      </c>
      <c r="N13" s="291" t="s">
        <v>694</v>
      </c>
      <c r="O13" s="294"/>
      <c r="P13" s="294"/>
      <c r="Q13" s="294">
        <v>1</v>
      </c>
      <c r="R13" s="294"/>
      <c r="S13" s="294"/>
      <c r="T13" s="295" t="s">
        <v>433</v>
      </c>
      <c r="U13" s="296" t="s">
        <v>695</v>
      </c>
      <c r="V13" s="231"/>
      <c r="W13" s="231"/>
      <c r="X13" s="231">
        <v>1</v>
      </c>
      <c r="Y13" s="231"/>
      <c r="Z13" s="231"/>
      <c r="AA13" s="231">
        <v>1</v>
      </c>
      <c r="AB13" s="231"/>
      <c r="AC13" s="231"/>
      <c r="AD13" s="231">
        <v>1</v>
      </c>
      <c r="AE13" s="231"/>
      <c r="AF13" s="231"/>
      <c r="AG13" s="231">
        <v>1</v>
      </c>
      <c r="AH13" s="231"/>
      <c r="AI13" s="230"/>
      <c r="AJ13" s="231">
        <v>1</v>
      </c>
      <c r="AK13" s="230"/>
      <c r="AL13" s="230"/>
      <c r="AM13" s="231">
        <v>1</v>
      </c>
      <c r="AN13" s="230"/>
      <c r="AO13" s="230"/>
      <c r="AP13" s="230"/>
      <c r="AQ13" s="230"/>
      <c r="AR13" s="230"/>
      <c r="AS13" s="230"/>
      <c r="AT13" s="246"/>
      <c r="AU13" s="255"/>
      <c r="AV13" s="354" t="s">
        <v>836</v>
      </c>
      <c r="AW13" s="250" t="s">
        <v>837</v>
      </c>
      <c r="AX13" s="250" t="s">
        <v>411</v>
      </c>
    </row>
    <row r="14" spans="1:50" s="297" customFormat="1" ht="93" customHeight="1">
      <c r="A14" s="777"/>
      <c r="B14" s="125"/>
      <c r="C14" s="125"/>
      <c r="D14" s="125"/>
      <c r="E14" s="125"/>
      <c r="F14" s="125"/>
      <c r="G14" s="290" t="s">
        <v>691</v>
      </c>
      <c r="H14" s="125"/>
      <c r="I14" s="249" t="s">
        <v>696</v>
      </c>
      <c r="J14" s="298" t="s">
        <v>697</v>
      </c>
      <c r="K14" s="292" t="s">
        <v>468</v>
      </c>
      <c r="L14" s="125"/>
      <c r="M14" s="292" t="s">
        <v>432</v>
      </c>
      <c r="N14" s="291" t="s">
        <v>698</v>
      </c>
      <c r="O14" s="294"/>
      <c r="P14" s="294"/>
      <c r="Q14" s="294">
        <v>1</v>
      </c>
      <c r="R14" s="294"/>
      <c r="S14" s="294"/>
      <c r="T14" s="295" t="s">
        <v>433</v>
      </c>
      <c r="U14" s="291" t="s">
        <v>699</v>
      </c>
      <c r="V14" s="231"/>
      <c r="W14" s="231"/>
      <c r="X14" s="231">
        <v>1</v>
      </c>
      <c r="Y14" s="231"/>
      <c r="Z14" s="231"/>
      <c r="AA14" s="231">
        <v>1</v>
      </c>
      <c r="AB14" s="231"/>
      <c r="AC14" s="231"/>
      <c r="AD14" s="231">
        <v>1</v>
      </c>
      <c r="AE14" s="231"/>
      <c r="AF14" s="231"/>
      <c r="AG14" s="231">
        <v>1</v>
      </c>
      <c r="AH14" s="231"/>
      <c r="AI14" s="230"/>
      <c r="AJ14" s="231">
        <v>1</v>
      </c>
      <c r="AK14" s="230"/>
      <c r="AL14" s="230"/>
      <c r="AM14" s="231">
        <v>1</v>
      </c>
      <c r="AN14" s="230"/>
      <c r="AO14" s="230"/>
      <c r="AP14" s="230"/>
      <c r="AQ14" s="230"/>
      <c r="AR14" s="230"/>
      <c r="AS14" s="230"/>
      <c r="AT14" s="246"/>
      <c r="AU14" s="255"/>
      <c r="AV14" s="354" t="s">
        <v>838</v>
      </c>
      <c r="AW14" s="250" t="s">
        <v>837</v>
      </c>
      <c r="AX14" s="250" t="s">
        <v>411</v>
      </c>
    </row>
    <row r="15" spans="1:50" s="297" customFormat="1" ht="129" customHeight="1">
      <c r="A15" s="777"/>
      <c r="B15" s="125"/>
      <c r="C15" s="125"/>
      <c r="D15" s="125"/>
      <c r="E15" s="125"/>
      <c r="F15" s="125"/>
      <c r="G15" s="290" t="s">
        <v>691</v>
      </c>
      <c r="H15" s="125"/>
      <c r="I15" s="249" t="s">
        <v>700</v>
      </c>
      <c r="J15" s="291" t="s">
        <v>701</v>
      </c>
      <c r="K15" s="292" t="s">
        <v>702</v>
      </c>
      <c r="L15" s="230"/>
      <c r="M15" s="292" t="s">
        <v>432</v>
      </c>
      <c r="N15" s="291" t="s">
        <v>703</v>
      </c>
      <c r="O15" s="294"/>
      <c r="P15" s="294"/>
      <c r="Q15" s="294">
        <v>1</v>
      </c>
      <c r="R15" s="294"/>
      <c r="S15" s="294"/>
      <c r="T15" s="295" t="s">
        <v>433</v>
      </c>
      <c r="U15" s="291" t="s">
        <v>704</v>
      </c>
      <c r="V15" s="231"/>
      <c r="W15" s="231"/>
      <c r="X15" s="231">
        <v>1</v>
      </c>
      <c r="Y15" s="231"/>
      <c r="Z15" s="231"/>
      <c r="AA15" s="231">
        <v>1</v>
      </c>
      <c r="AB15" s="231"/>
      <c r="AC15" s="231"/>
      <c r="AD15" s="231">
        <v>1</v>
      </c>
      <c r="AE15" s="231"/>
      <c r="AF15" s="231"/>
      <c r="AG15" s="231">
        <v>1</v>
      </c>
      <c r="AH15" s="231"/>
      <c r="AI15" s="230"/>
      <c r="AJ15" s="231">
        <v>1</v>
      </c>
      <c r="AK15" s="230"/>
      <c r="AL15" s="230"/>
      <c r="AM15" s="231">
        <v>1</v>
      </c>
      <c r="AN15" s="230"/>
      <c r="AO15" s="230"/>
      <c r="AP15" s="230"/>
      <c r="AQ15" s="230"/>
      <c r="AR15" s="230"/>
      <c r="AS15" s="230"/>
      <c r="AT15" s="246"/>
      <c r="AU15" s="255"/>
      <c r="AV15" s="354" t="s">
        <v>839</v>
      </c>
      <c r="AW15" s="250" t="s">
        <v>837</v>
      </c>
      <c r="AX15" s="250" t="s">
        <v>411</v>
      </c>
    </row>
    <row r="16" spans="1:50" s="297" customFormat="1" ht="94.5" customHeight="1">
      <c r="A16" s="777"/>
      <c r="B16" s="125"/>
      <c r="C16" s="125"/>
      <c r="D16" s="125"/>
      <c r="E16" s="125"/>
      <c r="F16" s="125"/>
      <c r="G16" s="290" t="s">
        <v>691</v>
      </c>
      <c r="H16" s="125"/>
      <c r="I16" s="249" t="s">
        <v>705</v>
      </c>
      <c r="J16" s="291" t="s">
        <v>706</v>
      </c>
      <c r="K16" s="292" t="s">
        <v>702</v>
      </c>
      <c r="L16" s="230"/>
      <c r="M16" s="292" t="s">
        <v>432</v>
      </c>
      <c r="N16" s="291" t="s">
        <v>707</v>
      </c>
      <c r="O16" s="294"/>
      <c r="P16" s="294"/>
      <c r="Q16" s="294">
        <v>1</v>
      </c>
      <c r="R16" s="294"/>
      <c r="S16" s="294"/>
      <c r="T16" s="295" t="s">
        <v>433</v>
      </c>
      <c r="U16" s="291" t="s">
        <v>708</v>
      </c>
      <c r="V16" s="231"/>
      <c r="W16" s="231"/>
      <c r="X16" s="231">
        <v>1</v>
      </c>
      <c r="Y16" s="231"/>
      <c r="Z16" s="231"/>
      <c r="AA16" s="231">
        <v>1</v>
      </c>
      <c r="AB16" s="231"/>
      <c r="AC16" s="231"/>
      <c r="AD16" s="231">
        <v>1</v>
      </c>
      <c r="AE16" s="231"/>
      <c r="AF16" s="231"/>
      <c r="AG16" s="231">
        <v>1</v>
      </c>
      <c r="AH16" s="231"/>
      <c r="AI16" s="230"/>
      <c r="AJ16" s="231">
        <v>1</v>
      </c>
      <c r="AK16" s="230"/>
      <c r="AL16" s="230"/>
      <c r="AM16" s="231">
        <v>1</v>
      </c>
      <c r="AN16" s="230"/>
      <c r="AO16" s="230"/>
      <c r="AP16" s="230"/>
      <c r="AQ16" s="230"/>
      <c r="AR16" s="230"/>
      <c r="AS16" s="230"/>
      <c r="AT16" s="246"/>
      <c r="AU16" s="255"/>
      <c r="AV16" s="355" t="s">
        <v>840</v>
      </c>
      <c r="AW16" s="250" t="s">
        <v>837</v>
      </c>
      <c r="AX16" s="250" t="s">
        <v>411</v>
      </c>
    </row>
    <row r="17" spans="1:50" s="297" customFormat="1" ht="70.5" customHeight="1">
      <c r="A17" s="777"/>
      <c r="B17" s="125"/>
      <c r="C17" s="125"/>
      <c r="D17" s="125"/>
      <c r="E17" s="125"/>
      <c r="F17" s="125"/>
      <c r="G17" s="290" t="s">
        <v>691</v>
      </c>
      <c r="H17" s="125"/>
      <c r="I17" s="249" t="s">
        <v>709</v>
      </c>
      <c r="J17" s="291" t="s">
        <v>710</v>
      </c>
      <c r="K17" s="292" t="s">
        <v>702</v>
      </c>
      <c r="L17" s="230"/>
      <c r="M17" s="292" t="s">
        <v>432</v>
      </c>
      <c r="N17" s="291" t="s">
        <v>711</v>
      </c>
      <c r="O17" s="294"/>
      <c r="P17" s="294"/>
      <c r="Q17" s="294">
        <v>1</v>
      </c>
      <c r="R17" s="294"/>
      <c r="S17" s="294"/>
      <c r="T17" s="295" t="s">
        <v>433</v>
      </c>
      <c r="U17" s="291" t="s">
        <v>712</v>
      </c>
      <c r="V17" s="231"/>
      <c r="W17" s="231"/>
      <c r="X17" s="231">
        <v>1</v>
      </c>
      <c r="Y17" s="231"/>
      <c r="Z17" s="231"/>
      <c r="AA17" s="231">
        <v>1</v>
      </c>
      <c r="AB17" s="231"/>
      <c r="AC17" s="231"/>
      <c r="AD17" s="231">
        <v>1</v>
      </c>
      <c r="AE17" s="231"/>
      <c r="AF17" s="231"/>
      <c r="AG17" s="231">
        <v>1</v>
      </c>
      <c r="AH17" s="231"/>
      <c r="AI17" s="230"/>
      <c r="AJ17" s="231">
        <v>1</v>
      </c>
      <c r="AK17" s="230"/>
      <c r="AL17" s="230"/>
      <c r="AM17" s="231">
        <v>1</v>
      </c>
      <c r="AN17" s="230"/>
      <c r="AO17" s="230"/>
      <c r="AP17" s="230"/>
      <c r="AQ17" s="230"/>
      <c r="AR17" s="230"/>
      <c r="AS17" s="230"/>
      <c r="AT17" s="246"/>
      <c r="AU17" s="255"/>
      <c r="AV17" s="354" t="s">
        <v>841</v>
      </c>
      <c r="AW17" s="250" t="s">
        <v>837</v>
      </c>
      <c r="AX17" s="250" t="s">
        <v>411</v>
      </c>
    </row>
    <row r="18" spans="1:50" s="297" customFormat="1" ht="70.5" customHeight="1">
      <c r="A18" s="777"/>
      <c r="B18" s="125"/>
      <c r="C18" s="125"/>
      <c r="D18" s="125"/>
      <c r="E18" s="125"/>
      <c r="F18" s="125"/>
      <c r="G18" s="290" t="s">
        <v>691</v>
      </c>
      <c r="H18" s="125"/>
      <c r="I18" s="249" t="s">
        <v>713</v>
      </c>
      <c r="J18" s="291" t="s">
        <v>714</v>
      </c>
      <c r="K18" s="292" t="s">
        <v>702</v>
      </c>
      <c r="L18" s="240"/>
      <c r="M18" s="292" t="s">
        <v>432</v>
      </c>
      <c r="N18" s="291" t="s">
        <v>715</v>
      </c>
      <c r="O18" s="294"/>
      <c r="P18" s="294"/>
      <c r="Q18" s="294">
        <v>1</v>
      </c>
      <c r="R18" s="294"/>
      <c r="S18" s="294"/>
      <c r="T18" s="295" t="s">
        <v>433</v>
      </c>
      <c r="U18" s="291" t="s">
        <v>716</v>
      </c>
      <c r="V18" s="231"/>
      <c r="W18" s="231"/>
      <c r="X18" s="231">
        <v>1</v>
      </c>
      <c r="Y18" s="231"/>
      <c r="Z18" s="231"/>
      <c r="AA18" s="231">
        <v>1</v>
      </c>
      <c r="AB18" s="231"/>
      <c r="AC18" s="231"/>
      <c r="AD18" s="231">
        <v>1</v>
      </c>
      <c r="AE18" s="231"/>
      <c r="AF18" s="231"/>
      <c r="AG18" s="231">
        <v>1</v>
      </c>
      <c r="AH18" s="231"/>
      <c r="AI18" s="230"/>
      <c r="AJ18" s="231">
        <v>1</v>
      </c>
      <c r="AK18" s="230"/>
      <c r="AL18" s="230"/>
      <c r="AM18" s="231">
        <v>1</v>
      </c>
      <c r="AN18" s="230"/>
      <c r="AO18" s="230"/>
      <c r="AP18" s="230"/>
      <c r="AQ18" s="230"/>
      <c r="AR18" s="230"/>
      <c r="AS18" s="230"/>
      <c r="AT18" s="246"/>
      <c r="AU18" s="255"/>
      <c r="AV18" s="354" t="s">
        <v>842</v>
      </c>
      <c r="AW18" s="250" t="s">
        <v>837</v>
      </c>
      <c r="AX18" s="250" t="s">
        <v>411</v>
      </c>
    </row>
    <row r="19" spans="1:50" s="297" customFormat="1" ht="169.5" customHeight="1">
      <c r="A19" s="778"/>
      <c r="B19" s="125"/>
      <c r="C19" s="125"/>
      <c r="D19" s="125"/>
      <c r="E19" s="125"/>
      <c r="F19" s="125"/>
      <c r="G19" s="290" t="s">
        <v>691</v>
      </c>
      <c r="H19" s="125"/>
      <c r="I19" s="227" t="s">
        <v>717</v>
      </c>
      <c r="J19" s="291" t="s">
        <v>718</v>
      </c>
      <c r="K19" s="292" t="s">
        <v>468</v>
      </c>
      <c r="L19" s="230"/>
      <c r="M19" s="292" t="s">
        <v>432</v>
      </c>
      <c r="N19" s="291" t="s">
        <v>719</v>
      </c>
      <c r="O19" s="294"/>
      <c r="P19" s="294"/>
      <c r="Q19" s="294">
        <v>1</v>
      </c>
      <c r="R19" s="294"/>
      <c r="S19" s="294"/>
      <c r="T19" s="295" t="s">
        <v>433</v>
      </c>
      <c r="U19" s="291" t="s">
        <v>720</v>
      </c>
      <c r="V19" s="231"/>
      <c r="W19" s="231"/>
      <c r="X19" s="231">
        <v>0.25</v>
      </c>
      <c r="Y19" s="231"/>
      <c r="Z19" s="231"/>
      <c r="AA19" s="231">
        <v>0.25</v>
      </c>
      <c r="AB19" s="231"/>
      <c r="AC19" s="231"/>
      <c r="AD19" s="231">
        <v>0.25</v>
      </c>
      <c r="AE19" s="231"/>
      <c r="AF19" s="231"/>
      <c r="AG19" s="231">
        <v>0.25</v>
      </c>
      <c r="AH19" s="231"/>
      <c r="AI19" s="230"/>
      <c r="AJ19" s="231">
        <v>0.19</v>
      </c>
      <c r="AK19" s="230"/>
      <c r="AL19" s="230"/>
      <c r="AM19" s="231">
        <v>0.27</v>
      </c>
      <c r="AN19" s="230"/>
      <c r="AO19" s="230"/>
      <c r="AP19" s="230"/>
      <c r="AQ19" s="230"/>
      <c r="AR19" s="230"/>
      <c r="AS19" s="230"/>
      <c r="AT19" s="246"/>
      <c r="AU19" s="255"/>
      <c r="AV19" s="354" t="s">
        <v>843</v>
      </c>
      <c r="AW19" s="250" t="s">
        <v>837</v>
      </c>
      <c r="AX19" s="250" t="s">
        <v>411</v>
      </c>
    </row>
    <row r="20" spans="1:50" ht="13.5">
      <c r="A20" s="768" t="s">
        <v>295</v>
      </c>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c r="AO20" s="769"/>
      <c r="AP20" s="769"/>
      <c r="AQ20" s="769"/>
      <c r="AR20" s="769"/>
      <c r="AS20" s="769"/>
      <c r="AT20" s="769"/>
      <c r="AU20" s="769"/>
      <c r="AV20" s="769"/>
      <c r="AW20" s="769"/>
      <c r="AX20" s="770"/>
    </row>
    <row r="21" spans="1:50" s="113" customFormat="1" ht="45" customHeight="1">
      <c r="A21" s="771" t="s">
        <v>64</v>
      </c>
      <c r="B21" s="771"/>
      <c r="C21" s="771"/>
      <c r="D21" s="767" t="s">
        <v>66</v>
      </c>
      <c r="E21" s="767"/>
      <c r="F21" s="767"/>
      <c r="G21" s="767"/>
      <c r="H21" s="767"/>
      <c r="I21" s="767"/>
      <c r="J21" s="766" t="s">
        <v>302</v>
      </c>
      <c r="K21" s="766"/>
      <c r="L21" s="766"/>
      <c r="M21" s="766"/>
      <c r="N21" s="766"/>
      <c r="O21" s="766"/>
      <c r="P21" s="767" t="s">
        <v>66</v>
      </c>
      <c r="Q21" s="767"/>
      <c r="R21" s="767"/>
      <c r="S21" s="767"/>
      <c r="T21" s="767"/>
      <c r="U21" s="767"/>
      <c r="V21" s="767" t="s">
        <v>66</v>
      </c>
      <c r="W21" s="767"/>
      <c r="X21" s="767"/>
      <c r="Y21" s="767"/>
      <c r="Z21" s="767"/>
      <c r="AA21" s="767"/>
      <c r="AB21" s="767"/>
      <c r="AC21" s="767"/>
      <c r="AD21" s="767" t="s">
        <v>66</v>
      </c>
      <c r="AE21" s="767"/>
      <c r="AF21" s="767"/>
      <c r="AG21" s="767"/>
      <c r="AH21" s="767"/>
      <c r="AI21" s="767"/>
      <c r="AJ21" s="767"/>
      <c r="AK21" s="767"/>
      <c r="AL21" s="767"/>
      <c r="AM21" s="767"/>
      <c r="AN21" s="767"/>
      <c r="AO21" s="767"/>
      <c r="AP21" s="766" t="s">
        <v>320</v>
      </c>
      <c r="AQ21" s="766"/>
      <c r="AR21" s="766"/>
      <c r="AS21" s="766"/>
      <c r="AT21" s="767" t="s">
        <v>13</v>
      </c>
      <c r="AU21" s="767"/>
      <c r="AV21" s="767"/>
      <c r="AW21" s="767"/>
      <c r="AX21" s="767"/>
    </row>
    <row r="22" spans="1:50" s="113" customFormat="1" ht="22.5" customHeight="1">
      <c r="A22" s="771"/>
      <c r="B22" s="771"/>
      <c r="C22" s="771"/>
      <c r="D22" s="767" t="s">
        <v>736</v>
      </c>
      <c r="E22" s="767"/>
      <c r="F22" s="767"/>
      <c r="G22" s="767"/>
      <c r="H22" s="767"/>
      <c r="I22" s="767"/>
      <c r="J22" s="766"/>
      <c r="K22" s="766"/>
      <c r="L22" s="766"/>
      <c r="M22" s="766"/>
      <c r="N22" s="766"/>
      <c r="O22" s="766"/>
      <c r="P22" s="767" t="s">
        <v>750</v>
      </c>
      <c r="Q22" s="767"/>
      <c r="R22" s="767"/>
      <c r="S22" s="767"/>
      <c r="T22" s="767"/>
      <c r="U22" s="767"/>
      <c r="V22" s="767" t="s">
        <v>588</v>
      </c>
      <c r="W22" s="767"/>
      <c r="X22" s="767"/>
      <c r="Y22" s="767"/>
      <c r="Z22" s="767"/>
      <c r="AA22" s="767"/>
      <c r="AB22" s="767"/>
      <c r="AC22" s="767"/>
      <c r="AD22" s="767" t="s">
        <v>65</v>
      </c>
      <c r="AE22" s="767"/>
      <c r="AF22" s="767"/>
      <c r="AG22" s="767"/>
      <c r="AH22" s="767"/>
      <c r="AI22" s="767"/>
      <c r="AJ22" s="767"/>
      <c r="AK22" s="767"/>
      <c r="AL22" s="767"/>
      <c r="AM22" s="767"/>
      <c r="AN22" s="767"/>
      <c r="AO22" s="767"/>
      <c r="AP22" s="766"/>
      <c r="AQ22" s="766"/>
      <c r="AR22" s="766"/>
      <c r="AS22" s="766"/>
      <c r="AT22" s="767" t="s">
        <v>634</v>
      </c>
      <c r="AU22" s="767"/>
      <c r="AV22" s="767"/>
      <c r="AW22" s="767"/>
      <c r="AX22" s="767"/>
    </row>
    <row r="23" spans="1:50" s="113" customFormat="1" ht="22.5" customHeight="1">
      <c r="A23" s="771"/>
      <c r="B23" s="771"/>
      <c r="C23" s="771"/>
      <c r="D23" s="767" t="s">
        <v>737</v>
      </c>
      <c r="E23" s="767"/>
      <c r="F23" s="767"/>
      <c r="G23" s="767"/>
      <c r="H23" s="767"/>
      <c r="I23" s="767"/>
      <c r="J23" s="766"/>
      <c r="K23" s="766"/>
      <c r="L23" s="766"/>
      <c r="M23" s="766"/>
      <c r="N23" s="766"/>
      <c r="O23" s="766"/>
      <c r="P23" s="767" t="s">
        <v>735</v>
      </c>
      <c r="Q23" s="767"/>
      <c r="R23" s="767"/>
      <c r="S23" s="767"/>
      <c r="T23" s="767"/>
      <c r="U23" s="767"/>
      <c r="V23" s="767" t="s">
        <v>298</v>
      </c>
      <c r="W23" s="767"/>
      <c r="X23" s="767"/>
      <c r="Y23" s="767"/>
      <c r="Z23" s="767"/>
      <c r="AA23" s="767"/>
      <c r="AB23" s="767"/>
      <c r="AC23" s="767"/>
      <c r="AD23" s="767" t="s">
        <v>298</v>
      </c>
      <c r="AE23" s="767"/>
      <c r="AF23" s="767"/>
      <c r="AG23" s="767"/>
      <c r="AH23" s="767"/>
      <c r="AI23" s="767"/>
      <c r="AJ23" s="767"/>
      <c r="AK23" s="767"/>
      <c r="AL23" s="767"/>
      <c r="AM23" s="767"/>
      <c r="AN23" s="767"/>
      <c r="AO23" s="767"/>
      <c r="AP23" s="766"/>
      <c r="AQ23" s="766"/>
      <c r="AR23" s="766"/>
      <c r="AS23" s="766"/>
      <c r="AT23" s="767" t="s">
        <v>75</v>
      </c>
      <c r="AU23" s="767"/>
      <c r="AV23" s="767"/>
      <c r="AW23" s="767"/>
      <c r="AX23" s="767"/>
    </row>
  </sheetData>
  <sheetProtection/>
  <mergeCells count="57">
    <mergeCell ref="AD23:AO23"/>
    <mergeCell ref="AT23:AX23"/>
    <mergeCell ref="AP21:AS23"/>
    <mergeCell ref="AT21:AX21"/>
    <mergeCell ref="D22:I22"/>
    <mergeCell ref="P22:U22"/>
    <mergeCell ref="V22:AC22"/>
    <mergeCell ref="AD22:AO22"/>
    <mergeCell ref="AT22:AX22"/>
    <mergeCell ref="D23:I23"/>
    <mergeCell ref="P23:U23"/>
    <mergeCell ref="V23:AC23"/>
    <mergeCell ref="AH11:AS11"/>
    <mergeCell ref="AT11:AU11"/>
    <mergeCell ref="A13:A19"/>
    <mergeCell ref="A20:AX20"/>
    <mergeCell ref="A21:C23"/>
    <mergeCell ref="D21:I21"/>
    <mergeCell ref="J21:O23"/>
    <mergeCell ref="P21:U21"/>
    <mergeCell ref="V21:AC21"/>
    <mergeCell ref="AD21:AO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21"/>
  <drawing r:id="rId3"/>
  <legacyDrawing r:id="rId2"/>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1">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89"/>
      <c r="Z1" s="589"/>
      <c r="AA1" s="590"/>
      <c r="AB1" s="591" t="s">
        <v>18</v>
      </c>
      <c r="AC1" s="592"/>
      <c r="AD1" s="593"/>
    </row>
    <row r="2" spans="1:30"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5"/>
      <c r="Z2" s="595"/>
      <c r="AA2" s="596"/>
      <c r="AB2" s="597" t="s">
        <v>405</v>
      </c>
      <c r="AC2" s="598"/>
      <c r="AD2" s="599"/>
    </row>
    <row r="3" spans="1:30"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1"/>
      <c r="Z3" s="601"/>
      <c r="AA3" s="602"/>
      <c r="AB3" s="597" t="s">
        <v>404</v>
      </c>
      <c r="AC3" s="598"/>
      <c r="AD3" s="599"/>
    </row>
    <row r="4" spans="1:30" ht="21.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5"/>
      <c r="AB4" s="574" t="s">
        <v>176</v>
      </c>
      <c r="AC4" s="575"/>
      <c r="AD4" s="57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46" t="s">
        <v>294</v>
      </c>
      <c r="B7" s="547"/>
      <c r="C7" s="552"/>
      <c r="D7" s="531" t="s">
        <v>71</v>
      </c>
      <c r="E7" s="555"/>
      <c r="F7" s="555"/>
      <c r="G7" s="555"/>
      <c r="H7" s="532"/>
      <c r="I7" s="577">
        <v>44575</v>
      </c>
      <c r="J7" s="578"/>
      <c r="K7" s="531" t="s">
        <v>67</v>
      </c>
      <c r="L7" s="532"/>
      <c r="M7" s="583" t="s">
        <v>70</v>
      </c>
      <c r="N7" s="584"/>
      <c r="O7" s="564" t="s">
        <v>408</v>
      </c>
      <c r="P7" s="565"/>
      <c r="Q7" s="56"/>
      <c r="R7" s="56"/>
      <c r="S7" s="56"/>
      <c r="T7" s="56"/>
      <c r="U7" s="56"/>
      <c r="V7" s="56"/>
      <c r="W7" s="56"/>
      <c r="X7" s="56"/>
      <c r="Y7" s="56"/>
      <c r="Z7" s="57"/>
      <c r="AA7" s="56"/>
      <c r="AB7" s="56"/>
      <c r="AC7" s="62"/>
      <c r="AD7" s="63"/>
    </row>
    <row r="8" spans="1:30" ht="15">
      <c r="A8" s="548"/>
      <c r="B8" s="549"/>
      <c r="C8" s="553"/>
      <c r="D8" s="533"/>
      <c r="E8" s="556"/>
      <c r="F8" s="556"/>
      <c r="G8" s="556"/>
      <c r="H8" s="534"/>
      <c r="I8" s="579"/>
      <c r="J8" s="580"/>
      <c r="K8" s="533"/>
      <c r="L8" s="534"/>
      <c r="M8" s="566" t="s">
        <v>68</v>
      </c>
      <c r="N8" s="567"/>
      <c r="O8" s="568"/>
      <c r="P8" s="569"/>
      <c r="Q8" s="56"/>
      <c r="R8" s="56"/>
      <c r="S8" s="56"/>
      <c r="T8" s="56"/>
      <c r="U8" s="56"/>
      <c r="V8" s="56"/>
      <c r="W8" s="56"/>
      <c r="X8" s="56"/>
      <c r="Y8" s="56"/>
      <c r="Z8" s="57"/>
      <c r="AA8" s="56"/>
      <c r="AB8" s="56"/>
      <c r="AC8" s="62"/>
      <c r="AD8" s="63"/>
    </row>
    <row r="9" spans="1:30" ht="15.75" thickBot="1">
      <c r="A9" s="550"/>
      <c r="B9" s="551"/>
      <c r="C9" s="554"/>
      <c r="D9" s="535"/>
      <c r="E9" s="557"/>
      <c r="F9" s="557"/>
      <c r="G9" s="557"/>
      <c r="H9" s="536"/>
      <c r="I9" s="581"/>
      <c r="J9" s="582"/>
      <c r="K9" s="535"/>
      <c r="L9" s="536"/>
      <c r="M9" s="570" t="s">
        <v>69</v>
      </c>
      <c r="N9" s="571"/>
      <c r="O9" s="572"/>
      <c r="P9" s="57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1" t="s">
        <v>0</v>
      </c>
      <c r="B11" s="532"/>
      <c r="C11" s="537"/>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c r="A12" s="533"/>
      <c r="B12" s="534"/>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c r="A13" s="535"/>
      <c r="B13" s="536"/>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22" t="s">
        <v>77</v>
      </c>
      <c r="B15" s="523"/>
      <c r="C15" s="518"/>
      <c r="D15" s="519"/>
      <c r="E15" s="519"/>
      <c r="F15" s="519"/>
      <c r="G15" s="519"/>
      <c r="H15" s="519"/>
      <c r="I15" s="519"/>
      <c r="J15" s="519"/>
      <c r="K15" s="520"/>
      <c r="L15" s="558" t="s">
        <v>73</v>
      </c>
      <c r="M15" s="559"/>
      <c r="N15" s="559"/>
      <c r="O15" s="559"/>
      <c r="P15" s="559"/>
      <c r="Q15" s="560"/>
      <c r="R15" s="561"/>
      <c r="S15" s="562"/>
      <c r="T15" s="562"/>
      <c r="U15" s="562"/>
      <c r="V15" s="562"/>
      <c r="W15" s="562"/>
      <c r="X15" s="563"/>
      <c r="Y15" s="558" t="s">
        <v>72</v>
      </c>
      <c r="Z15" s="560"/>
      <c r="AA15" s="518"/>
      <c r="AB15" s="519"/>
      <c r="AC15" s="519"/>
      <c r="AD15" s="520"/>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22" t="s">
        <v>79</v>
      </c>
      <c r="B17" s="523"/>
      <c r="C17" s="524"/>
      <c r="D17" s="525"/>
      <c r="E17" s="525"/>
      <c r="F17" s="525"/>
      <c r="G17" s="525"/>
      <c r="H17" s="525"/>
      <c r="I17" s="525"/>
      <c r="J17" s="525"/>
      <c r="K17" s="525"/>
      <c r="L17" s="525"/>
      <c r="M17" s="525"/>
      <c r="N17" s="525"/>
      <c r="O17" s="525"/>
      <c r="P17" s="525"/>
      <c r="Q17" s="526"/>
      <c r="R17" s="509" t="s">
        <v>378</v>
      </c>
      <c r="S17" s="510"/>
      <c r="T17" s="510"/>
      <c r="U17" s="510"/>
      <c r="V17" s="511"/>
      <c r="W17" s="810"/>
      <c r="X17" s="811"/>
      <c r="Y17" s="510" t="s">
        <v>15</v>
      </c>
      <c r="Z17" s="510"/>
      <c r="AA17" s="510"/>
      <c r="AB17" s="511"/>
      <c r="AC17" s="529"/>
      <c r="AD17" s="5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09" t="s">
        <v>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1"/>
      <c r="AE19" s="86"/>
      <c r="AF19" s="86"/>
    </row>
    <row r="20" spans="1:32" ht="31.5" customHeight="1" thickBot="1">
      <c r="A20" s="85"/>
      <c r="B20" s="62"/>
      <c r="C20" s="512" t="s">
        <v>380</v>
      </c>
      <c r="D20" s="513"/>
      <c r="E20" s="513"/>
      <c r="F20" s="513"/>
      <c r="G20" s="513"/>
      <c r="H20" s="513"/>
      <c r="I20" s="513"/>
      <c r="J20" s="513"/>
      <c r="K20" s="513"/>
      <c r="L20" s="513"/>
      <c r="M20" s="513"/>
      <c r="N20" s="513"/>
      <c r="O20" s="513"/>
      <c r="P20" s="514"/>
      <c r="Q20" s="515" t="s">
        <v>381</v>
      </c>
      <c r="R20" s="516"/>
      <c r="S20" s="516"/>
      <c r="T20" s="516"/>
      <c r="U20" s="516"/>
      <c r="V20" s="516"/>
      <c r="W20" s="516"/>
      <c r="X20" s="516"/>
      <c r="Y20" s="516"/>
      <c r="Z20" s="516"/>
      <c r="AA20" s="516"/>
      <c r="AB20" s="516"/>
      <c r="AC20" s="516"/>
      <c r="AD20" s="517"/>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386</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386</v>
      </c>
      <c r="AE21" s="4"/>
      <c r="AF21" s="4"/>
    </row>
    <row r="22" spans="1:32" ht="31.5" customHeight="1">
      <c r="A22" s="442" t="s">
        <v>382</v>
      </c>
      <c r="B22" s="447"/>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43" t="s">
        <v>383</v>
      </c>
      <c r="B23" s="450"/>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43" t="s">
        <v>384</v>
      </c>
      <c r="B24" s="450"/>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498" t="s">
        <v>385</v>
      </c>
      <c r="B25" s="499"/>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0" t="s">
        <v>76</v>
      </c>
      <c r="B27" s="501"/>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3"/>
    </row>
    <row r="28" spans="1:30" ht="15" customHeight="1">
      <c r="A28" s="504" t="s">
        <v>190</v>
      </c>
      <c r="B28" s="506" t="s">
        <v>6</v>
      </c>
      <c r="C28" s="507"/>
      <c r="D28" s="450" t="s">
        <v>402</v>
      </c>
      <c r="E28" s="451"/>
      <c r="F28" s="451"/>
      <c r="G28" s="451"/>
      <c r="H28" s="451"/>
      <c r="I28" s="451"/>
      <c r="J28" s="451"/>
      <c r="K28" s="451"/>
      <c r="L28" s="451"/>
      <c r="M28" s="451"/>
      <c r="N28" s="451"/>
      <c r="O28" s="508"/>
      <c r="P28" s="494" t="s">
        <v>8</v>
      </c>
      <c r="Q28" s="494" t="s">
        <v>84</v>
      </c>
      <c r="R28" s="494"/>
      <c r="S28" s="494"/>
      <c r="T28" s="494"/>
      <c r="U28" s="494"/>
      <c r="V28" s="494"/>
      <c r="W28" s="494"/>
      <c r="X28" s="494"/>
      <c r="Y28" s="494"/>
      <c r="Z28" s="494"/>
      <c r="AA28" s="494"/>
      <c r="AB28" s="494"/>
      <c r="AC28" s="494"/>
      <c r="AD28" s="496"/>
    </row>
    <row r="29" spans="1:30" ht="27" customHeight="1">
      <c r="A29" s="505"/>
      <c r="B29" s="462"/>
      <c r="C29" s="497"/>
      <c r="D29" s="173" t="s">
        <v>39</v>
      </c>
      <c r="E29" s="173" t="s">
        <v>40</v>
      </c>
      <c r="F29" s="173" t="s">
        <v>41</v>
      </c>
      <c r="G29" s="173" t="s">
        <v>42</v>
      </c>
      <c r="H29" s="173" t="s">
        <v>43</v>
      </c>
      <c r="I29" s="173" t="s">
        <v>44</v>
      </c>
      <c r="J29" s="173" t="s">
        <v>45</v>
      </c>
      <c r="K29" s="173" t="s">
        <v>46</v>
      </c>
      <c r="L29" s="173" t="s">
        <v>47</v>
      </c>
      <c r="M29" s="173" t="s">
        <v>48</v>
      </c>
      <c r="N29" s="173" t="s">
        <v>49</v>
      </c>
      <c r="O29" s="173" t="s">
        <v>50</v>
      </c>
      <c r="P29" s="508"/>
      <c r="Q29" s="494"/>
      <c r="R29" s="494"/>
      <c r="S29" s="494"/>
      <c r="T29" s="494"/>
      <c r="U29" s="494"/>
      <c r="V29" s="494"/>
      <c r="W29" s="494"/>
      <c r="X29" s="494"/>
      <c r="Y29" s="494"/>
      <c r="Z29" s="494"/>
      <c r="AA29" s="494"/>
      <c r="AB29" s="494"/>
      <c r="AC29" s="494"/>
      <c r="AD29" s="496"/>
    </row>
    <row r="30" spans="1:30" ht="81" customHeight="1" thickBot="1">
      <c r="A30" s="218">
        <f>C17</f>
        <v>0</v>
      </c>
      <c r="B30" s="487" t="s">
        <v>411</v>
      </c>
      <c r="C30" s="488"/>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489" t="s">
        <v>297</v>
      </c>
      <c r="R30" s="489"/>
      <c r="S30" s="489"/>
      <c r="T30" s="489"/>
      <c r="U30" s="489"/>
      <c r="V30" s="489"/>
      <c r="W30" s="489"/>
      <c r="X30" s="489"/>
      <c r="Y30" s="489"/>
      <c r="Z30" s="489"/>
      <c r="AA30" s="489"/>
      <c r="AB30" s="489"/>
      <c r="AC30" s="489"/>
      <c r="AD30" s="490"/>
    </row>
    <row r="31" spans="1:30" ht="45" customHeight="1">
      <c r="A31" s="491" t="s">
        <v>293</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3"/>
    </row>
    <row r="32" spans="1:41" ht="22.5" customHeight="1">
      <c r="A32" s="443" t="s">
        <v>191</v>
      </c>
      <c r="B32" s="494" t="s">
        <v>62</v>
      </c>
      <c r="C32" s="494" t="s">
        <v>6</v>
      </c>
      <c r="D32" s="494" t="s">
        <v>60</v>
      </c>
      <c r="E32" s="494"/>
      <c r="F32" s="494"/>
      <c r="G32" s="494"/>
      <c r="H32" s="494"/>
      <c r="I32" s="494"/>
      <c r="J32" s="494"/>
      <c r="K32" s="494"/>
      <c r="L32" s="494"/>
      <c r="M32" s="494"/>
      <c r="N32" s="494"/>
      <c r="O32" s="494"/>
      <c r="P32" s="494"/>
      <c r="Q32" s="494" t="s">
        <v>85</v>
      </c>
      <c r="R32" s="494"/>
      <c r="S32" s="494"/>
      <c r="T32" s="494"/>
      <c r="U32" s="494"/>
      <c r="V32" s="494"/>
      <c r="W32" s="494"/>
      <c r="X32" s="494"/>
      <c r="Y32" s="494"/>
      <c r="Z32" s="494"/>
      <c r="AA32" s="494"/>
      <c r="AB32" s="494"/>
      <c r="AC32" s="494"/>
      <c r="AD32" s="496"/>
      <c r="AG32" s="90"/>
      <c r="AH32" s="90"/>
      <c r="AI32" s="90"/>
      <c r="AJ32" s="90"/>
      <c r="AK32" s="90"/>
      <c r="AL32" s="90"/>
      <c r="AM32" s="90"/>
      <c r="AN32" s="90"/>
      <c r="AO32" s="90"/>
    </row>
    <row r="33" spans="1:41" ht="22.5" customHeight="1">
      <c r="A33" s="443"/>
      <c r="B33" s="494"/>
      <c r="C33" s="495"/>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462" t="s">
        <v>80</v>
      </c>
      <c r="R33" s="463"/>
      <c r="S33" s="463"/>
      <c r="T33" s="463"/>
      <c r="U33" s="463"/>
      <c r="V33" s="497"/>
      <c r="W33" s="462" t="s">
        <v>81</v>
      </c>
      <c r="X33" s="463"/>
      <c r="Y33" s="463"/>
      <c r="Z33" s="497"/>
      <c r="AA33" s="462" t="s">
        <v>82</v>
      </c>
      <c r="AB33" s="463"/>
      <c r="AC33" s="463"/>
      <c r="AD33" s="464"/>
      <c r="AG33" s="90"/>
      <c r="AH33" s="90"/>
      <c r="AI33" s="90"/>
      <c r="AJ33" s="90"/>
      <c r="AK33" s="90"/>
      <c r="AL33" s="90"/>
      <c r="AM33" s="90"/>
      <c r="AN33" s="90"/>
      <c r="AO33" s="90"/>
    </row>
    <row r="34" spans="1:41" ht="42" customHeight="1">
      <c r="A34" s="465">
        <f>A30</f>
        <v>0</v>
      </c>
      <c r="B34" s="801"/>
      <c r="C34" s="93" t="s">
        <v>9</v>
      </c>
      <c r="D34" s="92"/>
      <c r="E34" s="92"/>
      <c r="F34" s="92"/>
      <c r="G34" s="92"/>
      <c r="H34" s="92"/>
      <c r="I34" s="92"/>
      <c r="J34" s="92"/>
      <c r="K34" s="92"/>
      <c r="L34" s="92"/>
      <c r="M34" s="92"/>
      <c r="N34" s="92"/>
      <c r="O34" s="92"/>
      <c r="P34" s="213">
        <f>SUM(D34:O34)</f>
        <v>0</v>
      </c>
      <c r="Q34" s="802" t="s">
        <v>193</v>
      </c>
      <c r="R34" s="803"/>
      <c r="S34" s="803"/>
      <c r="T34" s="803"/>
      <c r="U34" s="803"/>
      <c r="V34" s="804"/>
      <c r="W34" s="802" t="s">
        <v>194</v>
      </c>
      <c r="X34" s="803"/>
      <c r="Y34" s="803"/>
      <c r="Z34" s="804"/>
      <c r="AA34" s="802" t="s">
        <v>195</v>
      </c>
      <c r="AB34" s="803"/>
      <c r="AC34" s="803"/>
      <c r="AD34" s="808"/>
      <c r="AG34" s="90"/>
      <c r="AH34" s="90"/>
      <c r="AI34" s="90"/>
      <c r="AJ34" s="90"/>
      <c r="AK34" s="90"/>
      <c r="AL34" s="90"/>
      <c r="AM34" s="90"/>
      <c r="AN34" s="90"/>
      <c r="AO34" s="90"/>
    </row>
    <row r="35" spans="1:41" ht="42" customHeight="1" thickBot="1">
      <c r="A35" s="466"/>
      <c r="B35" s="607"/>
      <c r="C35" s="94" t="s">
        <v>10</v>
      </c>
      <c r="D35" s="95"/>
      <c r="E35" s="95"/>
      <c r="F35" s="95"/>
      <c r="G35" s="96"/>
      <c r="H35" s="96"/>
      <c r="I35" s="96"/>
      <c r="J35" s="96"/>
      <c r="K35" s="96"/>
      <c r="L35" s="96"/>
      <c r="M35" s="96"/>
      <c r="N35" s="96"/>
      <c r="O35" s="96"/>
      <c r="P35" s="178">
        <f>SUM(D35:O35)</f>
        <v>0</v>
      </c>
      <c r="Q35" s="805"/>
      <c r="R35" s="806"/>
      <c r="S35" s="806"/>
      <c r="T35" s="806"/>
      <c r="U35" s="806"/>
      <c r="V35" s="807"/>
      <c r="W35" s="805"/>
      <c r="X35" s="806"/>
      <c r="Y35" s="806"/>
      <c r="Z35" s="807"/>
      <c r="AA35" s="805"/>
      <c r="AB35" s="806"/>
      <c r="AC35" s="806"/>
      <c r="AD35" s="809"/>
      <c r="AE35" s="50"/>
      <c r="AF35" s="97"/>
      <c r="AG35" s="90"/>
      <c r="AH35" s="90"/>
      <c r="AI35" s="90"/>
      <c r="AJ35" s="90"/>
      <c r="AK35" s="90"/>
      <c r="AL35" s="90"/>
      <c r="AM35" s="90"/>
      <c r="AN35" s="90"/>
      <c r="AO35" s="90"/>
    </row>
    <row r="36" spans="1:41" ht="25.5" customHeight="1">
      <c r="A36" s="442" t="s">
        <v>192</v>
      </c>
      <c r="B36" s="444" t="s">
        <v>61</v>
      </c>
      <c r="C36" s="446" t="s">
        <v>11</v>
      </c>
      <c r="D36" s="446"/>
      <c r="E36" s="446"/>
      <c r="F36" s="446"/>
      <c r="G36" s="446"/>
      <c r="H36" s="446"/>
      <c r="I36" s="446"/>
      <c r="J36" s="446"/>
      <c r="K36" s="446"/>
      <c r="L36" s="446"/>
      <c r="M36" s="446"/>
      <c r="N36" s="446"/>
      <c r="O36" s="446"/>
      <c r="P36" s="446"/>
      <c r="Q36" s="447" t="s">
        <v>78</v>
      </c>
      <c r="R36" s="448"/>
      <c r="S36" s="448"/>
      <c r="T36" s="448"/>
      <c r="U36" s="448"/>
      <c r="V36" s="448"/>
      <c r="W36" s="448"/>
      <c r="X36" s="448"/>
      <c r="Y36" s="448"/>
      <c r="Z36" s="448"/>
      <c r="AA36" s="448"/>
      <c r="AB36" s="448"/>
      <c r="AC36" s="448"/>
      <c r="AD36" s="449"/>
      <c r="AG36" s="90"/>
      <c r="AH36" s="90"/>
      <c r="AI36" s="90"/>
      <c r="AJ36" s="90"/>
      <c r="AK36" s="90"/>
      <c r="AL36" s="90"/>
      <c r="AM36" s="90"/>
      <c r="AN36" s="90"/>
      <c r="AO36" s="90"/>
    </row>
    <row r="37" spans="1:41" ht="25.5" customHeight="1">
      <c r="A37" s="443"/>
      <c r="B37" s="445"/>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450" t="s">
        <v>83</v>
      </c>
      <c r="R37" s="451"/>
      <c r="S37" s="451"/>
      <c r="T37" s="451"/>
      <c r="U37" s="451"/>
      <c r="V37" s="451"/>
      <c r="W37" s="451"/>
      <c r="X37" s="451"/>
      <c r="Y37" s="451"/>
      <c r="Z37" s="451"/>
      <c r="AA37" s="451"/>
      <c r="AB37" s="451"/>
      <c r="AC37" s="451"/>
      <c r="AD37" s="452"/>
      <c r="AG37" s="98"/>
      <c r="AH37" s="98"/>
      <c r="AI37" s="98"/>
      <c r="AJ37" s="98"/>
      <c r="AK37" s="98"/>
      <c r="AL37" s="98"/>
      <c r="AM37" s="98"/>
      <c r="AN37" s="98"/>
      <c r="AO37" s="98"/>
    </row>
    <row r="38" spans="1:41" ht="28.5" customHeight="1">
      <c r="A38" s="453"/>
      <c r="B38" s="794"/>
      <c r="C38" s="93" t="s">
        <v>9</v>
      </c>
      <c r="D38" s="99"/>
      <c r="E38" s="99"/>
      <c r="F38" s="99"/>
      <c r="G38" s="99"/>
      <c r="H38" s="99"/>
      <c r="I38" s="99"/>
      <c r="J38" s="99"/>
      <c r="K38" s="99"/>
      <c r="L38" s="99"/>
      <c r="M38" s="99"/>
      <c r="N38" s="99"/>
      <c r="O38" s="99"/>
      <c r="P38" s="100">
        <f aca="true" t="shared" si="0" ref="P38:P45">SUM(D38:O38)</f>
        <v>0</v>
      </c>
      <c r="Q38" s="795" t="s">
        <v>287</v>
      </c>
      <c r="R38" s="796"/>
      <c r="S38" s="796"/>
      <c r="T38" s="796"/>
      <c r="U38" s="796"/>
      <c r="V38" s="796"/>
      <c r="W38" s="796"/>
      <c r="X38" s="796"/>
      <c r="Y38" s="796"/>
      <c r="Z38" s="796"/>
      <c r="AA38" s="796"/>
      <c r="AB38" s="796"/>
      <c r="AC38" s="796"/>
      <c r="AD38" s="797"/>
      <c r="AE38" s="101"/>
      <c r="AG38" s="102"/>
      <c r="AH38" s="102"/>
      <c r="AI38" s="102"/>
      <c r="AJ38" s="102"/>
      <c r="AK38" s="102"/>
      <c r="AL38" s="102"/>
      <c r="AM38" s="102"/>
      <c r="AN38" s="102"/>
      <c r="AO38" s="102"/>
    </row>
    <row r="39" spans="1:31" ht="28.5" customHeight="1">
      <c r="A39" s="454"/>
      <c r="B39" s="788"/>
      <c r="C39" s="103" t="s">
        <v>10</v>
      </c>
      <c r="D39" s="104"/>
      <c r="E39" s="104"/>
      <c r="F39" s="104"/>
      <c r="G39" s="104"/>
      <c r="H39" s="104"/>
      <c r="I39" s="104"/>
      <c r="J39" s="104"/>
      <c r="K39" s="104"/>
      <c r="L39" s="104"/>
      <c r="M39" s="104"/>
      <c r="N39" s="104"/>
      <c r="O39" s="104"/>
      <c r="P39" s="105">
        <f t="shared" si="0"/>
        <v>0</v>
      </c>
      <c r="Q39" s="798"/>
      <c r="R39" s="799"/>
      <c r="S39" s="799"/>
      <c r="T39" s="799"/>
      <c r="U39" s="799"/>
      <c r="V39" s="799"/>
      <c r="W39" s="799"/>
      <c r="X39" s="799"/>
      <c r="Y39" s="799"/>
      <c r="Z39" s="799"/>
      <c r="AA39" s="799"/>
      <c r="AB39" s="799"/>
      <c r="AC39" s="799"/>
      <c r="AD39" s="800"/>
      <c r="AE39" s="101"/>
    </row>
    <row r="40" spans="1:31" ht="28.5" customHeight="1">
      <c r="A40" s="454"/>
      <c r="B40" s="780"/>
      <c r="C40" s="106" t="s">
        <v>9</v>
      </c>
      <c r="D40" s="107"/>
      <c r="E40" s="107"/>
      <c r="F40" s="107"/>
      <c r="G40" s="107"/>
      <c r="H40" s="107"/>
      <c r="I40" s="107"/>
      <c r="J40" s="107"/>
      <c r="K40" s="107"/>
      <c r="L40" s="107"/>
      <c r="M40" s="107"/>
      <c r="N40" s="107"/>
      <c r="O40" s="107"/>
      <c r="P40" s="105">
        <f t="shared" si="0"/>
        <v>0</v>
      </c>
      <c r="Q40" s="782"/>
      <c r="R40" s="783"/>
      <c r="S40" s="783"/>
      <c r="T40" s="783"/>
      <c r="U40" s="783"/>
      <c r="V40" s="783"/>
      <c r="W40" s="783"/>
      <c r="X40" s="783"/>
      <c r="Y40" s="783"/>
      <c r="Z40" s="783"/>
      <c r="AA40" s="783"/>
      <c r="AB40" s="783"/>
      <c r="AC40" s="783"/>
      <c r="AD40" s="784"/>
      <c r="AE40" s="101"/>
    </row>
    <row r="41" spans="1:31" ht="28.5" customHeight="1">
      <c r="A41" s="454"/>
      <c r="B41" s="788"/>
      <c r="C41" s="103" t="s">
        <v>10</v>
      </c>
      <c r="D41" s="104"/>
      <c r="E41" s="104"/>
      <c r="F41" s="104"/>
      <c r="G41" s="104"/>
      <c r="H41" s="104"/>
      <c r="I41" s="104"/>
      <c r="J41" s="104"/>
      <c r="K41" s="104"/>
      <c r="L41" s="108"/>
      <c r="M41" s="108"/>
      <c r="N41" s="108"/>
      <c r="O41" s="108"/>
      <c r="P41" s="105">
        <f t="shared" si="0"/>
        <v>0</v>
      </c>
      <c r="Q41" s="789"/>
      <c r="R41" s="790"/>
      <c r="S41" s="790"/>
      <c r="T41" s="790"/>
      <c r="U41" s="790"/>
      <c r="V41" s="790"/>
      <c r="W41" s="790"/>
      <c r="X41" s="790"/>
      <c r="Y41" s="790"/>
      <c r="Z41" s="790"/>
      <c r="AA41" s="790"/>
      <c r="AB41" s="790"/>
      <c r="AC41" s="790"/>
      <c r="AD41" s="791"/>
      <c r="AE41" s="101"/>
    </row>
    <row r="42" spans="1:31" ht="28.5" customHeight="1">
      <c r="A42" s="792"/>
      <c r="B42" s="780"/>
      <c r="C42" s="106" t="s">
        <v>9</v>
      </c>
      <c r="D42" s="107"/>
      <c r="E42" s="107"/>
      <c r="F42" s="107"/>
      <c r="G42" s="107"/>
      <c r="H42" s="107"/>
      <c r="I42" s="107"/>
      <c r="J42" s="107"/>
      <c r="K42" s="107"/>
      <c r="L42" s="107"/>
      <c r="M42" s="107"/>
      <c r="N42" s="107"/>
      <c r="O42" s="107"/>
      <c r="P42" s="105">
        <f t="shared" si="0"/>
        <v>0</v>
      </c>
      <c r="Q42" s="782"/>
      <c r="R42" s="783"/>
      <c r="S42" s="783"/>
      <c r="T42" s="783"/>
      <c r="U42" s="783"/>
      <c r="V42" s="783"/>
      <c r="W42" s="783"/>
      <c r="X42" s="783"/>
      <c r="Y42" s="783"/>
      <c r="Z42" s="783"/>
      <c r="AA42" s="783"/>
      <c r="AB42" s="783"/>
      <c r="AC42" s="783"/>
      <c r="AD42" s="784"/>
      <c r="AE42" s="101"/>
    </row>
    <row r="43" spans="1:31" ht="28.5" customHeight="1">
      <c r="A43" s="793"/>
      <c r="B43" s="788"/>
      <c r="C43" s="103" t="s">
        <v>10</v>
      </c>
      <c r="D43" s="104"/>
      <c r="E43" s="104"/>
      <c r="F43" s="104"/>
      <c r="G43" s="109"/>
      <c r="H43" s="104"/>
      <c r="I43" s="104"/>
      <c r="J43" s="104"/>
      <c r="K43" s="104"/>
      <c r="L43" s="108"/>
      <c r="M43" s="108"/>
      <c r="N43" s="108"/>
      <c r="O43" s="108"/>
      <c r="P43" s="105">
        <f t="shared" si="0"/>
        <v>0</v>
      </c>
      <c r="Q43" s="789"/>
      <c r="R43" s="790"/>
      <c r="S43" s="790"/>
      <c r="T43" s="790"/>
      <c r="U43" s="790"/>
      <c r="V43" s="790"/>
      <c r="W43" s="790"/>
      <c r="X43" s="790"/>
      <c r="Y43" s="790"/>
      <c r="Z43" s="790"/>
      <c r="AA43" s="790"/>
      <c r="AB43" s="790"/>
      <c r="AC43" s="790"/>
      <c r="AD43" s="791"/>
      <c r="AE43" s="101"/>
    </row>
    <row r="44" spans="1:31" ht="28.5" customHeight="1">
      <c r="A44" s="424"/>
      <c r="B44" s="780"/>
      <c r="C44" s="106" t="s">
        <v>9</v>
      </c>
      <c r="D44" s="107"/>
      <c r="E44" s="107"/>
      <c r="F44" s="107"/>
      <c r="G44" s="107"/>
      <c r="H44" s="107"/>
      <c r="I44" s="107"/>
      <c r="J44" s="107"/>
      <c r="K44" s="107"/>
      <c r="L44" s="107"/>
      <c r="M44" s="107"/>
      <c r="N44" s="107"/>
      <c r="O44" s="107"/>
      <c r="P44" s="105">
        <f t="shared" si="0"/>
        <v>0</v>
      </c>
      <c r="Q44" s="782"/>
      <c r="R44" s="783"/>
      <c r="S44" s="783"/>
      <c r="T44" s="783"/>
      <c r="U44" s="783"/>
      <c r="V44" s="783"/>
      <c r="W44" s="783"/>
      <c r="X44" s="783"/>
      <c r="Y44" s="783"/>
      <c r="Z44" s="783"/>
      <c r="AA44" s="783"/>
      <c r="AB44" s="783"/>
      <c r="AC44" s="783"/>
      <c r="AD44" s="784"/>
      <c r="AE44" s="101"/>
    </row>
    <row r="45" spans="1:31" ht="28.5" customHeight="1" thickBot="1">
      <c r="A45" s="779"/>
      <c r="B45" s="781"/>
      <c r="C45" s="94" t="s">
        <v>10</v>
      </c>
      <c r="D45" s="110"/>
      <c r="E45" s="110"/>
      <c r="F45" s="110"/>
      <c r="G45" s="110"/>
      <c r="H45" s="110"/>
      <c r="I45" s="110"/>
      <c r="J45" s="110"/>
      <c r="K45" s="110"/>
      <c r="L45" s="111"/>
      <c r="M45" s="111"/>
      <c r="N45" s="111"/>
      <c r="O45" s="111"/>
      <c r="P45" s="112">
        <f t="shared" si="0"/>
        <v>0</v>
      </c>
      <c r="Q45" s="785"/>
      <c r="R45" s="786"/>
      <c r="S45" s="786"/>
      <c r="T45" s="786"/>
      <c r="U45" s="786"/>
      <c r="V45" s="786"/>
      <c r="W45" s="786"/>
      <c r="X45" s="786"/>
      <c r="Y45" s="786"/>
      <c r="Z45" s="786"/>
      <c r="AA45" s="786"/>
      <c r="AB45" s="786"/>
      <c r="AC45" s="786"/>
      <c r="AD45" s="787"/>
      <c r="AE45" s="101"/>
    </row>
    <row r="46" ht="15">
      <c r="A46" s="52" t="s">
        <v>295</v>
      </c>
    </row>
  </sheetData>
  <sheetProtection/>
  <mergeCells count="80">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'Metas 1 PA proyecto'!$C$21:$N$21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9.140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9.140625" style="52" customWidth="1"/>
  </cols>
  <sheetData>
    <row r="1" spans="1:28"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90"/>
      <c r="Z1" s="591" t="s">
        <v>18</v>
      </c>
      <c r="AA1" s="592"/>
      <c r="AB1" s="593"/>
    </row>
    <row r="2" spans="1:28"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6"/>
      <c r="Z2" s="841" t="s">
        <v>181</v>
      </c>
      <c r="AA2" s="842"/>
      <c r="AB2" s="843"/>
    </row>
    <row r="3" spans="1:28"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2"/>
      <c r="Z3" s="841" t="s">
        <v>182</v>
      </c>
      <c r="AA3" s="842"/>
      <c r="AB3" s="843"/>
    </row>
    <row r="4" spans="1:28" ht="15.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5"/>
      <c r="Z4" s="574" t="s">
        <v>176</v>
      </c>
      <c r="AA4" s="575"/>
      <c r="AB4" s="576"/>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531" t="s">
        <v>0</v>
      </c>
      <c r="B7" s="532"/>
      <c r="C7" s="537"/>
      <c r="D7" s="538"/>
      <c r="E7" s="538"/>
      <c r="F7" s="538"/>
      <c r="G7" s="538"/>
      <c r="H7" s="538"/>
      <c r="I7" s="538"/>
      <c r="J7" s="538"/>
      <c r="K7" s="539"/>
      <c r="L7" s="64"/>
      <c r="M7" s="65"/>
      <c r="N7" s="65"/>
      <c r="O7" s="65"/>
      <c r="P7" s="65"/>
      <c r="Q7" s="66"/>
      <c r="R7" s="816" t="s">
        <v>71</v>
      </c>
      <c r="S7" s="844"/>
      <c r="T7" s="817"/>
      <c r="U7" s="815" t="s">
        <v>74</v>
      </c>
      <c r="V7" s="578"/>
      <c r="W7" s="816" t="s">
        <v>67</v>
      </c>
      <c r="X7" s="817"/>
      <c r="Y7" s="583" t="s">
        <v>70</v>
      </c>
      <c r="Z7" s="584"/>
      <c r="AA7" s="564"/>
      <c r="AB7" s="565"/>
    </row>
    <row r="8" spans="1:28" ht="15" customHeight="1">
      <c r="A8" s="533"/>
      <c r="B8" s="534"/>
      <c r="C8" s="540"/>
      <c r="D8" s="541"/>
      <c r="E8" s="541"/>
      <c r="F8" s="541"/>
      <c r="G8" s="541"/>
      <c r="H8" s="541"/>
      <c r="I8" s="541"/>
      <c r="J8" s="541"/>
      <c r="K8" s="542"/>
      <c r="L8" s="64"/>
      <c r="M8" s="65"/>
      <c r="N8" s="65"/>
      <c r="O8" s="65"/>
      <c r="P8" s="65"/>
      <c r="Q8" s="66"/>
      <c r="R8" s="818"/>
      <c r="S8" s="845"/>
      <c r="T8" s="819"/>
      <c r="U8" s="579"/>
      <c r="V8" s="580"/>
      <c r="W8" s="818"/>
      <c r="X8" s="819"/>
      <c r="Y8" s="566" t="s">
        <v>68</v>
      </c>
      <c r="Z8" s="567"/>
      <c r="AA8" s="568"/>
      <c r="AB8" s="569"/>
    </row>
    <row r="9" spans="1:28" ht="15" customHeight="1" thickBot="1">
      <c r="A9" s="535"/>
      <c r="B9" s="536"/>
      <c r="C9" s="543"/>
      <c r="D9" s="544"/>
      <c r="E9" s="544"/>
      <c r="F9" s="544"/>
      <c r="G9" s="544"/>
      <c r="H9" s="544"/>
      <c r="I9" s="544"/>
      <c r="J9" s="544"/>
      <c r="K9" s="545"/>
      <c r="L9" s="64"/>
      <c r="M9" s="65"/>
      <c r="N9" s="65"/>
      <c r="O9" s="65"/>
      <c r="P9" s="65"/>
      <c r="Q9" s="66"/>
      <c r="R9" s="820"/>
      <c r="S9" s="846"/>
      <c r="T9" s="821"/>
      <c r="U9" s="581"/>
      <c r="V9" s="582"/>
      <c r="W9" s="820"/>
      <c r="X9" s="821"/>
      <c r="Y9" s="570" t="s">
        <v>69</v>
      </c>
      <c r="Z9" s="571"/>
      <c r="AA9" s="572"/>
      <c r="AB9" s="573"/>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22" t="s">
        <v>77</v>
      </c>
      <c r="B11" s="523"/>
      <c r="C11" s="822"/>
      <c r="D11" s="823"/>
      <c r="E11" s="823"/>
      <c r="F11" s="823"/>
      <c r="G11" s="823"/>
      <c r="H11" s="823"/>
      <c r="I11" s="823"/>
      <c r="J11" s="823"/>
      <c r="K11" s="824"/>
      <c r="L11" s="74"/>
      <c r="M11" s="558" t="s">
        <v>73</v>
      </c>
      <c r="N11" s="559"/>
      <c r="O11" s="559"/>
      <c r="P11" s="559"/>
      <c r="Q11" s="560"/>
      <c r="R11" s="561"/>
      <c r="S11" s="562"/>
      <c r="T11" s="562"/>
      <c r="U11" s="562"/>
      <c r="V11" s="563"/>
      <c r="W11" s="558" t="s">
        <v>72</v>
      </c>
      <c r="X11" s="560"/>
      <c r="Y11" s="518"/>
      <c r="Z11" s="519"/>
      <c r="AA11" s="519"/>
      <c r="AB11" s="520"/>
    </row>
    <row r="12" spans="1:28" ht="9" customHeight="1" thickBot="1">
      <c r="A12" s="61"/>
      <c r="B12" s="56"/>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75"/>
      <c r="AB12" s="76"/>
    </row>
    <row r="13" spans="1:28" s="78" customFormat="1" ht="37.5" customHeight="1" thickBot="1">
      <c r="A13" s="522" t="s">
        <v>79</v>
      </c>
      <c r="B13" s="523"/>
      <c r="C13" s="524"/>
      <c r="D13" s="525"/>
      <c r="E13" s="525"/>
      <c r="F13" s="525"/>
      <c r="G13" s="525"/>
      <c r="H13" s="525"/>
      <c r="I13" s="525"/>
      <c r="J13" s="525"/>
      <c r="K13" s="525"/>
      <c r="L13" s="525"/>
      <c r="M13" s="525"/>
      <c r="N13" s="525"/>
      <c r="O13" s="525"/>
      <c r="P13" s="525"/>
      <c r="Q13" s="526"/>
      <c r="R13" s="56"/>
      <c r="S13" s="825" t="s">
        <v>14</v>
      </c>
      <c r="T13" s="825"/>
      <c r="U13" s="77"/>
      <c r="V13" s="515" t="s">
        <v>15</v>
      </c>
      <c r="W13" s="825"/>
      <c r="X13" s="825"/>
      <c r="Y13" s="825"/>
      <c r="Z13" s="56"/>
      <c r="AA13" s="529"/>
      <c r="AB13" s="530"/>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546" t="s">
        <v>294</v>
      </c>
      <c r="B15" s="547"/>
      <c r="C15" s="839" t="s">
        <v>323</v>
      </c>
      <c r="D15" s="82"/>
      <c r="E15" s="82"/>
      <c r="F15" s="82"/>
      <c r="G15" s="82"/>
      <c r="H15" s="82"/>
      <c r="I15" s="82"/>
      <c r="J15" s="83"/>
      <c r="K15" s="84"/>
      <c r="L15" s="83"/>
      <c r="M15" s="62"/>
      <c r="N15" s="62"/>
      <c r="O15" s="62"/>
      <c r="P15" s="62"/>
      <c r="Q15" s="834" t="s">
        <v>1</v>
      </c>
      <c r="R15" s="835"/>
      <c r="S15" s="835"/>
      <c r="T15" s="835"/>
      <c r="U15" s="835"/>
      <c r="V15" s="835"/>
      <c r="W15" s="835"/>
      <c r="X15" s="835"/>
      <c r="Y15" s="835"/>
      <c r="Z15" s="835"/>
      <c r="AA15" s="835"/>
      <c r="AB15" s="836"/>
    </row>
    <row r="16" spans="1:28" ht="35.25" customHeight="1" thickBot="1">
      <c r="A16" s="550"/>
      <c r="B16" s="551"/>
      <c r="C16" s="840"/>
      <c r="D16" s="82"/>
      <c r="E16" s="82"/>
      <c r="F16" s="82"/>
      <c r="G16" s="82"/>
      <c r="H16" s="82"/>
      <c r="I16" s="82"/>
      <c r="J16" s="83"/>
      <c r="K16" s="83"/>
      <c r="L16" s="83"/>
      <c r="M16" s="62"/>
      <c r="N16" s="62"/>
      <c r="O16" s="62"/>
      <c r="P16" s="62"/>
      <c r="Q16" s="829" t="s">
        <v>2</v>
      </c>
      <c r="R16" s="813"/>
      <c r="S16" s="813"/>
      <c r="T16" s="813"/>
      <c r="U16" s="813"/>
      <c r="V16" s="830"/>
      <c r="W16" s="812" t="s">
        <v>3</v>
      </c>
      <c r="X16" s="813"/>
      <c r="Y16" s="813"/>
      <c r="Z16" s="813"/>
      <c r="AA16" s="813"/>
      <c r="AB16" s="814"/>
    </row>
    <row r="17" spans="1:30" ht="27" customHeight="1">
      <c r="A17" s="85"/>
      <c r="B17" s="62"/>
      <c r="C17" s="62"/>
      <c r="D17" s="82"/>
      <c r="E17" s="82"/>
      <c r="F17" s="82"/>
      <c r="G17" s="82"/>
      <c r="H17" s="82"/>
      <c r="I17" s="82"/>
      <c r="J17" s="82"/>
      <c r="K17" s="82"/>
      <c r="L17" s="82"/>
      <c r="M17" s="62"/>
      <c r="N17" s="62"/>
      <c r="O17" s="62"/>
      <c r="P17" s="62"/>
      <c r="Q17" s="853" t="s">
        <v>4</v>
      </c>
      <c r="R17" s="854"/>
      <c r="S17" s="850"/>
      <c r="T17" s="826" t="s">
        <v>189</v>
      </c>
      <c r="U17" s="827"/>
      <c r="V17" s="828"/>
      <c r="W17" s="849" t="s">
        <v>4</v>
      </c>
      <c r="X17" s="850"/>
      <c r="Y17" s="849" t="s">
        <v>5</v>
      </c>
      <c r="Z17" s="850"/>
      <c r="AA17" s="826" t="s">
        <v>90</v>
      </c>
      <c r="AB17" s="851"/>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826"/>
      <c r="U18" s="827"/>
      <c r="V18" s="828"/>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852"/>
      <c r="R19" s="832"/>
      <c r="S19" s="833"/>
      <c r="T19" s="831"/>
      <c r="U19" s="832"/>
      <c r="V19" s="833"/>
      <c r="W19" s="837"/>
      <c r="X19" s="838"/>
      <c r="Y19" s="847"/>
      <c r="Z19" s="848"/>
      <c r="AA19" s="855"/>
      <c r="AB19" s="856"/>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00" t="s">
        <v>76</v>
      </c>
      <c r="B21" s="501"/>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3"/>
    </row>
    <row r="22" spans="1:28" ht="15" customHeight="1">
      <c r="A22" s="504" t="s">
        <v>190</v>
      </c>
      <c r="B22" s="506" t="s">
        <v>6</v>
      </c>
      <c r="C22" s="507"/>
      <c r="D22" s="450" t="s">
        <v>7</v>
      </c>
      <c r="E22" s="451"/>
      <c r="F22" s="451"/>
      <c r="G22" s="451"/>
      <c r="H22" s="451"/>
      <c r="I22" s="451"/>
      <c r="J22" s="451"/>
      <c r="K22" s="451"/>
      <c r="L22" s="451"/>
      <c r="M22" s="451"/>
      <c r="N22" s="451"/>
      <c r="O22" s="508"/>
      <c r="P22" s="494" t="s">
        <v>8</v>
      </c>
      <c r="Q22" s="494" t="s">
        <v>84</v>
      </c>
      <c r="R22" s="494"/>
      <c r="S22" s="494"/>
      <c r="T22" s="494"/>
      <c r="U22" s="494"/>
      <c r="V22" s="494"/>
      <c r="W22" s="494"/>
      <c r="X22" s="494"/>
      <c r="Y22" s="494"/>
      <c r="Z22" s="494"/>
      <c r="AA22" s="494"/>
      <c r="AB22" s="496"/>
    </row>
    <row r="23" spans="1:28" ht="27" customHeight="1">
      <c r="A23" s="505"/>
      <c r="B23" s="462"/>
      <c r="C23" s="497"/>
      <c r="D23" s="155" t="s">
        <v>39</v>
      </c>
      <c r="E23" s="155" t="s">
        <v>40</v>
      </c>
      <c r="F23" s="155" t="s">
        <v>41</v>
      </c>
      <c r="G23" s="155" t="s">
        <v>42</v>
      </c>
      <c r="H23" s="155" t="s">
        <v>43</v>
      </c>
      <c r="I23" s="155" t="s">
        <v>44</v>
      </c>
      <c r="J23" s="155" t="s">
        <v>45</v>
      </c>
      <c r="K23" s="155" t="s">
        <v>46</v>
      </c>
      <c r="L23" s="155" t="s">
        <v>47</v>
      </c>
      <c r="M23" s="155" t="s">
        <v>48</v>
      </c>
      <c r="N23" s="155" t="s">
        <v>49</v>
      </c>
      <c r="O23" s="155" t="s">
        <v>50</v>
      </c>
      <c r="P23" s="508"/>
      <c r="Q23" s="494"/>
      <c r="R23" s="494"/>
      <c r="S23" s="494"/>
      <c r="T23" s="494"/>
      <c r="U23" s="494"/>
      <c r="V23" s="494"/>
      <c r="W23" s="494"/>
      <c r="X23" s="494"/>
      <c r="Y23" s="494"/>
      <c r="Z23" s="494"/>
      <c r="AA23" s="494"/>
      <c r="AB23" s="496"/>
    </row>
    <row r="24" spans="1:28" ht="42" customHeight="1" thickBot="1">
      <c r="A24" s="88"/>
      <c r="B24" s="487"/>
      <c r="C24" s="488"/>
      <c r="D24" s="92"/>
      <c r="E24" s="92"/>
      <c r="F24" s="92"/>
      <c r="G24" s="92"/>
      <c r="H24" s="92"/>
      <c r="I24" s="92"/>
      <c r="J24" s="92"/>
      <c r="K24" s="92"/>
      <c r="L24" s="92"/>
      <c r="M24" s="92"/>
      <c r="N24" s="92"/>
      <c r="O24" s="92"/>
      <c r="P24" s="89">
        <f>SUM(D24:O24)</f>
        <v>0</v>
      </c>
      <c r="Q24" s="489" t="s">
        <v>297</v>
      </c>
      <c r="R24" s="489"/>
      <c r="S24" s="489"/>
      <c r="T24" s="489"/>
      <c r="U24" s="489"/>
      <c r="V24" s="489"/>
      <c r="W24" s="489"/>
      <c r="X24" s="489"/>
      <c r="Y24" s="489"/>
      <c r="Z24" s="489"/>
      <c r="AA24" s="489"/>
      <c r="AB24" s="490"/>
    </row>
    <row r="25" spans="1:28" ht="21.75" customHeight="1">
      <c r="A25" s="491" t="s">
        <v>293</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3"/>
    </row>
    <row r="26" spans="1:39" ht="22.5" customHeight="1">
      <c r="A26" s="443" t="s">
        <v>191</v>
      </c>
      <c r="B26" s="494" t="s">
        <v>62</v>
      </c>
      <c r="C26" s="494" t="s">
        <v>6</v>
      </c>
      <c r="D26" s="494" t="s">
        <v>60</v>
      </c>
      <c r="E26" s="494"/>
      <c r="F26" s="494"/>
      <c r="G26" s="494"/>
      <c r="H26" s="494"/>
      <c r="I26" s="494"/>
      <c r="J26" s="494"/>
      <c r="K26" s="494"/>
      <c r="L26" s="494"/>
      <c r="M26" s="494"/>
      <c r="N26" s="494"/>
      <c r="O26" s="494"/>
      <c r="P26" s="494"/>
      <c r="Q26" s="494" t="s">
        <v>85</v>
      </c>
      <c r="R26" s="494"/>
      <c r="S26" s="494"/>
      <c r="T26" s="494"/>
      <c r="U26" s="494"/>
      <c r="V26" s="494"/>
      <c r="W26" s="494"/>
      <c r="X26" s="494"/>
      <c r="Y26" s="494"/>
      <c r="Z26" s="494"/>
      <c r="AA26" s="494"/>
      <c r="AB26" s="496"/>
      <c r="AE26" s="90"/>
      <c r="AF26" s="90"/>
      <c r="AG26" s="90"/>
      <c r="AH26" s="90"/>
      <c r="AI26" s="90"/>
      <c r="AJ26" s="90"/>
      <c r="AK26" s="90"/>
      <c r="AL26" s="90"/>
      <c r="AM26" s="90"/>
    </row>
    <row r="27" spans="1:39" ht="22.5" customHeight="1">
      <c r="A27" s="443"/>
      <c r="B27" s="494"/>
      <c r="C27" s="495"/>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62" t="s">
        <v>80</v>
      </c>
      <c r="R27" s="463"/>
      <c r="S27" s="463"/>
      <c r="T27" s="497"/>
      <c r="U27" s="462" t="s">
        <v>81</v>
      </c>
      <c r="V27" s="463"/>
      <c r="W27" s="463"/>
      <c r="X27" s="497"/>
      <c r="Y27" s="462" t="s">
        <v>82</v>
      </c>
      <c r="Z27" s="463"/>
      <c r="AA27" s="463"/>
      <c r="AB27" s="464"/>
      <c r="AE27" s="90"/>
      <c r="AF27" s="90"/>
      <c r="AG27" s="90"/>
      <c r="AH27" s="90"/>
      <c r="AI27" s="90"/>
      <c r="AJ27" s="90"/>
      <c r="AK27" s="90"/>
      <c r="AL27" s="90"/>
      <c r="AM27" s="90"/>
    </row>
    <row r="28" spans="1:39" ht="33" customHeight="1">
      <c r="A28" s="857"/>
      <c r="B28" s="801"/>
      <c r="C28" s="93" t="s">
        <v>9</v>
      </c>
      <c r="D28" s="92"/>
      <c r="E28" s="92"/>
      <c r="F28" s="92"/>
      <c r="G28" s="92"/>
      <c r="H28" s="92"/>
      <c r="I28" s="92"/>
      <c r="J28" s="92"/>
      <c r="K28" s="92"/>
      <c r="L28" s="92"/>
      <c r="M28" s="92"/>
      <c r="N28" s="92"/>
      <c r="O28" s="92"/>
      <c r="P28" s="177">
        <f>SUM(D28:O28)</f>
        <v>0</v>
      </c>
      <c r="Q28" s="802" t="s">
        <v>193</v>
      </c>
      <c r="R28" s="803"/>
      <c r="S28" s="803"/>
      <c r="T28" s="804"/>
      <c r="U28" s="802" t="s">
        <v>194</v>
      </c>
      <c r="V28" s="803"/>
      <c r="W28" s="803"/>
      <c r="X28" s="804"/>
      <c r="Y28" s="802" t="s">
        <v>195</v>
      </c>
      <c r="Z28" s="803"/>
      <c r="AA28" s="803"/>
      <c r="AB28" s="808"/>
      <c r="AE28" s="90"/>
      <c r="AF28" s="90"/>
      <c r="AG28" s="90"/>
      <c r="AH28" s="90"/>
      <c r="AI28" s="90"/>
      <c r="AJ28" s="90"/>
      <c r="AK28" s="90"/>
      <c r="AL28" s="90"/>
      <c r="AM28" s="90"/>
    </row>
    <row r="29" spans="1:39" ht="33.75" customHeight="1" thickBot="1">
      <c r="A29" s="858"/>
      <c r="B29" s="607"/>
      <c r="C29" s="94" t="s">
        <v>10</v>
      </c>
      <c r="D29" s="95"/>
      <c r="E29" s="95"/>
      <c r="F29" s="95"/>
      <c r="G29" s="96"/>
      <c r="H29" s="96"/>
      <c r="I29" s="96"/>
      <c r="J29" s="96"/>
      <c r="K29" s="96"/>
      <c r="L29" s="96"/>
      <c r="M29" s="96"/>
      <c r="N29" s="96"/>
      <c r="O29" s="96"/>
      <c r="P29" s="178">
        <f>SUM(D29:O29)</f>
        <v>0</v>
      </c>
      <c r="Q29" s="805"/>
      <c r="R29" s="806"/>
      <c r="S29" s="806"/>
      <c r="T29" s="807"/>
      <c r="U29" s="805"/>
      <c r="V29" s="806"/>
      <c r="W29" s="806"/>
      <c r="X29" s="807"/>
      <c r="Y29" s="805"/>
      <c r="Z29" s="806"/>
      <c r="AA29" s="806"/>
      <c r="AB29" s="809"/>
      <c r="AC29" s="50"/>
      <c r="AD29" s="97"/>
      <c r="AE29" s="90"/>
      <c r="AF29" s="90"/>
      <c r="AG29" s="90"/>
      <c r="AH29" s="90"/>
      <c r="AI29" s="90"/>
      <c r="AJ29" s="90"/>
      <c r="AK29" s="90"/>
      <c r="AL29" s="90"/>
      <c r="AM29" s="90"/>
    </row>
    <row r="30" spans="1:39" ht="25.5" customHeight="1">
      <c r="A30" s="442" t="s">
        <v>192</v>
      </c>
      <c r="B30" s="444" t="s">
        <v>61</v>
      </c>
      <c r="C30" s="446" t="s">
        <v>11</v>
      </c>
      <c r="D30" s="446"/>
      <c r="E30" s="446"/>
      <c r="F30" s="446"/>
      <c r="G30" s="446"/>
      <c r="H30" s="446"/>
      <c r="I30" s="446"/>
      <c r="J30" s="446"/>
      <c r="K30" s="446"/>
      <c r="L30" s="446"/>
      <c r="M30" s="446"/>
      <c r="N30" s="446"/>
      <c r="O30" s="446"/>
      <c r="P30" s="446"/>
      <c r="Q30" s="447" t="s">
        <v>78</v>
      </c>
      <c r="R30" s="448"/>
      <c r="S30" s="448"/>
      <c r="T30" s="448"/>
      <c r="U30" s="448"/>
      <c r="V30" s="448"/>
      <c r="W30" s="448"/>
      <c r="X30" s="448"/>
      <c r="Y30" s="448"/>
      <c r="Z30" s="448"/>
      <c r="AA30" s="448"/>
      <c r="AB30" s="449"/>
      <c r="AE30" s="90"/>
      <c r="AF30" s="90"/>
      <c r="AG30" s="90"/>
      <c r="AH30" s="90"/>
      <c r="AI30" s="90"/>
      <c r="AJ30" s="90"/>
      <c r="AK30" s="90"/>
      <c r="AL30" s="90"/>
      <c r="AM30" s="90"/>
    </row>
    <row r="31" spans="1:39" ht="25.5" customHeight="1">
      <c r="A31" s="443"/>
      <c r="B31" s="44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50" t="s">
        <v>83</v>
      </c>
      <c r="R31" s="451"/>
      <c r="S31" s="451"/>
      <c r="T31" s="451"/>
      <c r="U31" s="451"/>
      <c r="V31" s="451"/>
      <c r="W31" s="451"/>
      <c r="X31" s="451"/>
      <c r="Y31" s="451"/>
      <c r="Z31" s="451"/>
      <c r="AA31" s="451"/>
      <c r="AB31" s="452"/>
      <c r="AE31" s="98"/>
      <c r="AF31" s="98"/>
      <c r="AG31" s="98"/>
      <c r="AH31" s="98"/>
      <c r="AI31" s="98"/>
      <c r="AJ31" s="98"/>
      <c r="AK31" s="98"/>
      <c r="AL31" s="98"/>
      <c r="AM31" s="98"/>
    </row>
    <row r="32" spans="1:39" ht="28.5" customHeight="1">
      <c r="A32" s="453"/>
      <c r="B32" s="794"/>
      <c r="C32" s="93" t="s">
        <v>9</v>
      </c>
      <c r="D32" s="99"/>
      <c r="E32" s="99"/>
      <c r="F32" s="99"/>
      <c r="G32" s="99"/>
      <c r="H32" s="99"/>
      <c r="I32" s="99"/>
      <c r="J32" s="99"/>
      <c r="K32" s="99"/>
      <c r="L32" s="99"/>
      <c r="M32" s="99"/>
      <c r="N32" s="99"/>
      <c r="O32" s="99"/>
      <c r="P32" s="100">
        <f aca="true" t="shared" si="0" ref="P32:P39">SUM(D32:O32)</f>
        <v>0</v>
      </c>
      <c r="Q32" s="795" t="s">
        <v>287</v>
      </c>
      <c r="R32" s="796"/>
      <c r="S32" s="796"/>
      <c r="T32" s="796"/>
      <c r="U32" s="796"/>
      <c r="V32" s="796"/>
      <c r="W32" s="796"/>
      <c r="X32" s="796"/>
      <c r="Y32" s="796"/>
      <c r="Z32" s="796"/>
      <c r="AA32" s="796"/>
      <c r="AB32" s="797"/>
      <c r="AC32" s="101"/>
      <c r="AE32" s="102"/>
      <c r="AF32" s="102"/>
      <c r="AG32" s="102"/>
      <c r="AH32" s="102"/>
      <c r="AI32" s="102"/>
      <c r="AJ32" s="102"/>
      <c r="AK32" s="102"/>
      <c r="AL32" s="102"/>
      <c r="AM32" s="102"/>
    </row>
    <row r="33" spans="1:29" ht="28.5" customHeight="1">
      <c r="A33" s="454"/>
      <c r="B33" s="788"/>
      <c r="C33" s="103" t="s">
        <v>10</v>
      </c>
      <c r="D33" s="104"/>
      <c r="E33" s="104"/>
      <c r="F33" s="104"/>
      <c r="G33" s="104"/>
      <c r="H33" s="104"/>
      <c r="I33" s="104"/>
      <c r="J33" s="104"/>
      <c r="K33" s="104"/>
      <c r="L33" s="104"/>
      <c r="M33" s="104"/>
      <c r="N33" s="104"/>
      <c r="O33" s="104"/>
      <c r="P33" s="105">
        <f t="shared" si="0"/>
        <v>0</v>
      </c>
      <c r="Q33" s="798"/>
      <c r="R33" s="799"/>
      <c r="S33" s="799"/>
      <c r="T33" s="799"/>
      <c r="U33" s="799"/>
      <c r="V33" s="799"/>
      <c r="W33" s="799"/>
      <c r="X33" s="799"/>
      <c r="Y33" s="799"/>
      <c r="Z33" s="799"/>
      <c r="AA33" s="799"/>
      <c r="AB33" s="800"/>
      <c r="AC33" s="101"/>
    </row>
    <row r="34" spans="1:29" ht="28.5" customHeight="1">
      <c r="A34" s="454"/>
      <c r="B34" s="780"/>
      <c r="C34" s="106" t="s">
        <v>9</v>
      </c>
      <c r="D34" s="107"/>
      <c r="E34" s="107"/>
      <c r="F34" s="107"/>
      <c r="G34" s="107"/>
      <c r="H34" s="107"/>
      <c r="I34" s="107"/>
      <c r="J34" s="107"/>
      <c r="K34" s="107"/>
      <c r="L34" s="107"/>
      <c r="M34" s="107"/>
      <c r="N34" s="107"/>
      <c r="O34" s="107"/>
      <c r="P34" s="105">
        <f t="shared" si="0"/>
        <v>0</v>
      </c>
      <c r="Q34" s="782"/>
      <c r="R34" s="783"/>
      <c r="S34" s="783"/>
      <c r="T34" s="783"/>
      <c r="U34" s="783"/>
      <c r="V34" s="783"/>
      <c r="W34" s="783"/>
      <c r="X34" s="783"/>
      <c r="Y34" s="783"/>
      <c r="Z34" s="783"/>
      <c r="AA34" s="783"/>
      <c r="AB34" s="784"/>
      <c r="AC34" s="101"/>
    </row>
    <row r="35" spans="1:29" ht="28.5" customHeight="1">
      <c r="A35" s="454"/>
      <c r="B35" s="788"/>
      <c r="C35" s="103" t="s">
        <v>10</v>
      </c>
      <c r="D35" s="104"/>
      <c r="E35" s="104"/>
      <c r="F35" s="104"/>
      <c r="G35" s="104"/>
      <c r="H35" s="104"/>
      <c r="I35" s="104"/>
      <c r="J35" s="104"/>
      <c r="K35" s="104"/>
      <c r="L35" s="108"/>
      <c r="M35" s="108"/>
      <c r="N35" s="108"/>
      <c r="O35" s="108"/>
      <c r="P35" s="105">
        <f t="shared" si="0"/>
        <v>0</v>
      </c>
      <c r="Q35" s="789"/>
      <c r="R35" s="790"/>
      <c r="S35" s="790"/>
      <c r="T35" s="790"/>
      <c r="U35" s="790"/>
      <c r="V35" s="790"/>
      <c r="W35" s="790"/>
      <c r="X35" s="790"/>
      <c r="Y35" s="790"/>
      <c r="Z35" s="790"/>
      <c r="AA35" s="790"/>
      <c r="AB35" s="791"/>
      <c r="AC35" s="101"/>
    </row>
    <row r="36" spans="1:29" ht="28.5" customHeight="1">
      <c r="A36" s="792"/>
      <c r="B36" s="780"/>
      <c r="C36" s="106" t="s">
        <v>9</v>
      </c>
      <c r="D36" s="107"/>
      <c r="E36" s="107"/>
      <c r="F36" s="107"/>
      <c r="G36" s="107"/>
      <c r="H36" s="107"/>
      <c r="I36" s="107"/>
      <c r="J36" s="107"/>
      <c r="K36" s="107"/>
      <c r="L36" s="107"/>
      <c r="M36" s="107"/>
      <c r="N36" s="107"/>
      <c r="O36" s="107"/>
      <c r="P36" s="105">
        <f t="shared" si="0"/>
        <v>0</v>
      </c>
      <c r="Q36" s="782"/>
      <c r="R36" s="783"/>
      <c r="S36" s="783"/>
      <c r="T36" s="783"/>
      <c r="U36" s="783"/>
      <c r="V36" s="783"/>
      <c r="W36" s="783"/>
      <c r="X36" s="783"/>
      <c r="Y36" s="783"/>
      <c r="Z36" s="783"/>
      <c r="AA36" s="783"/>
      <c r="AB36" s="784"/>
      <c r="AC36" s="101"/>
    </row>
    <row r="37" spans="1:29" ht="28.5" customHeight="1">
      <c r="A37" s="793"/>
      <c r="B37" s="788"/>
      <c r="C37" s="103" t="s">
        <v>10</v>
      </c>
      <c r="D37" s="104"/>
      <c r="E37" s="104"/>
      <c r="F37" s="104"/>
      <c r="G37" s="109"/>
      <c r="H37" s="104"/>
      <c r="I37" s="104"/>
      <c r="J37" s="104"/>
      <c r="K37" s="104"/>
      <c r="L37" s="108"/>
      <c r="M37" s="108"/>
      <c r="N37" s="108"/>
      <c r="O37" s="108"/>
      <c r="P37" s="105">
        <f t="shared" si="0"/>
        <v>0</v>
      </c>
      <c r="Q37" s="789"/>
      <c r="R37" s="790"/>
      <c r="S37" s="790"/>
      <c r="T37" s="790"/>
      <c r="U37" s="790"/>
      <c r="V37" s="790"/>
      <c r="W37" s="790"/>
      <c r="X37" s="790"/>
      <c r="Y37" s="790"/>
      <c r="Z37" s="790"/>
      <c r="AA37" s="790"/>
      <c r="AB37" s="791"/>
      <c r="AC37" s="101"/>
    </row>
    <row r="38" spans="1:29" ht="28.5" customHeight="1">
      <c r="A38" s="424"/>
      <c r="B38" s="780"/>
      <c r="C38" s="106" t="s">
        <v>9</v>
      </c>
      <c r="D38" s="107"/>
      <c r="E38" s="107"/>
      <c r="F38" s="107"/>
      <c r="G38" s="107"/>
      <c r="H38" s="107"/>
      <c r="I38" s="107"/>
      <c r="J38" s="107"/>
      <c r="K38" s="107"/>
      <c r="L38" s="107"/>
      <c r="M38" s="107"/>
      <c r="N38" s="107"/>
      <c r="O38" s="107"/>
      <c r="P38" s="105">
        <f t="shared" si="0"/>
        <v>0</v>
      </c>
      <c r="Q38" s="782"/>
      <c r="R38" s="783"/>
      <c r="S38" s="783"/>
      <c r="T38" s="783"/>
      <c r="U38" s="783"/>
      <c r="V38" s="783"/>
      <c r="W38" s="783"/>
      <c r="X38" s="783"/>
      <c r="Y38" s="783"/>
      <c r="Z38" s="783"/>
      <c r="AA38" s="783"/>
      <c r="AB38" s="784"/>
      <c r="AC38" s="101"/>
    </row>
    <row r="39" spans="1:29" ht="28.5" customHeight="1" thickBot="1">
      <c r="A39" s="779"/>
      <c r="B39" s="781"/>
      <c r="C39" s="94" t="s">
        <v>10</v>
      </c>
      <c r="D39" s="110"/>
      <c r="E39" s="110"/>
      <c r="F39" s="110"/>
      <c r="G39" s="110"/>
      <c r="H39" s="110"/>
      <c r="I39" s="110"/>
      <c r="J39" s="110"/>
      <c r="K39" s="110"/>
      <c r="L39" s="111"/>
      <c r="M39" s="111"/>
      <c r="N39" s="111"/>
      <c r="O39" s="111"/>
      <c r="P39" s="112">
        <f t="shared" si="0"/>
        <v>0</v>
      </c>
      <c r="Q39" s="785"/>
      <c r="R39" s="786"/>
      <c r="S39" s="786"/>
      <c r="T39" s="786"/>
      <c r="U39" s="786"/>
      <c r="V39" s="786"/>
      <c r="W39" s="786"/>
      <c r="X39" s="786"/>
      <c r="Y39" s="786"/>
      <c r="Z39" s="786"/>
      <c r="AA39" s="786"/>
      <c r="AB39" s="787"/>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xml><?xml version="1.0" encoding="utf-8"?>
<worksheet xmlns="http://schemas.openxmlformats.org/spreadsheetml/2006/main" xmlns:r="http://schemas.openxmlformats.org/officeDocument/2006/relationships">
  <sheetPr>
    <tabColor theme="7"/>
  </sheetPr>
  <dimension ref="A1:AJ27"/>
  <sheetViews>
    <sheetView zoomScale="119" zoomScaleNormal="119" zoomScalePageLayoutView="0" workbookViewId="0" topLeftCell="I3">
      <selection activeCell="M4" sqref="M4:N7"/>
    </sheetView>
  </sheetViews>
  <sheetFormatPr defaultColWidth="11.421875" defaultRowHeight="15"/>
  <cols>
    <col min="1" max="1" width="12.8515625" style="0" customWidth="1"/>
    <col min="2" max="2" width="10.8515625" style="313" customWidth="1"/>
    <col min="3" max="3" width="14.28125" style="322" bestFit="1" customWidth="1"/>
    <col min="4" max="4" width="13.140625" style="322" customWidth="1"/>
    <col min="5" max="5" width="14.28125" style="322" bestFit="1" customWidth="1"/>
    <col min="6" max="6" width="13.140625" style="322" customWidth="1"/>
    <col min="7" max="9" width="14.28125" style="322" bestFit="1" customWidth="1"/>
    <col min="10" max="10" width="15.28125" style="322" customWidth="1"/>
    <col min="11" max="11" width="15.28125" style="0" bestFit="1" customWidth="1"/>
    <col min="12" max="12" width="13.140625" style="0" customWidth="1"/>
    <col min="13" max="14" width="14.421875" style="0" bestFit="1" customWidth="1"/>
    <col min="15" max="26" width="13.140625" style="0" hidden="1" customWidth="1"/>
    <col min="27" max="27" width="15.28125" style="0" bestFit="1" customWidth="1"/>
    <col min="28" max="28" width="14.421875" style="0" bestFit="1" customWidth="1"/>
    <col min="29" max="29" width="12.00390625" style="0" bestFit="1" customWidth="1"/>
    <col min="30" max="30" width="9.140625" style="0" customWidth="1"/>
    <col min="31" max="31" width="14.421875" style="322" bestFit="1" customWidth="1"/>
    <col min="32" max="32" width="14.28125" style="0" bestFit="1" customWidth="1"/>
  </cols>
  <sheetData>
    <row r="1" ht="15">
      <c r="B1" s="313" t="s">
        <v>760</v>
      </c>
    </row>
    <row r="2" spans="2:31" s="325" customFormat="1" ht="15">
      <c r="B2" s="421" t="s">
        <v>758</v>
      </c>
      <c r="C2" s="422" t="s">
        <v>39</v>
      </c>
      <c r="D2" s="422"/>
      <c r="E2" s="422" t="s">
        <v>40</v>
      </c>
      <c r="F2" s="422"/>
      <c r="G2" s="422" t="s">
        <v>41</v>
      </c>
      <c r="H2" s="422"/>
      <c r="I2" s="422" t="s">
        <v>42</v>
      </c>
      <c r="J2" s="422"/>
      <c r="K2" s="422" t="s">
        <v>43</v>
      </c>
      <c r="L2" s="422"/>
      <c r="M2" s="422" t="s">
        <v>44</v>
      </c>
      <c r="N2" s="422"/>
      <c r="O2" s="422" t="s">
        <v>45</v>
      </c>
      <c r="P2" s="422"/>
      <c r="Q2" s="422" t="s">
        <v>46</v>
      </c>
      <c r="R2" s="422"/>
      <c r="S2" s="422" t="s">
        <v>47</v>
      </c>
      <c r="T2" s="422"/>
      <c r="U2" s="422" t="s">
        <v>48</v>
      </c>
      <c r="V2" s="422"/>
      <c r="W2" s="422" t="s">
        <v>49</v>
      </c>
      <c r="X2" s="422"/>
      <c r="Y2" s="422" t="s">
        <v>50</v>
      </c>
      <c r="Z2" s="422"/>
      <c r="AA2" s="423" t="s">
        <v>63</v>
      </c>
      <c r="AB2" s="423"/>
      <c r="AE2" s="337"/>
    </row>
    <row r="3" spans="2:31" s="325" customFormat="1" ht="15">
      <c r="B3" s="421"/>
      <c r="C3" s="326" t="s">
        <v>383</v>
      </c>
      <c r="D3" s="326" t="s">
        <v>759</v>
      </c>
      <c r="E3" s="326" t="s">
        <v>383</v>
      </c>
      <c r="F3" s="326" t="s">
        <v>759</v>
      </c>
      <c r="G3" s="326" t="s">
        <v>383</v>
      </c>
      <c r="H3" s="326" t="s">
        <v>759</v>
      </c>
      <c r="I3" s="326" t="s">
        <v>383</v>
      </c>
      <c r="J3" s="326" t="s">
        <v>759</v>
      </c>
      <c r="K3" s="326" t="s">
        <v>383</v>
      </c>
      <c r="L3" s="326" t="s">
        <v>759</v>
      </c>
      <c r="M3" s="326" t="s">
        <v>383</v>
      </c>
      <c r="N3" s="326" t="s">
        <v>759</v>
      </c>
      <c r="O3" s="326" t="s">
        <v>383</v>
      </c>
      <c r="P3" s="326" t="s">
        <v>759</v>
      </c>
      <c r="Q3" s="326" t="s">
        <v>383</v>
      </c>
      <c r="R3" s="326" t="s">
        <v>759</v>
      </c>
      <c r="S3" s="326" t="s">
        <v>383</v>
      </c>
      <c r="T3" s="326" t="s">
        <v>759</v>
      </c>
      <c r="U3" s="326" t="s">
        <v>383</v>
      </c>
      <c r="V3" s="326" t="s">
        <v>759</v>
      </c>
      <c r="W3" s="326" t="s">
        <v>383</v>
      </c>
      <c r="X3" s="326" t="s">
        <v>759</v>
      </c>
      <c r="Y3" s="326" t="s">
        <v>383</v>
      </c>
      <c r="Z3" s="326" t="s">
        <v>759</v>
      </c>
      <c r="AA3" s="333" t="s">
        <v>383</v>
      </c>
      <c r="AB3" s="333" t="s">
        <v>759</v>
      </c>
      <c r="AE3" s="337"/>
    </row>
    <row r="4" spans="1:31" ht="15">
      <c r="A4">
        <v>1198841051</v>
      </c>
      <c r="B4" s="327">
        <v>1</v>
      </c>
      <c r="C4" s="323">
        <v>941933351</v>
      </c>
      <c r="D4" s="323">
        <v>0</v>
      </c>
      <c r="E4" s="323">
        <f>976222464-C4</f>
        <v>34289113</v>
      </c>
      <c r="F4" s="323">
        <f>49316559-D4</f>
        <v>49316559</v>
      </c>
      <c r="G4" s="323">
        <f>960883464-C4-E4</f>
        <v>-15339000</v>
      </c>
      <c r="H4" s="323">
        <f>173274798-D4-F4</f>
        <v>123958239</v>
      </c>
      <c r="I4" s="345">
        <f>960883464-C4-E4-G4</f>
        <v>0</v>
      </c>
      <c r="J4" s="323">
        <f>260575592-D4-F4-H4</f>
        <v>87300794</v>
      </c>
      <c r="K4" s="367">
        <f>1943710251-C4-E4-G4-I4</f>
        <v>982826787</v>
      </c>
      <c r="L4" s="368">
        <f>347876386-D4-F4-H4-J4</f>
        <v>87300794</v>
      </c>
      <c r="M4" s="368">
        <f>1985713471-C4-E4-G4-I4-K4</f>
        <v>42003220</v>
      </c>
      <c r="N4" s="368">
        <f>1153803796-D4-F4-H4-J4-L4</f>
        <v>805927410</v>
      </c>
      <c r="O4" s="324"/>
      <c r="P4" s="324"/>
      <c r="Q4" s="324"/>
      <c r="R4" s="324"/>
      <c r="S4" s="324"/>
      <c r="T4" s="324"/>
      <c r="U4" s="324"/>
      <c r="V4" s="324"/>
      <c r="W4" s="324"/>
      <c r="X4" s="324"/>
      <c r="Y4" s="324"/>
      <c r="Z4" s="324"/>
      <c r="AA4" s="334">
        <f aca="true" t="shared" si="0" ref="AA4:AB7">+C4+E4+G4+I4+K4+M4+O4+Q4+S4+U4+W4+Y4</f>
        <v>1985713471</v>
      </c>
      <c r="AB4" s="334">
        <f t="shared" si="0"/>
        <v>1153803796</v>
      </c>
      <c r="AC4" s="338">
        <f>+AB4/AA4</f>
        <v>0.5810525097656448</v>
      </c>
      <c r="AE4" s="322">
        <v>347876386</v>
      </c>
    </row>
    <row r="5" spans="2:31" ht="15">
      <c r="B5" s="327">
        <v>2</v>
      </c>
      <c r="C5" s="323">
        <v>6522682969</v>
      </c>
      <c r="D5" s="323">
        <v>0</v>
      </c>
      <c r="E5" s="323">
        <f>6522682969-C5</f>
        <v>0</v>
      </c>
      <c r="F5" s="323">
        <f>360942869-D5</f>
        <v>360942869</v>
      </c>
      <c r="G5" s="323">
        <f>6461751832-C5-E5</f>
        <v>-60931137</v>
      </c>
      <c r="H5" s="323">
        <f>943795568-D5-F5</f>
        <v>582852699</v>
      </c>
      <c r="I5" s="323">
        <f>6412359832-C5-E5-G5</f>
        <v>-49392000</v>
      </c>
      <c r="J5" s="323">
        <f>1499540968-D5-F5-H5</f>
        <v>555745400</v>
      </c>
      <c r="K5" s="367">
        <f>6412359832-C5-E5-G5-I5</f>
        <v>0</v>
      </c>
      <c r="L5" s="368">
        <f>2058822862-D5-F5-H5-J5</f>
        <v>559281894</v>
      </c>
      <c r="M5" s="368">
        <f>6427526499-C5-E5-G5-I5-K5</f>
        <v>15166667</v>
      </c>
      <c r="N5" s="368">
        <f>2609433854-D5-F5-H5-J5-L5</f>
        <v>550610992</v>
      </c>
      <c r="O5" s="324"/>
      <c r="P5" s="324"/>
      <c r="Q5" s="324"/>
      <c r="R5" s="324"/>
      <c r="S5" s="324"/>
      <c r="T5" s="324"/>
      <c r="U5" s="324"/>
      <c r="V5" s="324"/>
      <c r="W5" s="324"/>
      <c r="X5" s="324"/>
      <c r="Y5" s="324"/>
      <c r="Z5" s="324"/>
      <c r="AA5" s="334">
        <f t="shared" si="0"/>
        <v>6427526499</v>
      </c>
      <c r="AB5" s="334">
        <f t="shared" si="0"/>
        <v>2609433854</v>
      </c>
      <c r="AC5" s="338">
        <f>+AB5/AA5</f>
        <v>0.4059779223634438</v>
      </c>
      <c r="AE5" s="322">
        <v>2058822862</v>
      </c>
    </row>
    <row r="6" spans="2:31" ht="15">
      <c r="B6" s="327">
        <v>3</v>
      </c>
      <c r="C6" s="323">
        <v>1373622666</v>
      </c>
      <c r="D6" s="323">
        <v>0</v>
      </c>
      <c r="E6" s="323">
        <f>1373622666-C6</f>
        <v>0</v>
      </c>
      <c r="F6" s="323">
        <f>74577632-D6</f>
        <v>74577632</v>
      </c>
      <c r="G6" s="323">
        <f>1353521499-C6-E6</f>
        <v>-20101167</v>
      </c>
      <c r="H6" s="323">
        <f>190867632-D6-F6</f>
        <v>116290000</v>
      </c>
      <c r="I6" s="323">
        <f>1353521499-C6-E6-G6</f>
        <v>0</v>
      </c>
      <c r="J6" s="323">
        <f>307157632-D6-F6-H6</f>
        <v>116290000</v>
      </c>
      <c r="K6" s="367">
        <f>1373688166-C6-E6-G6-I6</f>
        <v>20166667</v>
      </c>
      <c r="L6" s="368">
        <f>420546465-D6-F6-H6-J6</f>
        <v>113388833</v>
      </c>
      <c r="M6" s="368">
        <f>1358521499-C6-E6-G6-I6-K6</f>
        <v>-15166667</v>
      </c>
      <c r="N6" s="368">
        <f>533488965-D6-F6-H6-J6-L6</f>
        <v>112942500</v>
      </c>
      <c r="O6" s="324"/>
      <c r="P6" s="324"/>
      <c r="Q6" s="324"/>
      <c r="R6" s="324"/>
      <c r="S6" s="324"/>
      <c r="T6" s="324"/>
      <c r="U6" s="324"/>
      <c r="V6" s="324"/>
      <c r="W6" s="324"/>
      <c r="X6" s="324"/>
      <c r="Y6" s="324"/>
      <c r="Z6" s="324"/>
      <c r="AA6" s="334">
        <f t="shared" si="0"/>
        <v>1358521499</v>
      </c>
      <c r="AB6" s="334">
        <f t="shared" si="0"/>
        <v>533488965</v>
      </c>
      <c r="AC6" s="338">
        <f>+AB6/AA6</f>
        <v>0.3926982130151773</v>
      </c>
      <c r="AE6" s="322">
        <v>420546465</v>
      </c>
    </row>
    <row r="7" spans="2:36" ht="15">
      <c r="B7" s="327">
        <v>4</v>
      </c>
      <c r="C7" s="323">
        <v>683555832</v>
      </c>
      <c r="D7" s="323">
        <v>0</v>
      </c>
      <c r="E7" s="323">
        <f>683555832-C7</f>
        <v>0</v>
      </c>
      <c r="F7" s="323">
        <f>26927734-D7</f>
        <v>26927734</v>
      </c>
      <c r="G7" s="323">
        <f>704106650-C7-E7</f>
        <v>20550818</v>
      </c>
      <c r="H7" s="323">
        <f>86812734-D7-F7</f>
        <v>59885000</v>
      </c>
      <c r="I7" s="323">
        <f>718962890-C7-E7-G7</f>
        <v>14856240</v>
      </c>
      <c r="J7" s="323">
        <f>142397734-D7-F7-H7</f>
        <v>55585000</v>
      </c>
      <c r="K7" s="367">
        <f>718962890-C7-E7-G7-I7</f>
        <v>0</v>
      </c>
      <c r="L7" s="368">
        <f>206582734-D7-F7-H7-J7</f>
        <v>64185000</v>
      </c>
      <c r="M7" s="368">
        <f>718962890-C7-E7-G7-I7-K7</f>
        <v>0</v>
      </c>
      <c r="N7" s="368">
        <f>262167734-D7-F7-H7-J7-L7</f>
        <v>55585000</v>
      </c>
      <c r="O7" s="324"/>
      <c r="P7" s="324"/>
      <c r="Q7" s="324"/>
      <c r="R7" s="324"/>
      <c r="S7" s="324"/>
      <c r="T7" s="324"/>
      <c r="U7" s="324"/>
      <c r="V7" s="324"/>
      <c r="W7" s="324"/>
      <c r="X7" s="324"/>
      <c r="Y7" s="324"/>
      <c r="Z7" s="324"/>
      <c r="AA7" s="334">
        <f t="shared" si="0"/>
        <v>718962890</v>
      </c>
      <c r="AB7" s="334">
        <f t="shared" si="0"/>
        <v>262167734</v>
      </c>
      <c r="AC7" s="338">
        <f>+AB7/AA7</f>
        <v>0.3646471016049243</v>
      </c>
      <c r="AE7" s="322">
        <v>206582734</v>
      </c>
      <c r="AG7">
        <v>2020</v>
      </c>
      <c r="AH7">
        <v>2021</v>
      </c>
      <c r="AI7">
        <v>2022</v>
      </c>
      <c r="AJ7">
        <v>2023</v>
      </c>
    </row>
    <row r="8" spans="2:36" s="325" customFormat="1" ht="15">
      <c r="B8" s="328" t="s">
        <v>8</v>
      </c>
      <c r="C8" s="326">
        <f aca="true" t="shared" si="1" ref="C8:AB8">SUM(C4:C7)</f>
        <v>9521794818</v>
      </c>
      <c r="D8" s="326">
        <f t="shared" si="1"/>
        <v>0</v>
      </c>
      <c r="E8" s="326">
        <f t="shared" si="1"/>
        <v>34289113</v>
      </c>
      <c r="F8" s="326">
        <f t="shared" si="1"/>
        <v>511764794</v>
      </c>
      <c r="G8" s="326">
        <f t="shared" si="1"/>
        <v>-75820486</v>
      </c>
      <c r="H8" s="326">
        <f t="shared" si="1"/>
        <v>882985938</v>
      </c>
      <c r="I8" s="326">
        <f t="shared" si="1"/>
        <v>-34535760</v>
      </c>
      <c r="J8" s="326">
        <f t="shared" si="1"/>
        <v>814921194</v>
      </c>
      <c r="K8" s="326">
        <f>SUM(K4:K7)</f>
        <v>1002993454</v>
      </c>
      <c r="L8" s="326">
        <f t="shared" si="1"/>
        <v>824156521</v>
      </c>
      <c r="M8" s="326">
        <f t="shared" si="1"/>
        <v>42003220</v>
      </c>
      <c r="N8" s="326">
        <f t="shared" si="1"/>
        <v>1525065902</v>
      </c>
      <c r="O8" s="326">
        <f t="shared" si="1"/>
        <v>0</v>
      </c>
      <c r="P8" s="326">
        <f t="shared" si="1"/>
        <v>0</v>
      </c>
      <c r="Q8" s="326">
        <f t="shared" si="1"/>
        <v>0</v>
      </c>
      <c r="R8" s="326">
        <f t="shared" si="1"/>
        <v>0</v>
      </c>
      <c r="S8" s="326">
        <f t="shared" si="1"/>
        <v>0</v>
      </c>
      <c r="T8" s="326">
        <f t="shared" si="1"/>
        <v>0</v>
      </c>
      <c r="U8" s="326">
        <f t="shared" si="1"/>
        <v>0</v>
      </c>
      <c r="V8" s="326">
        <f t="shared" si="1"/>
        <v>0</v>
      </c>
      <c r="W8" s="326">
        <f t="shared" si="1"/>
        <v>0</v>
      </c>
      <c r="X8" s="326">
        <f t="shared" si="1"/>
        <v>0</v>
      </c>
      <c r="Y8" s="326">
        <f t="shared" si="1"/>
        <v>0</v>
      </c>
      <c r="Z8" s="326">
        <f t="shared" si="1"/>
        <v>0</v>
      </c>
      <c r="AA8" s="333">
        <f t="shared" si="1"/>
        <v>10490724359</v>
      </c>
      <c r="AB8" s="333">
        <f t="shared" si="1"/>
        <v>4558894349</v>
      </c>
      <c r="AC8" s="338">
        <f>+AB8/AA8</f>
        <v>0.43456430585643224</v>
      </c>
      <c r="AE8" s="337"/>
      <c r="AF8" s="325" t="s">
        <v>768</v>
      </c>
      <c r="AG8" s="356">
        <v>0.1</v>
      </c>
      <c r="AH8" s="356">
        <v>0.35</v>
      </c>
      <c r="AI8" s="356">
        <v>0.6</v>
      </c>
      <c r="AJ8" s="356">
        <v>0.85</v>
      </c>
    </row>
    <row r="9" spans="27:36" ht="15">
      <c r="AA9" s="336">
        <v>10448721139</v>
      </c>
      <c r="AB9" s="336">
        <v>3033828447</v>
      </c>
      <c r="AG9" s="357">
        <v>0.1</v>
      </c>
      <c r="AH9" s="357">
        <v>0.35</v>
      </c>
      <c r="AI9" s="357">
        <v>0.6</v>
      </c>
      <c r="AJ9" s="357">
        <v>0.85</v>
      </c>
    </row>
    <row r="10" spans="2:36" ht="15">
      <c r="B10" s="313" t="s">
        <v>761</v>
      </c>
      <c r="AA10" s="335"/>
      <c r="AB10" s="335"/>
      <c r="AF10" s="360" t="s">
        <v>767</v>
      </c>
      <c r="AG10" s="359">
        <f>+AG9</f>
        <v>0.1</v>
      </c>
      <c r="AH10" s="358">
        <f>+AH9-AG9</f>
        <v>0.24999999999999997</v>
      </c>
      <c r="AI10" s="358">
        <f>+AI9-AH9</f>
        <v>0.25</v>
      </c>
      <c r="AJ10" s="358">
        <f>+AJ9-AI9</f>
        <v>0.25</v>
      </c>
    </row>
    <row r="11" spans="2:35" s="325" customFormat="1" ht="15">
      <c r="B11" s="421" t="s">
        <v>758</v>
      </c>
      <c r="C11" s="422" t="s">
        <v>39</v>
      </c>
      <c r="D11" s="422"/>
      <c r="E11" s="422" t="s">
        <v>40</v>
      </c>
      <c r="F11" s="422"/>
      <c r="G11" s="422" t="s">
        <v>41</v>
      </c>
      <c r="H11" s="422"/>
      <c r="I11" s="422" t="s">
        <v>42</v>
      </c>
      <c r="J11" s="422"/>
      <c r="K11" s="422" t="s">
        <v>43</v>
      </c>
      <c r="L11" s="422"/>
      <c r="M11" s="422" t="s">
        <v>44</v>
      </c>
      <c r="N11" s="422"/>
      <c r="O11" s="422" t="s">
        <v>45</v>
      </c>
      <c r="P11" s="422"/>
      <c r="Q11" s="422" t="s">
        <v>46</v>
      </c>
      <c r="R11" s="422"/>
      <c r="S11" s="422" t="s">
        <v>47</v>
      </c>
      <c r="T11" s="422"/>
      <c r="U11" s="422" t="s">
        <v>48</v>
      </c>
      <c r="V11" s="422"/>
      <c r="W11" s="422" t="s">
        <v>49</v>
      </c>
      <c r="X11" s="422"/>
      <c r="Y11" s="422" t="s">
        <v>50</v>
      </c>
      <c r="Z11" s="422"/>
      <c r="AA11" s="423" t="s">
        <v>63</v>
      </c>
      <c r="AB11" s="423"/>
      <c r="AE11" s="337"/>
      <c r="AI11" s="370">
        <v>0.44</v>
      </c>
    </row>
    <row r="12" spans="2:36" s="325" customFormat="1" ht="15">
      <c r="B12" s="421"/>
      <c r="C12" s="326" t="s">
        <v>762</v>
      </c>
      <c r="D12" s="326" t="s">
        <v>759</v>
      </c>
      <c r="E12" s="326" t="s">
        <v>762</v>
      </c>
      <c r="F12" s="326" t="s">
        <v>759</v>
      </c>
      <c r="G12" s="326" t="s">
        <v>762</v>
      </c>
      <c r="H12" s="326" t="s">
        <v>759</v>
      </c>
      <c r="I12" s="326" t="s">
        <v>762</v>
      </c>
      <c r="J12" s="326" t="s">
        <v>759</v>
      </c>
      <c r="K12" s="326" t="s">
        <v>762</v>
      </c>
      <c r="L12" s="326" t="s">
        <v>759</v>
      </c>
      <c r="M12" s="326" t="s">
        <v>762</v>
      </c>
      <c r="N12" s="326" t="s">
        <v>759</v>
      </c>
      <c r="O12" s="326" t="s">
        <v>383</v>
      </c>
      <c r="P12" s="326" t="s">
        <v>759</v>
      </c>
      <c r="Q12" s="326" t="s">
        <v>383</v>
      </c>
      <c r="R12" s="326" t="s">
        <v>759</v>
      </c>
      <c r="S12" s="326" t="s">
        <v>383</v>
      </c>
      <c r="T12" s="326" t="s">
        <v>759</v>
      </c>
      <c r="U12" s="326" t="s">
        <v>383</v>
      </c>
      <c r="V12" s="326" t="s">
        <v>759</v>
      </c>
      <c r="W12" s="326" t="s">
        <v>383</v>
      </c>
      <c r="X12" s="326" t="s">
        <v>759</v>
      </c>
      <c r="Y12" s="326" t="s">
        <v>383</v>
      </c>
      <c r="Z12" s="326" t="s">
        <v>759</v>
      </c>
      <c r="AA12" s="333" t="s">
        <v>763</v>
      </c>
      <c r="AB12" s="333" t="s">
        <v>759</v>
      </c>
      <c r="AC12" s="325" t="s">
        <v>762</v>
      </c>
      <c r="AE12" s="337"/>
      <c r="AI12" s="361">
        <f>+AI11-AH8</f>
        <v>0.09000000000000002</v>
      </c>
      <c r="AJ12" s="362" t="s">
        <v>769</v>
      </c>
    </row>
    <row r="13" spans="1:29" ht="15">
      <c r="A13" s="323">
        <v>730135274</v>
      </c>
      <c r="B13" s="327">
        <v>1</v>
      </c>
      <c r="C13" s="323"/>
      <c r="D13" s="323">
        <v>3219066</v>
      </c>
      <c r="E13" s="323"/>
      <c r="F13" s="323">
        <f>3219066-D13</f>
        <v>0</v>
      </c>
      <c r="G13" s="323">
        <f>9000000-C13-E13</f>
        <v>9000000</v>
      </c>
      <c r="H13" s="323">
        <f>293876890-D13-F13</f>
        <v>290657824</v>
      </c>
      <c r="I13" s="323">
        <f>9000000-C13-E13-G13</f>
        <v>0</v>
      </c>
      <c r="J13" s="323">
        <f>317851308-D13-F13-H13</f>
        <v>23974418</v>
      </c>
      <c r="K13" s="367">
        <f>9000000-C13-E13-G13-I13</f>
        <v>0</v>
      </c>
      <c r="L13" s="368">
        <f>556799108-D13-F13-H13-J13</f>
        <v>238947800</v>
      </c>
      <c r="M13" s="373">
        <f>9000000-C13-E13-G13-I13-K13</f>
        <v>0</v>
      </c>
      <c r="N13" s="368">
        <f>556799108-D13-F13-H13-J13-L13</f>
        <v>0</v>
      </c>
      <c r="O13" s="324"/>
      <c r="P13" s="324"/>
      <c r="Q13" s="324"/>
      <c r="R13" s="324"/>
      <c r="S13" s="324"/>
      <c r="T13" s="324"/>
      <c r="U13" s="324"/>
      <c r="V13" s="324"/>
      <c r="W13" s="324"/>
      <c r="X13" s="324"/>
      <c r="Y13" s="324"/>
      <c r="Z13" s="324"/>
      <c r="AA13" s="334">
        <f>+A13-C13-E13-G13-I13-K13</f>
        <v>721135274</v>
      </c>
      <c r="AB13" s="334">
        <f>+D13+F13+H13+J13+L13+N13+P13+R13+T13+V13+X13+Z13</f>
        <v>556799108</v>
      </c>
      <c r="AC13" s="371">
        <f>+C13+E13+G13+I13+K13+M13</f>
        <v>9000000</v>
      </c>
    </row>
    <row r="14" spans="1:29" ht="15">
      <c r="A14" s="323">
        <v>37857500</v>
      </c>
      <c r="B14" s="327">
        <v>2</v>
      </c>
      <c r="C14" s="323"/>
      <c r="D14" s="323">
        <v>13682500</v>
      </c>
      <c r="E14" s="330">
        <v>15600000</v>
      </c>
      <c r="F14" s="323">
        <f>13682500-D14</f>
        <v>0</v>
      </c>
      <c r="G14" s="323">
        <f>16175000-C14-E14</f>
        <v>575000</v>
      </c>
      <c r="H14" s="323">
        <f>13682500-D14-F14</f>
        <v>0</v>
      </c>
      <c r="I14" s="323">
        <f>24175000-C14-E14-G14</f>
        <v>8000000</v>
      </c>
      <c r="J14" s="323">
        <f>13682500-D14-F14-H14</f>
        <v>0</v>
      </c>
      <c r="K14" s="367">
        <f>24175000-C14-E14-G14-I14</f>
        <v>0</v>
      </c>
      <c r="L14" s="368">
        <f>13682500-D14-F14-H14-J14</f>
        <v>0</v>
      </c>
      <c r="M14" s="373">
        <f>24175000-C14-E14-G14-I14-K14</f>
        <v>0</v>
      </c>
      <c r="N14" s="368">
        <f>13682500-D14-F14-H14-J14-L14</f>
        <v>0</v>
      </c>
      <c r="O14" s="324"/>
      <c r="P14" s="324"/>
      <c r="Q14" s="324"/>
      <c r="R14" s="324"/>
      <c r="S14" s="324"/>
      <c r="T14" s="324"/>
      <c r="U14" s="324"/>
      <c r="V14" s="324"/>
      <c r="W14" s="324"/>
      <c r="X14" s="324"/>
      <c r="Y14" s="324"/>
      <c r="Z14" s="324"/>
      <c r="AA14" s="334">
        <f>+A14-C14-E14-G14-I14-K14</f>
        <v>13682500</v>
      </c>
      <c r="AB14" s="334">
        <f>+D14+F14+H14+J14+L14+N14+P14+R14+T14+V14+X14+Z14</f>
        <v>13682500</v>
      </c>
      <c r="AC14" s="371">
        <f>+C14+E14+G14+I14+K14+M14</f>
        <v>24175000</v>
      </c>
    </row>
    <row r="15" spans="1:29" ht="15">
      <c r="A15" s="323">
        <v>0</v>
      </c>
      <c r="B15" s="327">
        <v>3</v>
      </c>
      <c r="C15" s="323"/>
      <c r="D15" s="323">
        <v>0</v>
      </c>
      <c r="E15" s="323"/>
      <c r="F15" s="323">
        <f>0-D15</f>
        <v>0</v>
      </c>
      <c r="G15" s="323">
        <f>0-C15-E15</f>
        <v>0</v>
      </c>
      <c r="H15" s="323">
        <f>0-D15-F15</f>
        <v>0</v>
      </c>
      <c r="I15" s="323">
        <f>0-C15-E15-G15</f>
        <v>0</v>
      </c>
      <c r="J15" s="323">
        <f>0-D15-F15-H15</f>
        <v>0</v>
      </c>
      <c r="K15" s="367">
        <f>0-C15-E15-G15-I15</f>
        <v>0</v>
      </c>
      <c r="L15" s="368">
        <f>0-D15-F15-H15-J15</f>
        <v>0</v>
      </c>
      <c r="M15" s="373">
        <f>0-C15-E15-G15-I15-K15</f>
        <v>0</v>
      </c>
      <c r="N15" s="368">
        <f>0-D15-F15-H15-J15-L15</f>
        <v>0</v>
      </c>
      <c r="O15" s="324"/>
      <c r="P15" s="324"/>
      <c r="Q15" s="324"/>
      <c r="R15" s="324"/>
      <c r="S15" s="324"/>
      <c r="T15" s="324"/>
      <c r="U15" s="324"/>
      <c r="V15" s="324"/>
      <c r="W15" s="324"/>
      <c r="X15" s="324"/>
      <c r="Y15" s="324"/>
      <c r="Z15" s="324"/>
      <c r="AA15" s="334">
        <f>+A15-C15-E15-G15-I15-K15</f>
        <v>0</v>
      </c>
      <c r="AB15" s="334">
        <f>+D15+F15+H15+J15+L15+N15+P15+R15+T15+V15+X15+Z15</f>
        <v>0</v>
      </c>
      <c r="AC15" s="371">
        <f>+C15+E15+G15+I15+K15+M15</f>
        <v>0</v>
      </c>
    </row>
    <row r="16" spans="1:29" ht="15">
      <c r="A16" s="323">
        <v>2200000</v>
      </c>
      <c r="B16" s="327">
        <v>4</v>
      </c>
      <c r="C16" s="323"/>
      <c r="D16" s="323">
        <v>0</v>
      </c>
      <c r="E16" s="323"/>
      <c r="F16" s="323">
        <f>0-D16</f>
        <v>0</v>
      </c>
      <c r="G16" s="323">
        <f>0-C16-E16</f>
        <v>0</v>
      </c>
      <c r="H16" s="323">
        <f>0-D16-F16</f>
        <v>0</v>
      </c>
      <c r="I16" s="323">
        <f>2200000-C16-E16-G16</f>
        <v>2200000</v>
      </c>
      <c r="J16" s="323">
        <f>0-D16-F16-H16</f>
        <v>0</v>
      </c>
      <c r="K16" s="367">
        <f>2200000-C16-E16-G16-I16</f>
        <v>0</v>
      </c>
      <c r="L16" s="368">
        <f>0-D16-F16-H16-J16</f>
        <v>0</v>
      </c>
      <c r="M16" s="373">
        <f>2200000-C16-E16-G16-I16-K16</f>
        <v>0</v>
      </c>
      <c r="N16" s="368">
        <f>0-D16-F16-H16-J16-L16</f>
        <v>0</v>
      </c>
      <c r="O16" s="324"/>
      <c r="P16" s="324"/>
      <c r="Q16" s="324"/>
      <c r="R16" s="324"/>
      <c r="S16" s="324"/>
      <c r="T16" s="324"/>
      <c r="U16" s="324"/>
      <c r="V16" s="324"/>
      <c r="W16" s="324"/>
      <c r="X16" s="324"/>
      <c r="Y16" s="324"/>
      <c r="Z16" s="324"/>
      <c r="AA16" s="334">
        <f>+A16-C16-E16-G16-I16-K16</f>
        <v>0</v>
      </c>
      <c r="AB16" s="334">
        <f>+D16+F16+H16+J16+L16+N16+P16+R16+T16+V16+X16+Z16</f>
        <v>0</v>
      </c>
      <c r="AC16" s="371">
        <f>+C16+E16+G16+I16+K16+M16</f>
        <v>2200000</v>
      </c>
    </row>
    <row r="17" spans="1:31" s="325" customFormat="1" ht="15">
      <c r="A17" s="329">
        <f>SUM(A13:A16)</f>
        <v>770192774</v>
      </c>
      <c r="B17" s="328" t="s">
        <v>8</v>
      </c>
      <c r="C17" s="326">
        <f aca="true" t="shared" si="2" ref="C17:AA17">SUM(C13:C16)</f>
        <v>0</v>
      </c>
      <c r="D17" s="326">
        <f t="shared" si="2"/>
        <v>16901566</v>
      </c>
      <c r="E17" s="326">
        <f t="shared" si="2"/>
        <v>15600000</v>
      </c>
      <c r="F17" s="326">
        <f t="shared" si="2"/>
        <v>0</v>
      </c>
      <c r="G17" s="326">
        <f t="shared" si="2"/>
        <v>9575000</v>
      </c>
      <c r="H17" s="326">
        <f t="shared" si="2"/>
        <v>290657824</v>
      </c>
      <c r="I17" s="326">
        <f t="shared" si="2"/>
        <v>10200000</v>
      </c>
      <c r="J17" s="326">
        <f t="shared" si="2"/>
        <v>23974418</v>
      </c>
      <c r="K17" s="326">
        <f t="shared" si="2"/>
        <v>0</v>
      </c>
      <c r="L17" s="326">
        <f t="shared" si="2"/>
        <v>238947800</v>
      </c>
      <c r="M17" s="326">
        <f t="shared" si="2"/>
        <v>0</v>
      </c>
      <c r="N17" s="326">
        <f t="shared" si="2"/>
        <v>0</v>
      </c>
      <c r="O17" s="326">
        <f t="shared" si="2"/>
        <v>0</v>
      </c>
      <c r="P17" s="326">
        <f t="shared" si="2"/>
        <v>0</v>
      </c>
      <c r="Q17" s="326">
        <f t="shared" si="2"/>
        <v>0</v>
      </c>
      <c r="R17" s="326">
        <f t="shared" si="2"/>
        <v>0</v>
      </c>
      <c r="S17" s="326">
        <f t="shared" si="2"/>
        <v>0</v>
      </c>
      <c r="T17" s="326">
        <f t="shared" si="2"/>
        <v>0</v>
      </c>
      <c r="U17" s="326">
        <f t="shared" si="2"/>
        <v>0</v>
      </c>
      <c r="V17" s="326">
        <f t="shared" si="2"/>
        <v>0</v>
      </c>
      <c r="W17" s="326">
        <f t="shared" si="2"/>
        <v>0</v>
      </c>
      <c r="X17" s="326">
        <f t="shared" si="2"/>
        <v>0</v>
      </c>
      <c r="Y17" s="326">
        <f t="shared" si="2"/>
        <v>0</v>
      </c>
      <c r="Z17" s="326">
        <f t="shared" si="2"/>
        <v>0</v>
      </c>
      <c r="AA17" s="333">
        <f t="shared" si="2"/>
        <v>734817774</v>
      </c>
      <c r="AB17" s="333">
        <f>SUM(AB13:AB16)</f>
        <v>570481608</v>
      </c>
      <c r="AC17" s="333">
        <f>SUM(AC13:AC16)</f>
        <v>35375000</v>
      </c>
      <c r="AE17" s="337"/>
    </row>
    <row r="18" spans="1:28" ht="15">
      <c r="A18">
        <v>770192774</v>
      </c>
      <c r="AA18" s="369">
        <v>734817774</v>
      </c>
      <c r="AB18" s="364">
        <v>570481608</v>
      </c>
    </row>
    <row r="19" ht="15">
      <c r="AB19" s="364">
        <v>331533808</v>
      </c>
    </row>
    <row r="20" ht="15">
      <c r="AB20" s="364">
        <f>+AB19-AB18</f>
        <v>-238947800</v>
      </c>
    </row>
    <row r="23" ht="15">
      <c r="AA23" s="371">
        <f>+AA17-AB17</f>
        <v>164336166</v>
      </c>
    </row>
    <row r="26" spans="2:3" ht="15">
      <c r="B26" s="313" t="s">
        <v>766</v>
      </c>
      <c r="C26" s="340" t="s">
        <v>764</v>
      </c>
    </row>
    <row r="27" spans="2:3" ht="15">
      <c r="B27" s="313" t="s">
        <v>383</v>
      </c>
      <c r="C27" s="340" t="s">
        <v>765</v>
      </c>
    </row>
  </sheetData>
  <sheetProtection/>
  <mergeCells count="28">
    <mergeCell ref="C2:D2"/>
    <mergeCell ref="E2:F2"/>
    <mergeCell ref="G2:H2"/>
    <mergeCell ref="I2:J2"/>
    <mergeCell ref="K2:L2"/>
    <mergeCell ref="M2:N2"/>
    <mergeCell ref="O2:P2"/>
    <mergeCell ref="Q2:R2"/>
    <mergeCell ref="S2:T2"/>
    <mergeCell ref="U2:V2"/>
    <mergeCell ref="W2:X2"/>
    <mergeCell ref="Y2:Z2"/>
    <mergeCell ref="AA2:AB2"/>
    <mergeCell ref="B2:B3"/>
    <mergeCell ref="B11:B12"/>
    <mergeCell ref="C11:D11"/>
    <mergeCell ref="E11:F11"/>
    <mergeCell ref="G11:H11"/>
    <mergeCell ref="I11:J11"/>
    <mergeCell ref="K11:L11"/>
    <mergeCell ref="M11:N11"/>
    <mergeCell ref="O11:P11"/>
    <mergeCell ref="Q11:R11"/>
    <mergeCell ref="S11:T11"/>
    <mergeCell ref="U11:V11"/>
    <mergeCell ref="W11:X11"/>
    <mergeCell ref="Y11:Z11"/>
    <mergeCell ref="AA11:AB11"/>
  </mergeCells>
  <printOptions/>
  <pageMargins left="0.75" right="0.75" top="1" bottom="1" header="0.3" footer="0.3"/>
  <pageSetup orientation="landscape"/>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42">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89"/>
      <c r="Z1" s="589"/>
      <c r="AA1" s="590"/>
      <c r="AB1" s="591" t="s">
        <v>18</v>
      </c>
      <c r="AC1" s="592"/>
      <c r="AD1" s="593"/>
    </row>
    <row r="2" spans="1:30"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5"/>
      <c r="Z2" s="595"/>
      <c r="AA2" s="596"/>
      <c r="AB2" s="597" t="s">
        <v>405</v>
      </c>
      <c r="AC2" s="598"/>
      <c r="AD2" s="599"/>
    </row>
    <row r="3" spans="1:30"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1"/>
      <c r="Z3" s="601"/>
      <c r="AA3" s="602"/>
      <c r="AB3" s="597" t="s">
        <v>404</v>
      </c>
      <c r="AC3" s="598"/>
      <c r="AD3" s="599"/>
    </row>
    <row r="4" spans="1:30" ht="21.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5"/>
      <c r="AB4" s="574" t="s">
        <v>176</v>
      </c>
      <c r="AC4" s="575"/>
      <c r="AD4" s="57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46" t="s">
        <v>294</v>
      </c>
      <c r="B7" s="547"/>
      <c r="C7" s="552"/>
      <c r="D7" s="531" t="s">
        <v>71</v>
      </c>
      <c r="E7" s="555"/>
      <c r="F7" s="555"/>
      <c r="G7" s="555"/>
      <c r="H7" s="532"/>
      <c r="I7" s="577">
        <v>44575</v>
      </c>
      <c r="J7" s="578"/>
      <c r="K7" s="531" t="s">
        <v>67</v>
      </c>
      <c r="L7" s="532"/>
      <c r="M7" s="583" t="s">
        <v>70</v>
      </c>
      <c r="N7" s="584"/>
      <c r="O7" s="564" t="s">
        <v>408</v>
      </c>
      <c r="P7" s="565"/>
      <c r="Q7" s="56"/>
      <c r="R7" s="56"/>
      <c r="S7" s="56"/>
      <c r="T7" s="56"/>
      <c r="U7" s="56"/>
      <c r="V7" s="56"/>
      <c r="W7" s="56"/>
      <c r="X7" s="56"/>
      <c r="Y7" s="56"/>
      <c r="Z7" s="57"/>
      <c r="AA7" s="56"/>
      <c r="AB7" s="56"/>
      <c r="AC7" s="62"/>
      <c r="AD7" s="63"/>
    </row>
    <row r="8" spans="1:30" ht="15">
      <c r="A8" s="548"/>
      <c r="B8" s="549"/>
      <c r="C8" s="553"/>
      <c r="D8" s="533"/>
      <c r="E8" s="556"/>
      <c r="F8" s="556"/>
      <c r="G8" s="556"/>
      <c r="H8" s="534"/>
      <c r="I8" s="579"/>
      <c r="J8" s="580"/>
      <c r="K8" s="533"/>
      <c r="L8" s="534"/>
      <c r="M8" s="566" t="s">
        <v>68</v>
      </c>
      <c r="N8" s="567"/>
      <c r="O8" s="568"/>
      <c r="P8" s="569"/>
      <c r="Q8" s="56"/>
      <c r="R8" s="56"/>
      <c r="S8" s="56"/>
      <c r="T8" s="56"/>
      <c r="U8" s="56"/>
      <c r="V8" s="56"/>
      <c r="W8" s="56"/>
      <c r="X8" s="56"/>
      <c r="Y8" s="56"/>
      <c r="Z8" s="57"/>
      <c r="AA8" s="56"/>
      <c r="AB8" s="56"/>
      <c r="AC8" s="62"/>
      <c r="AD8" s="63"/>
    </row>
    <row r="9" spans="1:30" ht="15.75" thickBot="1">
      <c r="A9" s="550"/>
      <c r="B9" s="551"/>
      <c r="C9" s="554"/>
      <c r="D9" s="535"/>
      <c r="E9" s="557"/>
      <c r="F9" s="557"/>
      <c r="G9" s="557"/>
      <c r="H9" s="536"/>
      <c r="I9" s="581"/>
      <c r="J9" s="582"/>
      <c r="K9" s="535"/>
      <c r="L9" s="536"/>
      <c r="M9" s="570" t="s">
        <v>69</v>
      </c>
      <c r="N9" s="571"/>
      <c r="O9" s="572"/>
      <c r="P9" s="57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1" t="s">
        <v>0</v>
      </c>
      <c r="B11" s="532"/>
      <c r="C11" s="537"/>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c r="A12" s="533"/>
      <c r="B12" s="534"/>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c r="A13" s="535"/>
      <c r="B13" s="536"/>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22" t="s">
        <v>77</v>
      </c>
      <c r="B15" s="523"/>
      <c r="C15" s="518"/>
      <c r="D15" s="519"/>
      <c r="E15" s="519"/>
      <c r="F15" s="519"/>
      <c r="G15" s="519"/>
      <c r="H15" s="519"/>
      <c r="I15" s="519"/>
      <c r="J15" s="519"/>
      <c r="K15" s="520"/>
      <c r="L15" s="558" t="s">
        <v>73</v>
      </c>
      <c r="M15" s="559"/>
      <c r="N15" s="559"/>
      <c r="O15" s="559"/>
      <c r="P15" s="559"/>
      <c r="Q15" s="560"/>
      <c r="R15" s="561"/>
      <c r="S15" s="562"/>
      <c r="T15" s="562"/>
      <c r="U15" s="562"/>
      <c r="V15" s="562"/>
      <c r="W15" s="562"/>
      <c r="X15" s="563"/>
      <c r="Y15" s="558" t="s">
        <v>72</v>
      </c>
      <c r="Z15" s="560"/>
      <c r="AA15" s="518"/>
      <c r="AB15" s="519"/>
      <c r="AC15" s="519"/>
      <c r="AD15" s="520"/>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22" t="s">
        <v>79</v>
      </c>
      <c r="B17" s="523"/>
      <c r="C17" s="524"/>
      <c r="D17" s="525"/>
      <c r="E17" s="525"/>
      <c r="F17" s="525"/>
      <c r="G17" s="525"/>
      <c r="H17" s="525"/>
      <c r="I17" s="525"/>
      <c r="J17" s="525"/>
      <c r="K17" s="525"/>
      <c r="L17" s="525"/>
      <c r="M17" s="525"/>
      <c r="N17" s="525"/>
      <c r="O17" s="525"/>
      <c r="P17" s="525"/>
      <c r="Q17" s="526"/>
      <c r="R17" s="509" t="s">
        <v>378</v>
      </c>
      <c r="S17" s="510"/>
      <c r="T17" s="510"/>
      <c r="U17" s="510"/>
      <c r="V17" s="511"/>
      <c r="W17" s="859"/>
      <c r="X17" s="860"/>
      <c r="Y17" s="510" t="s">
        <v>15</v>
      </c>
      <c r="Z17" s="510"/>
      <c r="AA17" s="510"/>
      <c r="AB17" s="511"/>
      <c r="AC17" s="529"/>
      <c r="AD17" s="5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09" t="s">
        <v>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1"/>
      <c r="AE19" s="86"/>
      <c r="AF19" s="86"/>
    </row>
    <row r="20" spans="1:32" ht="31.5" customHeight="1" thickBot="1">
      <c r="A20" s="85"/>
      <c r="B20" s="62"/>
      <c r="C20" s="512" t="s">
        <v>380</v>
      </c>
      <c r="D20" s="513"/>
      <c r="E20" s="513"/>
      <c r="F20" s="513"/>
      <c r="G20" s="513"/>
      <c r="H20" s="513"/>
      <c r="I20" s="513"/>
      <c r="J20" s="513"/>
      <c r="K20" s="513"/>
      <c r="L20" s="513"/>
      <c r="M20" s="513"/>
      <c r="N20" s="513"/>
      <c r="O20" s="513"/>
      <c r="P20" s="514"/>
      <c r="Q20" s="515" t="s">
        <v>381</v>
      </c>
      <c r="R20" s="516"/>
      <c r="S20" s="516"/>
      <c r="T20" s="516"/>
      <c r="U20" s="516"/>
      <c r="V20" s="516"/>
      <c r="W20" s="516"/>
      <c r="X20" s="516"/>
      <c r="Y20" s="516"/>
      <c r="Z20" s="516"/>
      <c r="AA20" s="516"/>
      <c r="AB20" s="516"/>
      <c r="AC20" s="516"/>
      <c r="AD20" s="517"/>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442" t="s">
        <v>382</v>
      </c>
      <c r="B22" s="447"/>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43" t="s">
        <v>383</v>
      </c>
      <c r="B23" s="450"/>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43" t="s">
        <v>384</v>
      </c>
      <c r="B24" s="450"/>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498" t="s">
        <v>385</v>
      </c>
      <c r="B25" s="499"/>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0" t="s">
        <v>76</v>
      </c>
      <c r="B27" s="501"/>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3"/>
    </row>
    <row r="28" spans="1:30" ht="15" customHeight="1">
      <c r="A28" s="504" t="s">
        <v>190</v>
      </c>
      <c r="B28" s="506" t="s">
        <v>6</v>
      </c>
      <c r="C28" s="507"/>
      <c r="D28" s="450" t="s">
        <v>402</v>
      </c>
      <c r="E28" s="451"/>
      <c r="F28" s="451"/>
      <c r="G28" s="451"/>
      <c r="H28" s="451"/>
      <c r="I28" s="451"/>
      <c r="J28" s="451"/>
      <c r="K28" s="451"/>
      <c r="L28" s="451"/>
      <c r="M28" s="451"/>
      <c r="N28" s="451"/>
      <c r="O28" s="508"/>
      <c r="P28" s="494" t="s">
        <v>8</v>
      </c>
      <c r="Q28" s="494" t="s">
        <v>84</v>
      </c>
      <c r="R28" s="494"/>
      <c r="S28" s="494"/>
      <c r="T28" s="494"/>
      <c r="U28" s="494"/>
      <c r="V28" s="494"/>
      <c r="W28" s="494"/>
      <c r="X28" s="494"/>
      <c r="Y28" s="494"/>
      <c r="Z28" s="494"/>
      <c r="AA28" s="494"/>
      <c r="AB28" s="494"/>
      <c r="AC28" s="494"/>
      <c r="AD28" s="496"/>
    </row>
    <row r="29" spans="1:30" ht="27" customHeight="1">
      <c r="A29" s="505"/>
      <c r="B29" s="462"/>
      <c r="C29" s="497"/>
      <c r="D29" s="214" t="s">
        <v>39</v>
      </c>
      <c r="E29" s="214" t="s">
        <v>40</v>
      </c>
      <c r="F29" s="214" t="s">
        <v>41</v>
      </c>
      <c r="G29" s="214" t="s">
        <v>42</v>
      </c>
      <c r="H29" s="214" t="s">
        <v>43</v>
      </c>
      <c r="I29" s="214" t="s">
        <v>44</v>
      </c>
      <c r="J29" s="214" t="s">
        <v>45</v>
      </c>
      <c r="K29" s="214" t="s">
        <v>46</v>
      </c>
      <c r="L29" s="214" t="s">
        <v>47</v>
      </c>
      <c r="M29" s="214" t="s">
        <v>48</v>
      </c>
      <c r="N29" s="214" t="s">
        <v>49</v>
      </c>
      <c r="O29" s="214" t="s">
        <v>50</v>
      </c>
      <c r="P29" s="508"/>
      <c r="Q29" s="494"/>
      <c r="R29" s="494"/>
      <c r="S29" s="494"/>
      <c r="T29" s="494"/>
      <c r="U29" s="494"/>
      <c r="V29" s="494"/>
      <c r="W29" s="494"/>
      <c r="X29" s="494"/>
      <c r="Y29" s="494"/>
      <c r="Z29" s="494"/>
      <c r="AA29" s="494"/>
      <c r="AB29" s="494"/>
      <c r="AC29" s="494"/>
      <c r="AD29" s="496"/>
    </row>
    <row r="30" spans="1:30" ht="61.5" customHeight="1" thickBot="1">
      <c r="A30" s="218">
        <f>C17</f>
        <v>0</v>
      </c>
      <c r="B30" s="487" t="s">
        <v>411</v>
      </c>
      <c r="C30" s="488"/>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489" t="s">
        <v>297</v>
      </c>
      <c r="R30" s="489"/>
      <c r="S30" s="489"/>
      <c r="T30" s="489"/>
      <c r="U30" s="489"/>
      <c r="V30" s="489"/>
      <c r="W30" s="489"/>
      <c r="X30" s="489"/>
      <c r="Y30" s="489"/>
      <c r="Z30" s="489"/>
      <c r="AA30" s="489"/>
      <c r="AB30" s="489"/>
      <c r="AC30" s="489"/>
      <c r="AD30" s="490"/>
    </row>
    <row r="31" spans="1:30" ht="45" customHeight="1">
      <c r="A31" s="491" t="s">
        <v>293</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3"/>
    </row>
    <row r="32" spans="1:41" ht="22.5" customHeight="1">
      <c r="A32" s="443" t="s">
        <v>191</v>
      </c>
      <c r="B32" s="494" t="s">
        <v>62</v>
      </c>
      <c r="C32" s="494" t="s">
        <v>6</v>
      </c>
      <c r="D32" s="494" t="s">
        <v>60</v>
      </c>
      <c r="E32" s="494"/>
      <c r="F32" s="494"/>
      <c r="G32" s="494"/>
      <c r="H32" s="494"/>
      <c r="I32" s="494"/>
      <c r="J32" s="494"/>
      <c r="K32" s="494"/>
      <c r="L32" s="494"/>
      <c r="M32" s="494"/>
      <c r="N32" s="494"/>
      <c r="O32" s="494"/>
      <c r="P32" s="494"/>
      <c r="Q32" s="494" t="s">
        <v>85</v>
      </c>
      <c r="R32" s="494"/>
      <c r="S32" s="494"/>
      <c r="T32" s="494"/>
      <c r="U32" s="494"/>
      <c r="V32" s="494"/>
      <c r="W32" s="494"/>
      <c r="X32" s="494"/>
      <c r="Y32" s="494"/>
      <c r="Z32" s="494"/>
      <c r="AA32" s="494"/>
      <c r="AB32" s="494"/>
      <c r="AC32" s="494"/>
      <c r="AD32" s="496"/>
      <c r="AG32" s="90"/>
      <c r="AH32" s="90"/>
      <c r="AI32" s="90"/>
      <c r="AJ32" s="90"/>
      <c r="AK32" s="90"/>
      <c r="AL32" s="90"/>
      <c r="AM32" s="90"/>
      <c r="AN32" s="90"/>
      <c r="AO32" s="90"/>
    </row>
    <row r="33" spans="1:41" ht="22.5" customHeight="1">
      <c r="A33" s="443"/>
      <c r="B33" s="494"/>
      <c r="C33" s="495"/>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462" t="s">
        <v>80</v>
      </c>
      <c r="R33" s="463"/>
      <c r="S33" s="463"/>
      <c r="T33" s="463"/>
      <c r="U33" s="463"/>
      <c r="V33" s="497"/>
      <c r="W33" s="462" t="s">
        <v>81</v>
      </c>
      <c r="X33" s="463"/>
      <c r="Y33" s="463"/>
      <c r="Z33" s="497"/>
      <c r="AA33" s="462" t="s">
        <v>82</v>
      </c>
      <c r="AB33" s="463"/>
      <c r="AC33" s="463"/>
      <c r="AD33" s="464"/>
      <c r="AG33" s="90"/>
      <c r="AH33" s="90"/>
      <c r="AI33" s="90"/>
      <c r="AJ33" s="90"/>
      <c r="AK33" s="90"/>
      <c r="AL33" s="90"/>
      <c r="AM33" s="90"/>
      <c r="AN33" s="90"/>
      <c r="AO33" s="90"/>
    </row>
    <row r="34" spans="1:41" ht="33" customHeight="1">
      <c r="A34" s="465">
        <f>A30</f>
        <v>0</v>
      </c>
      <c r="B34" s="801"/>
      <c r="C34" s="93" t="s">
        <v>9</v>
      </c>
      <c r="D34" s="92"/>
      <c r="E34" s="92"/>
      <c r="F34" s="92"/>
      <c r="G34" s="92"/>
      <c r="H34" s="92"/>
      <c r="I34" s="92"/>
      <c r="J34" s="92"/>
      <c r="K34" s="92"/>
      <c r="L34" s="92"/>
      <c r="M34" s="92"/>
      <c r="N34" s="92"/>
      <c r="O34" s="92"/>
      <c r="P34" s="213">
        <f>SUM(D34:O34)</f>
        <v>0</v>
      </c>
      <c r="Q34" s="802" t="s">
        <v>193</v>
      </c>
      <c r="R34" s="803"/>
      <c r="S34" s="803"/>
      <c r="T34" s="803"/>
      <c r="U34" s="803"/>
      <c r="V34" s="804"/>
      <c r="W34" s="802" t="s">
        <v>194</v>
      </c>
      <c r="X34" s="803"/>
      <c r="Y34" s="803"/>
      <c r="Z34" s="804"/>
      <c r="AA34" s="802" t="s">
        <v>195</v>
      </c>
      <c r="AB34" s="803"/>
      <c r="AC34" s="803"/>
      <c r="AD34" s="808"/>
      <c r="AG34" s="90"/>
      <c r="AH34" s="90"/>
      <c r="AI34" s="90"/>
      <c r="AJ34" s="90"/>
      <c r="AK34" s="90"/>
      <c r="AL34" s="90"/>
      <c r="AM34" s="90"/>
      <c r="AN34" s="90"/>
      <c r="AO34" s="90"/>
    </row>
    <row r="35" spans="1:41" ht="33.75" customHeight="1" thickBot="1">
      <c r="A35" s="466"/>
      <c r="B35" s="607"/>
      <c r="C35" s="94" t="s">
        <v>10</v>
      </c>
      <c r="D35" s="95"/>
      <c r="E35" s="95"/>
      <c r="F35" s="95"/>
      <c r="G35" s="96"/>
      <c r="H35" s="96"/>
      <c r="I35" s="96"/>
      <c r="J35" s="96"/>
      <c r="K35" s="96"/>
      <c r="L35" s="96"/>
      <c r="M35" s="96"/>
      <c r="N35" s="96"/>
      <c r="O35" s="96"/>
      <c r="P35" s="178">
        <f>SUM(D35:O35)</f>
        <v>0</v>
      </c>
      <c r="Q35" s="805"/>
      <c r="R35" s="806"/>
      <c r="S35" s="806"/>
      <c r="T35" s="806"/>
      <c r="U35" s="806"/>
      <c r="V35" s="807"/>
      <c r="W35" s="805"/>
      <c r="X35" s="806"/>
      <c r="Y35" s="806"/>
      <c r="Z35" s="807"/>
      <c r="AA35" s="805"/>
      <c r="AB35" s="806"/>
      <c r="AC35" s="806"/>
      <c r="AD35" s="809"/>
      <c r="AE35" s="50"/>
      <c r="AF35" s="97"/>
      <c r="AG35" s="90"/>
      <c r="AH35" s="90"/>
      <c r="AI35" s="90"/>
      <c r="AJ35" s="90"/>
      <c r="AK35" s="90"/>
      <c r="AL35" s="90"/>
      <c r="AM35" s="90"/>
      <c r="AN35" s="90"/>
      <c r="AO35" s="90"/>
    </row>
    <row r="36" spans="1:41" ht="25.5" customHeight="1">
      <c r="A36" s="442" t="s">
        <v>192</v>
      </c>
      <c r="B36" s="444" t="s">
        <v>61</v>
      </c>
      <c r="C36" s="446" t="s">
        <v>11</v>
      </c>
      <c r="D36" s="446"/>
      <c r="E36" s="446"/>
      <c r="F36" s="446"/>
      <c r="G36" s="446"/>
      <c r="H36" s="446"/>
      <c r="I36" s="446"/>
      <c r="J36" s="446"/>
      <c r="K36" s="446"/>
      <c r="L36" s="446"/>
      <c r="M36" s="446"/>
      <c r="N36" s="446"/>
      <c r="O36" s="446"/>
      <c r="P36" s="446"/>
      <c r="Q36" s="447" t="s">
        <v>78</v>
      </c>
      <c r="R36" s="448"/>
      <c r="S36" s="448"/>
      <c r="T36" s="448"/>
      <c r="U36" s="448"/>
      <c r="V36" s="448"/>
      <c r="W36" s="448"/>
      <c r="X36" s="448"/>
      <c r="Y36" s="448"/>
      <c r="Z36" s="448"/>
      <c r="AA36" s="448"/>
      <c r="AB36" s="448"/>
      <c r="AC36" s="448"/>
      <c r="AD36" s="449"/>
      <c r="AG36" s="90"/>
      <c r="AH36" s="90"/>
      <c r="AI36" s="90"/>
      <c r="AJ36" s="90"/>
      <c r="AK36" s="90"/>
      <c r="AL36" s="90"/>
      <c r="AM36" s="90"/>
      <c r="AN36" s="90"/>
      <c r="AO36" s="90"/>
    </row>
    <row r="37" spans="1:41" ht="25.5" customHeight="1">
      <c r="A37" s="443"/>
      <c r="B37" s="445"/>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450" t="s">
        <v>83</v>
      </c>
      <c r="R37" s="451"/>
      <c r="S37" s="451"/>
      <c r="T37" s="451"/>
      <c r="U37" s="451"/>
      <c r="V37" s="451"/>
      <c r="W37" s="451"/>
      <c r="X37" s="451"/>
      <c r="Y37" s="451"/>
      <c r="Z37" s="451"/>
      <c r="AA37" s="451"/>
      <c r="AB37" s="451"/>
      <c r="AC37" s="451"/>
      <c r="AD37" s="452"/>
      <c r="AG37" s="98"/>
      <c r="AH37" s="98"/>
      <c r="AI37" s="98"/>
      <c r="AJ37" s="98"/>
      <c r="AK37" s="98"/>
      <c r="AL37" s="98"/>
      <c r="AM37" s="98"/>
      <c r="AN37" s="98"/>
      <c r="AO37" s="98"/>
    </row>
    <row r="38" spans="1:41" ht="28.5" customHeight="1">
      <c r="A38" s="453"/>
      <c r="B38" s="794"/>
      <c r="C38" s="93" t="s">
        <v>9</v>
      </c>
      <c r="D38" s="99"/>
      <c r="E38" s="99"/>
      <c r="F38" s="99"/>
      <c r="G38" s="99"/>
      <c r="H38" s="99"/>
      <c r="I38" s="99"/>
      <c r="J38" s="99"/>
      <c r="K38" s="99"/>
      <c r="L38" s="99"/>
      <c r="M38" s="99"/>
      <c r="N38" s="99"/>
      <c r="O38" s="99"/>
      <c r="P38" s="100">
        <f aca="true" t="shared" si="0" ref="P38:P45">SUM(D38:O38)</f>
        <v>0</v>
      </c>
      <c r="Q38" s="795" t="s">
        <v>287</v>
      </c>
      <c r="R38" s="796"/>
      <c r="S38" s="796"/>
      <c r="T38" s="796"/>
      <c r="U38" s="796"/>
      <c r="V38" s="796"/>
      <c r="W38" s="796"/>
      <c r="X38" s="796"/>
      <c r="Y38" s="796"/>
      <c r="Z38" s="796"/>
      <c r="AA38" s="796"/>
      <c r="AB38" s="796"/>
      <c r="AC38" s="796"/>
      <c r="AD38" s="797"/>
      <c r="AE38" s="101"/>
      <c r="AG38" s="102"/>
      <c r="AH38" s="102"/>
      <c r="AI38" s="102"/>
      <c r="AJ38" s="102"/>
      <c r="AK38" s="102"/>
      <c r="AL38" s="102"/>
      <c r="AM38" s="102"/>
      <c r="AN38" s="102"/>
      <c r="AO38" s="102"/>
    </row>
    <row r="39" spans="1:31" ht="28.5" customHeight="1">
      <c r="A39" s="454"/>
      <c r="B39" s="788"/>
      <c r="C39" s="103" t="s">
        <v>10</v>
      </c>
      <c r="D39" s="104"/>
      <c r="E39" s="104"/>
      <c r="F39" s="104"/>
      <c r="G39" s="104"/>
      <c r="H39" s="104"/>
      <c r="I39" s="104"/>
      <c r="J39" s="104"/>
      <c r="K39" s="104"/>
      <c r="L39" s="104"/>
      <c r="M39" s="104"/>
      <c r="N39" s="104"/>
      <c r="O39" s="104"/>
      <c r="P39" s="105">
        <f t="shared" si="0"/>
        <v>0</v>
      </c>
      <c r="Q39" s="798"/>
      <c r="R39" s="799"/>
      <c r="S39" s="799"/>
      <c r="T39" s="799"/>
      <c r="U39" s="799"/>
      <c r="V39" s="799"/>
      <c r="W39" s="799"/>
      <c r="X39" s="799"/>
      <c r="Y39" s="799"/>
      <c r="Z39" s="799"/>
      <c r="AA39" s="799"/>
      <c r="AB39" s="799"/>
      <c r="AC39" s="799"/>
      <c r="AD39" s="800"/>
      <c r="AE39" s="101"/>
    </row>
    <row r="40" spans="1:31" ht="28.5" customHeight="1">
      <c r="A40" s="454"/>
      <c r="B40" s="780"/>
      <c r="C40" s="106" t="s">
        <v>9</v>
      </c>
      <c r="D40" s="107"/>
      <c r="E40" s="107"/>
      <c r="F40" s="107"/>
      <c r="G40" s="107"/>
      <c r="H40" s="107"/>
      <c r="I40" s="107"/>
      <c r="J40" s="107"/>
      <c r="K40" s="107"/>
      <c r="L40" s="107"/>
      <c r="M40" s="107"/>
      <c r="N40" s="107"/>
      <c r="O40" s="107"/>
      <c r="P40" s="105">
        <f t="shared" si="0"/>
        <v>0</v>
      </c>
      <c r="Q40" s="782"/>
      <c r="R40" s="783"/>
      <c r="S40" s="783"/>
      <c r="T40" s="783"/>
      <c r="U40" s="783"/>
      <c r="V40" s="783"/>
      <c r="W40" s="783"/>
      <c r="X40" s="783"/>
      <c r="Y40" s="783"/>
      <c r="Z40" s="783"/>
      <c r="AA40" s="783"/>
      <c r="AB40" s="783"/>
      <c r="AC40" s="783"/>
      <c r="AD40" s="784"/>
      <c r="AE40" s="101"/>
    </row>
    <row r="41" spans="1:31" ht="28.5" customHeight="1">
      <c r="A41" s="454"/>
      <c r="B41" s="788"/>
      <c r="C41" s="103" t="s">
        <v>10</v>
      </c>
      <c r="D41" s="104"/>
      <c r="E41" s="104"/>
      <c r="F41" s="104"/>
      <c r="G41" s="104"/>
      <c r="H41" s="104"/>
      <c r="I41" s="104"/>
      <c r="J41" s="104"/>
      <c r="K41" s="104"/>
      <c r="L41" s="108"/>
      <c r="M41" s="108"/>
      <c r="N41" s="108"/>
      <c r="O41" s="108"/>
      <c r="P41" s="105">
        <f t="shared" si="0"/>
        <v>0</v>
      </c>
      <c r="Q41" s="789"/>
      <c r="R41" s="790"/>
      <c r="S41" s="790"/>
      <c r="T41" s="790"/>
      <c r="U41" s="790"/>
      <c r="V41" s="790"/>
      <c r="W41" s="790"/>
      <c r="X41" s="790"/>
      <c r="Y41" s="790"/>
      <c r="Z41" s="790"/>
      <c r="AA41" s="790"/>
      <c r="AB41" s="790"/>
      <c r="AC41" s="790"/>
      <c r="AD41" s="791"/>
      <c r="AE41" s="101"/>
    </row>
    <row r="42" spans="1:31" ht="28.5" customHeight="1">
      <c r="A42" s="792"/>
      <c r="B42" s="780"/>
      <c r="C42" s="106" t="s">
        <v>9</v>
      </c>
      <c r="D42" s="107"/>
      <c r="E42" s="107"/>
      <c r="F42" s="107"/>
      <c r="G42" s="107"/>
      <c r="H42" s="107"/>
      <c r="I42" s="107"/>
      <c r="J42" s="107"/>
      <c r="K42" s="107"/>
      <c r="L42" s="107"/>
      <c r="M42" s="107"/>
      <c r="N42" s="107"/>
      <c r="O42" s="107"/>
      <c r="P42" s="105">
        <f t="shared" si="0"/>
        <v>0</v>
      </c>
      <c r="Q42" s="782"/>
      <c r="R42" s="783"/>
      <c r="S42" s="783"/>
      <c r="T42" s="783"/>
      <c r="U42" s="783"/>
      <c r="V42" s="783"/>
      <c r="W42" s="783"/>
      <c r="X42" s="783"/>
      <c r="Y42" s="783"/>
      <c r="Z42" s="783"/>
      <c r="AA42" s="783"/>
      <c r="AB42" s="783"/>
      <c r="AC42" s="783"/>
      <c r="AD42" s="784"/>
      <c r="AE42" s="101"/>
    </row>
    <row r="43" spans="1:31" ht="28.5" customHeight="1">
      <c r="A43" s="793"/>
      <c r="B43" s="788"/>
      <c r="C43" s="103" t="s">
        <v>10</v>
      </c>
      <c r="D43" s="104"/>
      <c r="E43" s="104"/>
      <c r="F43" s="104"/>
      <c r="G43" s="109"/>
      <c r="H43" s="104"/>
      <c r="I43" s="104"/>
      <c r="J43" s="104"/>
      <c r="K43" s="104"/>
      <c r="L43" s="108"/>
      <c r="M43" s="108"/>
      <c r="N43" s="108"/>
      <c r="O43" s="108"/>
      <c r="P43" s="105">
        <f t="shared" si="0"/>
        <v>0</v>
      </c>
      <c r="Q43" s="789"/>
      <c r="R43" s="790"/>
      <c r="S43" s="790"/>
      <c r="T43" s="790"/>
      <c r="U43" s="790"/>
      <c r="V43" s="790"/>
      <c r="W43" s="790"/>
      <c r="X43" s="790"/>
      <c r="Y43" s="790"/>
      <c r="Z43" s="790"/>
      <c r="AA43" s="790"/>
      <c r="AB43" s="790"/>
      <c r="AC43" s="790"/>
      <c r="AD43" s="791"/>
      <c r="AE43" s="101"/>
    </row>
    <row r="44" spans="1:31" ht="28.5" customHeight="1">
      <c r="A44" s="424"/>
      <c r="B44" s="780"/>
      <c r="C44" s="106" t="s">
        <v>9</v>
      </c>
      <c r="D44" s="107"/>
      <c r="E44" s="107"/>
      <c r="F44" s="107"/>
      <c r="G44" s="107"/>
      <c r="H44" s="107"/>
      <c r="I44" s="107"/>
      <c r="J44" s="107"/>
      <c r="K44" s="107"/>
      <c r="L44" s="107"/>
      <c r="M44" s="107"/>
      <c r="N44" s="107"/>
      <c r="O44" s="107"/>
      <c r="P44" s="105">
        <f t="shared" si="0"/>
        <v>0</v>
      </c>
      <c r="Q44" s="782"/>
      <c r="R44" s="783"/>
      <c r="S44" s="783"/>
      <c r="T44" s="783"/>
      <c r="U44" s="783"/>
      <c r="V44" s="783"/>
      <c r="W44" s="783"/>
      <c r="X44" s="783"/>
      <c r="Y44" s="783"/>
      <c r="Z44" s="783"/>
      <c r="AA44" s="783"/>
      <c r="AB44" s="783"/>
      <c r="AC44" s="783"/>
      <c r="AD44" s="784"/>
      <c r="AE44" s="101"/>
    </row>
    <row r="45" spans="1:31" ht="28.5" customHeight="1" thickBot="1">
      <c r="A45" s="779"/>
      <c r="B45" s="781"/>
      <c r="C45" s="94" t="s">
        <v>10</v>
      </c>
      <c r="D45" s="110"/>
      <c r="E45" s="110"/>
      <c r="F45" s="110"/>
      <c r="G45" s="110"/>
      <c r="H45" s="110"/>
      <c r="I45" s="110"/>
      <c r="J45" s="110"/>
      <c r="K45" s="110"/>
      <c r="L45" s="111"/>
      <c r="M45" s="111"/>
      <c r="N45" s="111"/>
      <c r="O45" s="111"/>
      <c r="P45" s="112">
        <f t="shared" si="0"/>
        <v>0</v>
      </c>
      <c r="Q45" s="785"/>
      <c r="R45" s="786"/>
      <c r="S45" s="786"/>
      <c r="T45" s="786"/>
      <c r="U45" s="786"/>
      <c r="V45" s="786"/>
      <c r="W45" s="786"/>
      <c r="X45" s="786"/>
      <c r="Y45" s="786"/>
      <c r="Z45" s="786"/>
      <c r="AA45" s="786"/>
      <c r="AB45" s="786"/>
      <c r="AC45" s="786"/>
      <c r="AD45" s="787"/>
      <c r="AE45" s="101"/>
    </row>
    <row r="46" ht="15">
      <c r="A46" s="52" t="s">
        <v>295</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formula1>'Metas 4 PA proyecto'!$C$21:$N$21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23">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89"/>
      <c r="Z1" s="589"/>
      <c r="AA1" s="590"/>
      <c r="AB1" s="591" t="s">
        <v>18</v>
      </c>
      <c r="AC1" s="592"/>
      <c r="AD1" s="593"/>
    </row>
    <row r="2" spans="1:30"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5"/>
      <c r="Z2" s="595"/>
      <c r="AA2" s="596"/>
      <c r="AB2" s="597" t="s">
        <v>405</v>
      </c>
      <c r="AC2" s="598"/>
      <c r="AD2" s="599"/>
    </row>
    <row r="3" spans="1:30"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1"/>
      <c r="Z3" s="601"/>
      <c r="AA3" s="602"/>
      <c r="AB3" s="597" t="s">
        <v>404</v>
      </c>
      <c r="AC3" s="598"/>
      <c r="AD3" s="599"/>
    </row>
    <row r="4" spans="1:30" ht="21.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5"/>
      <c r="AB4" s="574" t="s">
        <v>176</v>
      </c>
      <c r="AC4" s="575"/>
      <c r="AD4" s="57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46" t="s">
        <v>294</v>
      </c>
      <c r="B7" s="547"/>
      <c r="C7" s="552"/>
      <c r="D7" s="531" t="s">
        <v>71</v>
      </c>
      <c r="E7" s="555"/>
      <c r="F7" s="555"/>
      <c r="G7" s="555"/>
      <c r="H7" s="532"/>
      <c r="I7" s="577">
        <v>44575</v>
      </c>
      <c r="J7" s="578"/>
      <c r="K7" s="531" t="s">
        <v>67</v>
      </c>
      <c r="L7" s="532"/>
      <c r="M7" s="583" t="s">
        <v>70</v>
      </c>
      <c r="N7" s="584"/>
      <c r="O7" s="564" t="s">
        <v>408</v>
      </c>
      <c r="P7" s="565"/>
      <c r="Q7" s="56"/>
      <c r="R7" s="56"/>
      <c r="S7" s="56"/>
      <c r="T7" s="56"/>
      <c r="U7" s="56"/>
      <c r="V7" s="56"/>
      <c r="W7" s="56"/>
      <c r="X7" s="56"/>
      <c r="Y7" s="56"/>
      <c r="Z7" s="57"/>
      <c r="AA7" s="56"/>
      <c r="AB7" s="56"/>
      <c r="AC7" s="62"/>
      <c r="AD7" s="63"/>
    </row>
    <row r="8" spans="1:30" ht="15">
      <c r="A8" s="548"/>
      <c r="B8" s="549"/>
      <c r="C8" s="553"/>
      <c r="D8" s="533"/>
      <c r="E8" s="556"/>
      <c r="F8" s="556"/>
      <c r="G8" s="556"/>
      <c r="H8" s="534"/>
      <c r="I8" s="579"/>
      <c r="J8" s="580"/>
      <c r="K8" s="533"/>
      <c r="L8" s="534"/>
      <c r="M8" s="566" t="s">
        <v>68</v>
      </c>
      <c r="N8" s="567"/>
      <c r="O8" s="568"/>
      <c r="P8" s="569"/>
      <c r="Q8" s="56"/>
      <c r="R8" s="56"/>
      <c r="S8" s="56"/>
      <c r="T8" s="56"/>
      <c r="U8" s="56"/>
      <c r="V8" s="56"/>
      <c r="W8" s="56"/>
      <c r="X8" s="56"/>
      <c r="Y8" s="56"/>
      <c r="Z8" s="57"/>
      <c r="AA8" s="56"/>
      <c r="AB8" s="56"/>
      <c r="AC8" s="62"/>
      <c r="AD8" s="63"/>
    </row>
    <row r="9" spans="1:30" ht="15.75" thickBot="1">
      <c r="A9" s="550"/>
      <c r="B9" s="551"/>
      <c r="C9" s="554"/>
      <c r="D9" s="535"/>
      <c r="E9" s="557"/>
      <c r="F9" s="557"/>
      <c r="G9" s="557"/>
      <c r="H9" s="536"/>
      <c r="I9" s="581"/>
      <c r="J9" s="582"/>
      <c r="K9" s="535"/>
      <c r="L9" s="536"/>
      <c r="M9" s="570" t="s">
        <v>69</v>
      </c>
      <c r="N9" s="571"/>
      <c r="O9" s="572"/>
      <c r="P9" s="57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1" t="s">
        <v>0</v>
      </c>
      <c r="B11" s="532"/>
      <c r="C11" s="537"/>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c r="A12" s="533"/>
      <c r="B12" s="534"/>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c r="A13" s="535"/>
      <c r="B13" s="536"/>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22" t="s">
        <v>77</v>
      </c>
      <c r="B15" s="523"/>
      <c r="C15" s="518"/>
      <c r="D15" s="519"/>
      <c r="E15" s="519"/>
      <c r="F15" s="519"/>
      <c r="G15" s="519"/>
      <c r="H15" s="519"/>
      <c r="I15" s="519"/>
      <c r="J15" s="519"/>
      <c r="K15" s="520"/>
      <c r="L15" s="558" t="s">
        <v>73</v>
      </c>
      <c r="M15" s="559"/>
      <c r="N15" s="559"/>
      <c r="O15" s="559"/>
      <c r="P15" s="559"/>
      <c r="Q15" s="560"/>
      <c r="R15" s="561"/>
      <c r="S15" s="562"/>
      <c r="T15" s="562"/>
      <c r="U15" s="562"/>
      <c r="V15" s="562"/>
      <c r="W15" s="562"/>
      <c r="X15" s="563"/>
      <c r="Y15" s="558" t="s">
        <v>72</v>
      </c>
      <c r="Z15" s="560"/>
      <c r="AA15" s="518"/>
      <c r="AB15" s="519"/>
      <c r="AC15" s="519"/>
      <c r="AD15" s="520"/>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22" t="s">
        <v>79</v>
      </c>
      <c r="B17" s="523"/>
      <c r="C17" s="524"/>
      <c r="D17" s="525"/>
      <c r="E17" s="525"/>
      <c r="F17" s="525"/>
      <c r="G17" s="525"/>
      <c r="H17" s="525"/>
      <c r="I17" s="525"/>
      <c r="J17" s="525"/>
      <c r="K17" s="525"/>
      <c r="L17" s="525"/>
      <c r="M17" s="525"/>
      <c r="N17" s="525"/>
      <c r="O17" s="525"/>
      <c r="P17" s="525"/>
      <c r="Q17" s="526"/>
      <c r="R17" s="509" t="s">
        <v>378</v>
      </c>
      <c r="S17" s="510"/>
      <c r="T17" s="510"/>
      <c r="U17" s="510"/>
      <c r="V17" s="511"/>
      <c r="W17" s="527"/>
      <c r="X17" s="528"/>
      <c r="Y17" s="510" t="s">
        <v>15</v>
      </c>
      <c r="Z17" s="510"/>
      <c r="AA17" s="510"/>
      <c r="AB17" s="511"/>
      <c r="AC17" s="529"/>
      <c r="AD17" s="5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09" t="s">
        <v>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1"/>
      <c r="AE19" s="86"/>
      <c r="AF19" s="86"/>
    </row>
    <row r="20" spans="1:32" ht="31.5" customHeight="1" thickBot="1">
      <c r="A20" s="85"/>
      <c r="B20" s="62"/>
      <c r="C20" s="512" t="s">
        <v>380</v>
      </c>
      <c r="D20" s="513"/>
      <c r="E20" s="513"/>
      <c r="F20" s="513"/>
      <c r="G20" s="513"/>
      <c r="H20" s="513"/>
      <c r="I20" s="513"/>
      <c r="J20" s="513"/>
      <c r="K20" s="513"/>
      <c r="L20" s="513"/>
      <c r="M20" s="513"/>
      <c r="N20" s="513"/>
      <c r="O20" s="513"/>
      <c r="P20" s="514"/>
      <c r="Q20" s="515" t="s">
        <v>381</v>
      </c>
      <c r="R20" s="516"/>
      <c r="S20" s="516"/>
      <c r="T20" s="516"/>
      <c r="U20" s="516"/>
      <c r="V20" s="516"/>
      <c r="W20" s="516"/>
      <c r="X20" s="516"/>
      <c r="Y20" s="516"/>
      <c r="Z20" s="516"/>
      <c r="AA20" s="516"/>
      <c r="AB20" s="516"/>
      <c r="AC20" s="516"/>
      <c r="AD20" s="517"/>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442" t="s">
        <v>382</v>
      </c>
      <c r="B22" s="447"/>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43" t="s">
        <v>383</v>
      </c>
      <c r="B23" s="450"/>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43" t="s">
        <v>384</v>
      </c>
      <c r="B24" s="450"/>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498" t="s">
        <v>385</v>
      </c>
      <c r="B25" s="499"/>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0" t="s">
        <v>76</v>
      </c>
      <c r="B27" s="501"/>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3"/>
    </row>
    <row r="28" spans="1:30" ht="15" customHeight="1">
      <c r="A28" s="504" t="s">
        <v>190</v>
      </c>
      <c r="B28" s="506" t="s">
        <v>6</v>
      </c>
      <c r="C28" s="507"/>
      <c r="D28" s="450" t="s">
        <v>402</v>
      </c>
      <c r="E28" s="451"/>
      <c r="F28" s="451"/>
      <c r="G28" s="451"/>
      <c r="H28" s="451"/>
      <c r="I28" s="451"/>
      <c r="J28" s="451"/>
      <c r="K28" s="451"/>
      <c r="L28" s="451"/>
      <c r="M28" s="451"/>
      <c r="N28" s="451"/>
      <c r="O28" s="508"/>
      <c r="P28" s="494" t="s">
        <v>8</v>
      </c>
      <c r="Q28" s="494" t="s">
        <v>84</v>
      </c>
      <c r="R28" s="494"/>
      <c r="S28" s="494"/>
      <c r="T28" s="494"/>
      <c r="U28" s="494"/>
      <c r="V28" s="494"/>
      <c r="W28" s="494"/>
      <c r="X28" s="494"/>
      <c r="Y28" s="494"/>
      <c r="Z28" s="494"/>
      <c r="AA28" s="494"/>
      <c r="AB28" s="494"/>
      <c r="AC28" s="494"/>
      <c r="AD28" s="496"/>
    </row>
    <row r="29" spans="1:30" ht="27" customHeight="1">
      <c r="A29" s="505"/>
      <c r="B29" s="462"/>
      <c r="C29" s="497"/>
      <c r="D29" s="214" t="s">
        <v>39</v>
      </c>
      <c r="E29" s="214" t="s">
        <v>40</v>
      </c>
      <c r="F29" s="214" t="s">
        <v>41</v>
      </c>
      <c r="G29" s="214" t="s">
        <v>42</v>
      </c>
      <c r="H29" s="214" t="s">
        <v>43</v>
      </c>
      <c r="I29" s="214" t="s">
        <v>44</v>
      </c>
      <c r="J29" s="214" t="s">
        <v>45</v>
      </c>
      <c r="K29" s="214" t="s">
        <v>46</v>
      </c>
      <c r="L29" s="214" t="s">
        <v>47</v>
      </c>
      <c r="M29" s="214" t="s">
        <v>48</v>
      </c>
      <c r="N29" s="214" t="s">
        <v>49</v>
      </c>
      <c r="O29" s="214" t="s">
        <v>50</v>
      </c>
      <c r="P29" s="508"/>
      <c r="Q29" s="494"/>
      <c r="R29" s="494"/>
      <c r="S29" s="494"/>
      <c r="T29" s="494"/>
      <c r="U29" s="494"/>
      <c r="V29" s="494"/>
      <c r="W29" s="494"/>
      <c r="X29" s="494"/>
      <c r="Y29" s="494"/>
      <c r="Z29" s="494"/>
      <c r="AA29" s="494"/>
      <c r="AB29" s="494"/>
      <c r="AC29" s="494"/>
      <c r="AD29" s="496"/>
    </row>
    <row r="30" spans="1:30" ht="61.5" customHeight="1" thickBot="1">
      <c r="A30" s="218">
        <f>C17</f>
        <v>0</v>
      </c>
      <c r="B30" s="487" t="s">
        <v>411</v>
      </c>
      <c r="C30" s="488"/>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489" t="s">
        <v>297</v>
      </c>
      <c r="R30" s="489"/>
      <c r="S30" s="489"/>
      <c r="T30" s="489"/>
      <c r="U30" s="489"/>
      <c r="V30" s="489"/>
      <c r="W30" s="489"/>
      <c r="X30" s="489"/>
      <c r="Y30" s="489"/>
      <c r="Z30" s="489"/>
      <c r="AA30" s="489"/>
      <c r="AB30" s="489"/>
      <c r="AC30" s="489"/>
      <c r="AD30" s="490"/>
    </row>
    <row r="31" spans="1:30" ht="45" customHeight="1">
      <c r="A31" s="491" t="s">
        <v>293</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3"/>
    </row>
    <row r="32" spans="1:41" ht="22.5" customHeight="1">
      <c r="A32" s="443" t="s">
        <v>191</v>
      </c>
      <c r="B32" s="494" t="s">
        <v>62</v>
      </c>
      <c r="C32" s="494" t="s">
        <v>6</v>
      </c>
      <c r="D32" s="494" t="s">
        <v>60</v>
      </c>
      <c r="E32" s="494"/>
      <c r="F32" s="494"/>
      <c r="G32" s="494"/>
      <c r="H32" s="494"/>
      <c r="I32" s="494"/>
      <c r="J32" s="494"/>
      <c r="K32" s="494"/>
      <c r="L32" s="494"/>
      <c r="M32" s="494"/>
      <c r="N32" s="494"/>
      <c r="O32" s="494"/>
      <c r="P32" s="494"/>
      <c r="Q32" s="494" t="s">
        <v>85</v>
      </c>
      <c r="R32" s="494"/>
      <c r="S32" s="494"/>
      <c r="T32" s="494"/>
      <c r="U32" s="494"/>
      <c r="V32" s="494"/>
      <c r="W32" s="494"/>
      <c r="X32" s="494"/>
      <c r="Y32" s="494"/>
      <c r="Z32" s="494"/>
      <c r="AA32" s="494"/>
      <c r="AB32" s="494"/>
      <c r="AC32" s="494"/>
      <c r="AD32" s="496"/>
      <c r="AG32" s="90"/>
      <c r="AH32" s="90"/>
      <c r="AI32" s="90"/>
      <c r="AJ32" s="90"/>
      <c r="AK32" s="90"/>
      <c r="AL32" s="90"/>
      <c r="AM32" s="90"/>
      <c r="AN32" s="90"/>
      <c r="AO32" s="90"/>
    </row>
    <row r="33" spans="1:41" ht="22.5" customHeight="1">
      <c r="A33" s="443"/>
      <c r="B33" s="494"/>
      <c r="C33" s="495"/>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462" t="s">
        <v>80</v>
      </c>
      <c r="R33" s="463"/>
      <c r="S33" s="463"/>
      <c r="T33" s="463"/>
      <c r="U33" s="463"/>
      <c r="V33" s="497"/>
      <c r="W33" s="462" t="s">
        <v>81</v>
      </c>
      <c r="X33" s="463"/>
      <c r="Y33" s="463"/>
      <c r="Z33" s="497"/>
      <c r="AA33" s="462" t="s">
        <v>82</v>
      </c>
      <c r="AB33" s="463"/>
      <c r="AC33" s="463"/>
      <c r="AD33" s="464"/>
      <c r="AG33" s="90"/>
      <c r="AH33" s="90"/>
      <c r="AI33" s="90"/>
      <c r="AJ33" s="90"/>
      <c r="AK33" s="90"/>
      <c r="AL33" s="90"/>
      <c r="AM33" s="90"/>
      <c r="AN33" s="90"/>
      <c r="AO33" s="90"/>
    </row>
    <row r="34" spans="1:41" ht="33" customHeight="1">
      <c r="A34" s="465">
        <f>A30</f>
        <v>0</v>
      </c>
      <c r="B34" s="801"/>
      <c r="C34" s="93" t="s">
        <v>9</v>
      </c>
      <c r="D34" s="92"/>
      <c r="E34" s="92"/>
      <c r="F34" s="92"/>
      <c r="G34" s="92"/>
      <c r="H34" s="92"/>
      <c r="I34" s="92"/>
      <c r="J34" s="92"/>
      <c r="K34" s="92"/>
      <c r="L34" s="92"/>
      <c r="M34" s="92"/>
      <c r="N34" s="92"/>
      <c r="O34" s="92"/>
      <c r="P34" s="213">
        <f>SUM(D34:O34)</f>
        <v>0</v>
      </c>
      <c r="Q34" s="802" t="s">
        <v>193</v>
      </c>
      <c r="R34" s="803"/>
      <c r="S34" s="803"/>
      <c r="T34" s="803"/>
      <c r="U34" s="803"/>
      <c r="V34" s="804"/>
      <c r="W34" s="802" t="s">
        <v>194</v>
      </c>
      <c r="X34" s="803"/>
      <c r="Y34" s="803"/>
      <c r="Z34" s="804"/>
      <c r="AA34" s="802" t="s">
        <v>195</v>
      </c>
      <c r="AB34" s="803"/>
      <c r="AC34" s="803"/>
      <c r="AD34" s="808"/>
      <c r="AG34" s="90"/>
      <c r="AH34" s="90"/>
      <c r="AI34" s="90"/>
      <c r="AJ34" s="90"/>
      <c r="AK34" s="90"/>
      <c r="AL34" s="90"/>
      <c r="AM34" s="90"/>
      <c r="AN34" s="90"/>
      <c r="AO34" s="90"/>
    </row>
    <row r="35" spans="1:41" ht="33.75" customHeight="1" thickBot="1">
      <c r="A35" s="466"/>
      <c r="B35" s="607"/>
      <c r="C35" s="94" t="s">
        <v>10</v>
      </c>
      <c r="D35" s="95"/>
      <c r="E35" s="95"/>
      <c r="F35" s="95"/>
      <c r="G35" s="96"/>
      <c r="H35" s="96"/>
      <c r="I35" s="96"/>
      <c r="J35" s="96"/>
      <c r="K35" s="96"/>
      <c r="L35" s="96"/>
      <c r="M35" s="96"/>
      <c r="N35" s="96"/>
      <c r="O35" s="96"/>
      <c r="P35" s="178">
        <f>SUM(D35:O35)</f>
        <v>0</v>
      </c>
      <c r="Q35" s="805"/>
      <c r="R35" s="806"/>
      <c r="S35" s="806"/>
      <c r="T35" s="806"/>
      <c r="U35" s="806"/>
      <c r="V35" s="807"/>
      <c r="W35" s="805"/>
      <c r="X35" s="806"/>
      <c r="Y35" s="806"/>
      <c r="Z35" s="807"/>
      <c r="AA35" s="805"/>
      <c r="AB35" s="806"/>
      <c r="AC35" s="806"/>
      <c r="AD35" s="809"/>
      <c r="AE35" s="50"/>
      <c r="AF35" s="97"/>
      <c r="AG35" s="90"/>
      <c r="AH35" s="90"/>
      <c r="AI35" s="90"/>
      <c r="AJ35" s="90"/>
      <c r="AK35" s="90"/>
      <c r="AL35" s="90"/>
      <c r="AM35" s="90"/>
      <c r="AN35" s="90"/>
      <c r="AO35" s="90"/>
    </row>
    <row r="36" spans="1:41" ht="25.5" customHeight="1">
      <c r="A36" s="442" t="s">
        <v>192</v>
      </c>
      <c r="B36" s="444" t="s">
        <v>61</v>
      </c>
      <c r="C36" s="446" t="s">
        <v>11</v>
      </c>
      <c r="D36" s="446"/>
      <c r="E36" s="446"/>
      <c r="F36" s="446"/>
      <c r="G36" s="446"/>
      <c r="H36" s="446"/>
      <c r="I36" s="446"/>
      <c r="J36" s="446"/>
      <c r="K36" s="446"/>
      <c r="L36" s="446"/>
      <c r="M36" s="446"/>
      <c r="N36" s="446"/>
      <c r="O36" s="446"/>
      <c r="P36" s="446"/>
      <c r="Q36" s="447" t="s">
        <v>78</v>
      </c>
      <c r="R36" s="448"/>
      <c r="S36" s="448"/>
      <c r="T36" s="448"/>
      <c r="U36" s="448"/>
      <c r="V36" s="448"/>
      <c r="W36" s="448"/>
      <c r="X36" s="448"/>
      <c r="Y36" s="448"/>
      <c r="Z36" s="448"/>
      <c r="AA36" s="448"/>
      <c r="AB36" s="448"/>
      <c r="AC36" s="448"/>
      <c r="AD36" s="449"/>
      <c r="AG36" s="90"/>
      <c r="AH36" s="90"/>
      <c r="AI36" s="90"/>
      <c r="AJ36" s="90"/>
      <c r="AK36" s="90"/>
      <c r="AL36" s="90"/>
      <c r="AM36" s="90"/>
      <c r="AN36" s="90"/>
      <c r="AO36" s="90"/>
    </row>
    <row r="37" spans="1:41" ht="25.5" customHeight="1">
      <c r="A37" s="443"/>
      <c r="B37" s="445"/>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450" t="s">
        <v>83</v>
      </c>
      <c r="R37" s="451"/>
      <c r="S37" s="451"/>
      <c r="T37" s="451"/>
      <c r="U37" s="451"/>
      <c r="V37" s="451"/>
      <c r="W37" s="451"/>
      <c r="X37" s="451"/>
      <c r="Y37" s="451"/>
      <c r="Z37" s="451"/>
      <c r="AA37" s="451"/>
      <c r="AB37" s="451"/>
      <c r="AC37" s="451"/>
      <c r="AD37" s="452"/>
      <c r="AG37" s="98"/>
      <c r="AH37" s="98"/>
      <c r="AI37" s="98"/>
      <c r="AJ37" s="98"/>
      <c r="AK37" s="98"/>
      <c r="AL37" s="98"/>
      <c r="AM37" s="98"/>
      <c r="AN37" s="98"/>
      <c r="AO37" s="98"/>
    </row>
    <row r="38" spans="1:41" ht="28.5" customHeight="1">
      <c r="A38" s="453"/>
      <c r="B38" s="794"/>
      <c r="C38" s="93" t="s">
        <v>9</v>
      </c>
      <c r="D38" s="99"/>
      <c r="E38" s="99"/>
      <c r="F38" s="99"/>
      <c r="G38" s="99"/>
      <c r="H38" s="99"/>
      <c r="I38" s="99"/>
      <c r="J38" s="99"/>
      <c r="K38" s="99"/>
      <c r="L38" s="99"/>
      <c r="M38" s="99"/>
      <c r="N38" s="99"/>
      <c r="O38" s="99"/>
      <c r="P38" s="100">
        <f aca="true" t="shared" si="0" ref="P38:P45">SUM(D38:O38)</f>
        <v>0</v>
      </c>
      <c r="Q38" s="795" t="s">
        <v>287</v>
      </c>
      <c r="R38" s="796"/>
      <c r="S38" s="796"/>
      <c r="T38" s="796"/>
      <c r="U38" s="796"/>
      <c r="V38" s="796"/>
      <c r="W38" s="796"/>
      <c r="X38" s="796"/>
      <c r="Y38" s="796"/>
      <c r="Z38" s="796"/>
      <c r="AA38" s="796"/>
      <c r="AB38" s="796"/>
      <c r="AC38" s="796"/>
      <c r="AD38" s="797"/>
      <c r="AE38" s="101"/>
      <c r="AG38" s="102"/>
      <c r="AH38" s="102"/>
      <c r="AI38" s="102"/>
      <c r="AJ38" s="102"/>
      <c r="AK38" s="102"/>
      <c r="AL38" s="102"/>
      <c r="AM38" s="102"/>
      <c r="AN38" s="102"/>
      <c r="AO38" s="102"/>
    </row>
    <row r="39" spans="1:31" ht="28.5" customHeight="1">
      <c r="A39" s="454"/>
      <c r="B39" s="788"/>
      <c r="C39" s="103" t="s">
        <v>10</v>
      </c>
      <c r="D39" s="104"/>
      <c r="E39" s="104"/>
      <c r="F39" s="104"/>
      <c r="G39" s="104"/>
      <c r="H39" s="104"/>
      <c r="I39" s="104"/>
      <c r="J39" s="104"/>
      <c r="K39" s="104"/>
      <c r="L39" s="104"/>
      <c r="M39" s="104"/>
      <c r="N39" s="104"/>
      <c r="O39" s="104"/>
      <c r="P39" s="105">
        <f t="shared" si="0"/>
        <v>0</v>
      </c>
      <c r="Q39" s="798"/>
      <c r="R39" s="799"/>
      <c r="S39" s="799"/>
      <c r="T39" s="799"/>
      <c r="U39" s="799"/>
      <c r="V39" s="799"/>
      <c r="W39" s="799"/>
      <c r="X39" s="799"/>
      <c r="Y39" s="799"/>
      <c r="Z39" s="799"/>
      <c r="AA39" s="799"/>
      <c r="AB39" s="799"/>
      <c r="AC39" s="799"/>
      <c r="AD39" s="800"/>
      <c r="AE39" s="101"/>
    </row>
    <row r="40" spans="1:31" ht="28.5" customHeight="1">
      <c r="A40" s="454"/>
      <c r="B40" s="780"/>
      <c r="C40" s="106" t="s">
        <v>9</v>
      </c>
      <c r="D40" s="107"/>
      <c r="E40" s="107"/>
      <c r="F40" s="107"/>
      <c r="G40" s="107"/>
      <c r="H40" s="107"/>
      <c r="I40" s="107"/>
      <c r="J40" s="107"/>
      <c r="K40" s="107"/>
      <c r="L40" s="107"/>
      <c r="M40" s="107"/>
      <c r="N40" s="107"/>
      <c r="O40" s="107"/>
      <c r="P40" s="105">
        <f t="shared" si="0"/>
        <v>0</v>
      </c>
      <c r="Q40" s="782"/>
      <c r="R40" s="783"/>
      <c r="S40" s="783"/>
      <c r="T40" s="783"/>
      <c r="U40" s="783"/>
      <c r="V40" s="783"/>
      <c r="W40" s="783"/>
      <c r="X40" s="783"/>
      <c r="Y40" s="783"/>
      <c r="Z40" s="783"/>
      <c r="AA40" s="783"/>
      <c r="AB40" s="783"/>
      <c r="AC40" s="783"/>
      <c r="AD40" s="784"/>
      <c r="AE40" s="101"/>
    </row>
    <row r="41" spans="1:31" ht="28.5" customHeight="1">
      <c r="A41" s="454"/>
      <c r="B41" s="788"/>
      <c r="C41" s="103" t="s">
        <v>10</v>
      </c>
      <c r="D41" s="104"/>
      <c r="E41" s="104"/>
      <c r="F41" s="104"/>
      <c r="G41" s="104"/>
      <c r="H41" s="104"/>
      <c r="I41" s="104"/>
      <c r="J41" s="104"/>
      <c r="K41" s="104"/>
      <c r="L41" s="108"/>
      <c r="M41" s="108"/>
      <c r="N41" s="108"/>
      <c r="O41" s="108"/>
      <c r="P41" s="105">
        <f t="shared" si="0"/>
        <v>0</v>
      </c>
      <c r="Q41" s="789"/>
      <c r="R41" s="790"/>
      <c r="S41" s="790"/>
      <c r="T41" s="790"/>
      <c r="U41" s="790"/>
      <c r="V41" s="790"/>
      <c r="W41" s="790"/>
      <c r="X41" s="790"/>
      <c r="Y41" s="790"/>
      <c r="Z41" s="790"/>
      <c r="AA41" s="790"/>
      <c r="AB41" s="790"/>
      <c r="AC41" s="790"/>
      <c r="AD41" s="791"/>
      <c r="AE41" s="101"/>
    </row>
    <row r="42" spans="1:31" ht="28.5" customHeight="1">
      <c r="A42" s="792"/>
      <c r="B42" s="780"/>
      <c r="C42" s="106" t="s">
        <v>9</v>
      </c>
      <c r="D42" s="107"/>
      <c r="E42" s="107"/>
      <c r="F42" s="107"/>
      <c r="G42" s="107"/>
      <c r="H42" s="107"/>
      <c r="I42" s="107"/>
      <c r="J42" s="107"/>
      <c r="K42" s="107"/>
      <c r="L42" s="107"/>
      <c r="M42" s="107"/>
      <c r="N42" s="107"/>
      <c r="O42" s="107"/>
      <c r="P42" s="105">
        <f t="shared" si="0"/>
        <v>0</v>
      </c>
      <c r="Q42" s="782"/>
      <c r="R42" s="783"/>
      <c r="S42" s="783"/>
      <c r="T42" s="783"/>
      <c r="U42" s="783"/>
      <c r="V42" s="783"/>
      <c r="W42" s="783"/>
      <c r="X42" s="783"/>
      <c r="Y42" s="783"/>
      <c r="Z42" s="783"/>
      <c r="AA42" s="783"/>
      <c r="AB42" s="783"/>
      <c r="AC42" s="783"/>
      <c r="AD42" s="784"/>
      <c r="AE42" s="101"/>
    </row>
    <row r="43" spans="1:31" ht="28.5" customHeight="1">
      <c r="A43" s="793"/>
      <c r="B43" s="788"/>
      <c r="C43" s="103" t="s">
        <v>10</v>
      </c>
      <c r="D43" s="104"/>
      <c r="E43" s="104"/>
      <c r="F43" s="104"/>
      <c r="G43" s="109"/>
      <c r="H43" s="104"/>
      <c r="I43" s="104"/>
      <c r="J43" s="104"/>
      <c r="K43" s="104"/>
      <c r="L43" s="108"/>
      <c r="M43" s="108"/>
      <c r="N43" s="108"/>
      <c r="O43" s="108"/>
      <c r="P43" s="105">
        <f t="shared" si="0"/>
        <v>0</v>
      </c>
      <c r="Q43" s="789"/>
      <c r="R43" s="790"/>
      <c r="S43" s="790"/>
      <c r="T43" s="790"/>
      <c r="U43" s="790"/>
      <c r="V43" s="790"/>
      <c r="W43" s="790"/>
      <c r="X43" s="790"/>
      <c r="Y43" s="790"/>
      <c r="Z43" s="790"/>
      <c r="AA43" s="790"/>
      <c r="AB43" s="790"/>
      <c r="AC43" s="790"/>
      <c r="AD43" s="791"/>
      <c r="AE43" s="101"/>
    </row>
    <row r="44" spans="1:31" ht="28.5" customHeight="1">
      <c r="A44" s="424"/>
      <c r="B44" s="780"/>
      <c r="C44" s="106" t="s">
        <v>9</v>
      </c>
      <c r="D44" s="107"/>
      <c r="E44" s="107"/>
      <c r="F44" s="107"/>
      <c r="G44" s="107"/>
      <c r="H44" s="107"/>
      <c r="I44" s="107"/>
      <c r="J44" s="107"/>
      <c r="K44" s="107"/>
      <c r="L44" s="107"/>
      <c r="M44" s="107"/>
      <c r="N44" s="107"/>
      <c r="O44" s="107"/>
      <c r="P44" s="105">
        <f t="shared" si="0"/>
        <v>0</v>
      </c>
      <c r="Q44" s="782"/>
      <c r="R44" s="783"/>
      <c r="S44" s="783"/>
      <c r="T44" s="783"/>
      <c r="U44" s="783"/>
      <c r="V44" s="783"/>
      <c r="W44" s="783"/>
      <c r="X44" s="783"/>
      <c r="Y44" s="783"/>
      <c r="Z44" s="783"/>
      <c r="AA44" s="783"/>
      <c r="AB44" s="783"/>
      <c r="AC44" s="783"/>
      <c r="AD44" s="784"/>
      <c r="AE44" s="101"/>
    </row>
    <row r="45" spans="1:31" ht="28.5" customHeight="1" thickBot="1">
      <c r="A45" s="779"/>
      <c r="B45" s="781"/>
      <c r="C45" s="94" t="s">
        <v>10</v>
      </c>
      <c r="D45" s="110"/>
      <c r="E45" s="110"/>
      <c r="F45" s="110"/>
      <c r="G45" s="110"/>
      <c r="H45" s="110"/>
      <c r="I45" s="110"/>
      <c r="J45" s="110"/>
      <c r="K45" s="110"/>
      <c r="L45" s="111"/>
      <c r="M45" s="111"/>
      <c r="N45" s="111"/>
      <c r="O45" s="111"/>
      <c r="P45" s="112">
        <f t="shared" si="0"/>
        <v>0</v>
      </c>
      <c r="Q45" s="785"/>
      <c r="R45" s="786"/>
      <c r="S45" s="786"/>
      <c r="T45" s="786"/>
      <c r="U45" s="786"/>
      <c r="V45" s="786"/>
      <c r="W45" s="786"/>
      <c r="X45" s="786"/>
      <c r="Y45" s="786"/>
      <c r="Z45" s="786"/>
      <c r="AA45" s="786"/>
      <c r="AB45" s="786"/>
      <c r="AC45" s="786"/>
      <c r="AD45" s="787"/>
      <c r="AE45" s="101"/>
    </row>
    <row r="46" ht="15">
      <c r="A46" s="52" t="s">
        <v>295</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'Metas 5 PA proyecto'!$C$21:$N$21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2.xml><?xml version="1.0" encoding="utf-8"?>
<worksheet xmlns="http://schemas.openxmlformats.org/spreadsheetml/2006/main" xmlns:r="http://schemas.openxmlformats.org/officeDocument/2006/relationships">
  <dimension ref="A1:CA60"/>
  <sheetViews>
    <sheetView zoomScale="51" zoomScaleNormal="51" zoomScalePageLayoutView="0" workbookViewId="0" topLeftCell="A1">
      <selection activeCell="K21" sqref="K21"/>
    </sheetView>
  </sheetViews>
  <sheetFormatPr defaultColWidth="19.57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865" t="s">
        <v>16</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c r="AY1" s="865"/>
      <c r="AZ1" s="865"/>
      <c r="BA1" s="865"/>
      <c r="BB1" s="865"/>
      <c r="BC1" s="865"/>
      <c r="BD1" s="865"/>
      <c r="BE1" s="865"/>
      <c r="BF1" s="865"/>
      <c r="BG1" s="865"/>
      <c r="BH1" s="865"/>
      <c r="BI1" s="865"/>
      <c r="BJ1" s="865"/>
      <c r="BK1" s="865"/>
      <c r="BL1" s="865"/>
      <c r="BM1" s="865"/>
      <c r="BN1" s="865"/>
      <c r="BO1" s="865"/>
      <c r="BP1" s="865"/>
      <c r="BQ1" s="865"/>
      <c r="BR1" s="865"/>
      <c r="BS1" s="865"/>
      <c r="BT1" s="865"/>
      <c r="BU1" s="865"/>
      <c r="BV1" s="865"/>
      <c r="BW1" s="865"/>
      <c r="BX1" s="865"/>
      <c r="BY1" s="866" t="s">
        <v>18</v>
      </c>
      <c r="BZ1" s="866"/>
      <c r="CA1" s="866"/>
    </row>
    <row r="2" spans="1:79" ht="15.75" customHeight="1">
      <c r="A2" s="865" t="s">
        <v>17</v>
      </c>
      <c r="B2" s="865"/>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c r="AZ2" s="865"/>
      <c r="BA2" s="865"/>
      <c r="BB2" s="865"/>
      <c r="BC2" s="865"/>
      <c r="BD2" s="865"/>
      <c r="BE2" s="865"/>
      <c r="BF2" s="865"/>
      <c r="BG2" s="865"/>
      <c r="BH2" s="865"/>
      <c r="BI2" s="865"/>
      <c r="BJ2" s="865"/>
      <c r="BK2" s="865"/>
      <c r="BL2" s="865"/>
      <c r="BM2" s="865"/>
      <c r="BN2" s="865"/>
      <c r="BO2" s="865"/>
      <c r="BP2" s="865"/>
      <c r="BQ2" s="865"/>
      <c r="BR2" s="865"/>
      <c r="BS2" s="865"/>
      <c r="BT2" s="865"/>
      <c r="BU2" s="865"/>
      <c r="BV2" s="865"/>
      <c r="BW2" s="865"/>
      <c r="BX2" s="865"/>
      <c r="BY2" s="867" t="s">
        <v>405</v>
      </c>
      <c r="BZ2" s="867"/>
      <c r="CA2" s="867"/>
    </row>
    <row r="3" spans="1:79" ht="25.5" customHeight="1">
      <c r="A3" s="865" t="s">
        <v>188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865"/>
      <c r="BF3" s="865"/>
      <c r="BG3" s="865"/>
      <c r="BH3" s="865"/>
      <c r="BI3" s="865"/>
      <c r="BJ3" s="865"/>
      <c r="BK3" s="865"/>
      <c r="BL3" s="865"/>
      <c r="BM3" s="865"/>
      <c r="BN3" s="865"/>
      <c r="BO3" s="865"/>
      <c r="BP3" s="865"/>
      <c r="BQ3" s="865"/>
      <c r="BR3" s="865"/>
      <c r="BS3" s="865"/>
      <c r="BT3" s="865"/>
      <c r="BU3" s="865"/>
      <c r="BV3" s="865"/>
      <c r="BW3" s="865"/>
      <c r="BX3" s="865"/>
      <c r="BY3" s="867" t="s">
        <v>404</v>
      </c>
      <c r="BZ3" s="867"/>
      <c r="CA3" s="867"/>
    </row>
    <row r="4" spans="1:79" ht="15.75" customHeight="1">
      <c r="A4" s="865" t="s">
        <v>173</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5"/>
      <c r="BO4" s="865"/>
      <c r="BP4" s="865"/>
      <c r="BQ4" s="865"/>
      <c r="BR4" s="865"/>
      <c r="BS4" s="865"/>
      <c r="BT4" s="865"/>
      <c r="BU4" s="865"/>
      <c r="BV4" s="865"/>
      <c r="BW4" s="865"/>
      <c r="BX4" s="865"/>
      <c r="BY4" s="862" t="s">
        <v>184</v>
      </c>
      <c r="BZ4" s="863"/>
      <c r="CA4" s="864"/>
    </row>
    <row r="5" spans="1:79" ht="25.5" customHeight="1">
      <c r="A5" s="868" t="s">
        <v>321</v>
      </c>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O5" s="868" t="s">
        <v>322</v>
      </c>
      <c r="AP5" s="868"/>
      <c r="AQ5" s="868"/>
      <c r="AR5" s="868"/>
      <c r="AS5" s="868"/>
      <c r="AT5" s="868"/>
      <c r="AU5" s="868"/>
      <c r="AV5" s="868"/>
      <c r="AW5" s="868"/>
      <c r="AX5" s="868"/>
      <c r="AY5" s="868"/>
      <c r="AZ5" s="868"/>
      <c r="BA5" s="868"/>
      <c r="BB5" s="868"/>
      <c r="BC5" s="868"/>
      <c r="BD5" s="868"/>
      <c r="BE5" s="868"/>
      <c r="BF5" s="868"/>
      <c r="BG5" s="868"/>
      <c r="BH5" s="868"/>
      <c r="BI5" s="868"/>
      <c r="BJ5" s="868"/>
      <c r="BK5" s="868"/>
      <c r="BL5" s="868"/>
      <c r="BM5" s="868"/>
      <c r="BN5" s="868"/>
      <c r="BO5" s="868"/>
      <c r="BP5" s="868"/>
      <c r="BQ5" s="868"/>
      <c r="BR5" s="868"/>
      <c r="BS5" s="868"/>
      <c r="BT5" s="868"/>
      <c r="BU5" s="868"/>
      <c r="BV5" s="868"/>
      <c r="BW5" s="868"/>
      <c r="BX5" s="868"/>
      <c r="BY5" s="869"/>
      <c r="BZ5" s="869"/>
      <c r="CA5" s="869"/>
    </row>
    <row r="6" spans="1:79" ht="27.75">
      <c r="A6" s="169" t="s">
        <v>291</v>
      </c>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c r="BA6" s="861"/>
      <c r="BB6" s="861"/>
      <c r="BC6" s="861"/>
      <c r="BD6" s="861"/>
      <c r="BE6" s="861"/>
      <c r="BF6" s="861"/>
      <c r="BG6" s="861"/>
      <c r="BH6" s="861"/>
      <c r="BI6" s="861"/>
      <c r="BJ6" s="861"/>
      <c r="BK6" s="861"/>
      <c r="BL6" s="861"/>
      <c r="BM6" s="861"/>
      <c r="BN6" s="861"/>
      <c r="BO6" s="861"/>
      <c r="BP6" s="861"/>
      <c r="BQ6" s="861"/>
      <c r="BR6" s="861"/>
      <c r="BS6" s="861"/>
      <c r="BT6" s="861"/>
      <c r="BU6" s="861"/>
      <c r="BV6" s="861"/>
      <c r="BW6" s="861"/>
      <c r="BX6" s="861"/>
      <c r="BY6" s="861"/>
      <c r="BZ6" s="861"/>
      <c r="CA6" s="861"/>
    </row>
    <row r="7" spans="1:79" ht="28.5" customHeight="1">
      <c r="A7" s="170" t="s">
        <v>178</v>
      </c>
      <c r="B7" s="872"/>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4"/>
      <c r="AY7" s="874"/>
      <c r="AZ7" s="874"/>
      <c r="BA7" s="874"/>
      <c r="BB7" s="874"/>
      <c r="BC7" s="874"/>
      <c r="BD7" s="874"/>
      <c r="BE7" s="874"/>
      <c r="BF7" s="874"/>
      <c r="BG7" s="874"/>
      <c r="BH7" s="874"/>
      <c r="BI7" s="874"/>
      <c r="BJ7" s="874"/>
      <c r="BK7" s="874"/>
      <c r="BL7" s="874"/>
      <c r="BM7" s="874"/>
      <c r="BN7" s="874"/>
      <c r="BO7" s="874"/>
      <c r="BP7" s="874"/>
      <c r="BQ7" s="874"/>
      <c r="BR7" s="874"/>
      <c r="BS7" s="874"/>
      <c r="BT7" s="874"/>
      <c r="BU7" s="874"/>
      <c r="BV7" s="874"/>
      <c r="BW7" s="874"/>
      <c r="BX7" s="874"/>
      <c r="BY7" s="874"/>
      <c r="BZ7" s="874"/>
      <c r="CA7" s="873"/>
    </row>
    <row r="8" spans="1:53" ht="6" customHeight="1">
      <c r="A8" s="160"/>
      <c r="B8" s="160"/>
      <c r="C8" s="160"/>
      <c r="D8" s="160"/>
      <c r="E8" s="160"/>
      <c r="F8" s="160"/>
      <c r="G8" s="160"/>
      <c r="H8" s="160"/>
      <c r="I8" s="160"/>
      <c r="J8" s="160"/>
      <c r="K8" s="160"/>
      <c r="L8" s="160"/>
      <c r="M8" s="160"/>
      <c r="N8" s="160"/>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O8" s="160"/>
      <c r="AP8" s="161"/>
      <c r="AQ8" s="161"/>
      <c r="AR8" s="161"/>
      <c r="AS8" s="161"/>
      <c r="AT8" s="161"/>
      <c r="AU8" s="161"/>
      <c r="AV8" s="161"/>
      <c r="AW8" s="161"/>
      <c r="AX8" s="161"/>
      <c r="AY8" s="161"/>
      <c r="AZ8" s="161"/>
      <c r="BA8" s="161"/>
    </row>
    <row r="9" spans="1:79" ht="30" customHeight="1">
      <c r="A9" s="870" t="s">
        <v>91</v>
      </c>
      <c r="B9" s="872" t="s">
        <v>39</v>
      </c>
      <c r="C9" s="873"/>
      <c r="D9" s="872" t="s">
        <v>40</v>
      </c>
      <c r="E9" s="873"/>
      <c r="F9" s="872" t="s">
        <v>41</v>
      </c>
      <c r="G9" s="873"/>
      <c r="H9" s="872" t="s">
        <v>42</v>
      </c>
      <c r="I9" s="873"/>
      <c r="J9" s="872" t="s">
        <v>43</v>
      </c>
      <c r="K9" s="873"/>
      <c r="L9" s="872" t="s">
        <v>44</v>
      </c>
      <c r="M9" s="873"/>
      <c r="N9" s="872" t="s">
        <v>45</v>
      </c>
      <c r="O9" s="873"/>
      <c r="P9" s="872" t="s">
        <v>46</v>
      </c>
      <c r="Q9" s="873"/>
      <c r="R9" s="872" t="s">
        <v>47</v>
      </c>
      <c r="S9" s="873"/>
      <c r="T9" s="872" t="s">
        <v>48</v>
      </c>
      <c r="U9" s="873"/>
      <c r="V9" s="872" t="s">
        <v>49</v>
      </c>
      <c r="W9" s="873"/>
      <c r="X9" s="872" t="s">
        <v>50</v>
      </c>
      <c r="Y9" s="873"/>
      <c r="Z9" s="872" t="s">
        <v>92</v>
      </c>
      <c r="AA9" s="873"/>
      <c r="AB9" s="872" t="s">
        <v>290</v>
      </c>
      <c r="AC9" s="874"/>
      <c r="AD9" s="874"/>
      <c r="AE9" s="874"/>
      <c r="AF9" s="874"/>
      <c r="AG9" s="873"/>
      <c r="AH9" s="872" t="s">
        <v>289</v>
      </c>
      <c r="AI9" s="874"/>
      <c r="AJ9" s="874"/>
      <c r="AK9" s="874"/>
      <c r="AL9" s="874"/>
      <c r="AM9" s="873"/>
      <c r="AO9" s="870" t="s">
        <v>91</v>
      </c>
      <c r="AP9" s="872" t="s">
        <v>39</v>
      </c>
      <c r="AQ9" s="873"/>
      <c r="AR9" s="872" t="s">
        <v>40</v>
      </c>
      <c r="AS9" s="873"/>
      <c r="AT9" s="872" t="s">
        <v>41</v>
      </c>
      <c r="AU9" s="873"/>
      <c r="AV9" s="872" t="s">
        <v>42</v>
      </c>
      <c r="AW9" s="873"/>
      <c r="AX9" s="872" t="s">
        <v>43</v>
      </c>
      <c r="AY9" s="873"/>
      <c r="AZ9" s="872" t="s">
        <v>44</v>
      </c>
      <c r="BA9" s="873"/>
      <c r="BB9" s="872" t="s">
        <v>45</v>
      </c>
      <c r="BC9" s="873"/>
      <c r="BD9" s="872" t="s">
        <v>46</v>
      </c>
      <c r="BE9" s="873"/>
      <c r="BF9" s="872" t="s">
        <v>47</v>
      </c>
      <c r="BG9" s="873"/>
      <c r="BH9" s="872" t="s">
        <v>48</v>
      </c>
      <c r="BI9" s="873"/>
      <c r="BJ9" s="872" t="s">
        <v>49</v>
      </c>
      <c r="BK9" s="873"/>
      <c r="BL9" s="872" t="s">
        <v>50</v>
      </c>
      <c r="BM9" s="873"/>
      <c r="BN9" s="872" t="s">
        <v>92</v>
      </c>
      <c r="BO9" s="873"/>
      <c r="BP9" s="872" t="s">
        <v>290</v>
      </c>
      <c r="BQ9" s="874"/>
      <c r="BR9" s="874"/>
      <c r="BS9" s="874"/>
      <c r="BT9" s="874"/>
      <c r="BU9" s="873"/>
      <c r="BV9" s="872" t="s">
        <v>289</v>
      </c>
      <c r="BW9" s="874"/>
      <c r="BX9" s="874"/>
      <c r="BY9" s="874"/>
      <c r="BZ9" s="874"/>
      <c r="CA9" s="873"/>
    </row>
    <row r="10" spans="1:79" ht="36" customHeight="1">
      <c r="A10" s="871"/>
      <c r="B10" s="126" t="s">
        <v>376</v>
      </c>
      <c r="C10" s="126" t="s">
        <v>377</v>
      </c>
      <c r="D10" s="126" t="s">
        <v>376</v>
      </c>
      <c r="E10" s="126" t="s">
        <v>377</v>
      </c>
      <c r="F10" s="126" t="s">
        <v>376</v>
      </c>
      <c r="G10" s="126" t="s">
        <v>377</v>
      </c>
      <c r="H10" s="126" t="s">
        <v>376</v>
      </c>
      <c r="I10" s="126" t="s">
        <v>377</v>
      </c>
      <c r="J10" s="126" t="s">
        <v>376</v>
      </c>
      <c r="K10" s="126" t="s">
        <v>377</v>
      </c>
      <c r="L10" s="126" t="s">
        <v>376</v>
      </c>
      <c r="M10" s="126" t="s">
        <v>377</v>
      </c>
      <c r="N10" s="126" t="s">
        <v>376</v>
      </c>
      <c r="O10" s="126" t="s">
        <v>377</v>
      </c>
      <c r="P10" s="126" t="s">
        <v>376</v>
      </c>
      <c r="Q10" s="126" t="s">
        <v>377</v>
      </c>
      <c r="R10" s="126" t="s">
        <v>376</v>
      </c>
      <c r="S10" s="126" t="s">
        <v>377</v>
      </c>
      <c r="T10" s="126" t="s">
        <v>376</v>
      </c>
      <c r="U10" s="126" t="s">
        <v>377</v>
      </c>
      <c r="V10" s="126" t="s">
        <v>376</v>
      </c>
      <c r="W10" s="126" t="s">
        <v>377</v>
      </c>
      <c r="X10" s="126" t="s">
        <v>376</v>
      </c>
      <c r="Y10" s="126" t="s">
        <v>377</v>
      </c>
      <c r="Z10" s="126" t="s">
        <v>376</v>
      </c>
      <c r="AA10" s="126" t="s">
        <v>377</v>
      </c>
      <c r="AB10" s="206" t="s">
        <v>397</v>
      </c>
      <c r="AC10" s="206" t="s">
        <v>398</v>
      </c>
      <c r="AD10" s="206" t="s">
        <v>399</v>
      </c>
      <c r="AE10" s="206" t="s">
        <v>307</v>
      </c>
      <c r="AF10" s="207" t="s">
        <v>400</v>
      </c>
      <c r="AG10" s="206" t="s">
        <v>306</v>
      </c>
      <c r="AH10" s="126" t="s">
        <v>391</v>
      </c>
      <c r="AI10" s="162" t="s">
        <v>392</v>
      </c>
      <c r="AJ10" s="126" t="s">
        <v>393</v>
      </c>
      <c r="AK10" s="126" t="s">
        <v>394</v>
      </c>
      <c r="AL10" s="126" t="s">
        <v>395</v>
      </c>
      <c r="AM10" s="126" t="s">
        <v>396</v>
      </c>
      <c r="AO10" s="871"/>
      <c r="AP10" s="126" t="s">
        <v>376</v>
      </c>
      <c r="AQ10" s="126" t="s">
        <v>377</v>
      </c>
      <c r="AR10" s="126" t="s">
        <v>376</v>
      </c>
      <c r="AS10" s="126" t="s">
        <v>377</v>
      </c>
      <c r="AT10" s="126" t="s">
        <v>376</v>
      </c>
      <c r="AU10" s="126" t="s">
        <v>377</v>
      </c>
      <c r="AV10" s="126" t="s">
        <v>376</v>
      </c>
      <c r="AW10" s="126" t="s">
        <v>377</v>
      </c>
      <c r="AX10" s="126" t="s">
        <v>376</v>
      </c>
      <c r="AY10" s="126" t="s">
        <v>377</v>
      </c>
      <c r="AZ10" s="126" t="s">
        <v>376</v>
      </c>
      <c r="BA10" s="126" t="s">
        <v>377</v>
      </c>
      <c r="BB10" s="126" t="s">
        <v>376</v>
      </c>
      <c r="BC10" s="126" t="s">
        <v>377</v>
      </c>
      <c r="BD10" s="126" t="s">
        <v>376</v>
      </c>
      <c r="BE10" s="126" t="s">
        <v>377</v>
      </c>
      <c r="BF10" s="126" t="s">
        <v>376</v>
      </c>
      <c r="BG10" s="126" t="s">
        <v>377</v>
      </c>
      <c r="BH10" s="126" t="s">
        <v>376</v>
      </c>
      <c r="BI10" s="126" t="s">
        <v>377</v>
      </c>
      <c r="BJ10" s="126" t="s">
        <v>376</v>
      </c>
      <c r="BK10" s="126" t="s">
        <v>377</v>
      </c>
      <c r="BL10" s="126" t="s">
        <v>376</v>
      </c>
      <c r="BM10" s="126" t="s">
        <v>377</v>
      </c>
      <c r="BN10" s="126" t="s">
        <v>376</v>
      </c>
      <c r="BO10" s="126" t="s">
        <v>377</v>
      </c>
      <c r="BP10" s="206" t="s">
        <v>397</v>
      </c>
      <c r="BQ10" s="206" t="s">
        <v>398</v>
      </c>
      <c r="BR10" s="206" t="s">
        <v>399</v>
      </c>
      <c r="BS10" s="206" t="s">
        <v>307</v>
      </c>
      <c r="BT10" s="207" t="s">
        <v>400</v>
      </c>
      <c r="BU10" s="206" t="s">
        <v>306</v>
      </c>
      <c r="BV10" s="204" t="s">
        <v>391</v>
      </c>
      <c r="BW10" s="205" t="s">
        <v>392</v>
      </c>
      <c r="BX10" s="204" t="s">
        <v>393</v>
      </c>
      <c r="BY10" s="204" t="s">
        <v>394</v>
      </c>
      <c r="BZ10" s="204" t="s">
        <v>395</v>
      </c>
      <c r="CA10" s="204" t="s">
        <v>396</v>
      </c>
    </row>
    <row r="11" spans="1:79" ht="13.5">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210">
        <f>B11+D11+F11+H11+J11+L11+N11+P11+R11+T11+V11+X11</f>
        <v>0</v>
      </c>
      <c r="AA11" s="171">
        <f>C11+E11+G11+I11+K11+M11+O11+Q11+S11+U11+W11+Y11</f>
        <v>0</v>
      </c>
      <c r="AB11" s="208"/>
      <c r="AC11" s="208"/>
      <c r="AD11" s="208"/>
      <c r="AE11" s="208"/>
      <c r="AF11" s="208"/>
      <c r="AG11" s="166"/>
      <c r="AH11" s="166"/>
      <c r="AI11" s="166"/>
      <c r="AJ11" s="166"/>
      <c r="AK11" s="166"/>
      <c r="AL11" s="166"/>
      <c r="AM11" s="167"/>
      <c r="AO11" s="163" t="s">
        <v>93</v>
      </c>
      <c r="AP11" s="163"/>
      <c r="AQ11" s="163"/>
      <c r="AR11" s="163"/>
      <c r="AS11" s="163"/>
      <c r="AT11" s="163"/>
      <c r="AU11" s="163"/>
      <c r="AV11" s="163"/>
      <c r="AW11" s="163"/>
      <c r="AX11" s="163"/>
      <c r="AY11" s="163"/>
      <c r="AZ11" s="163"/>
      <c r="BA11" s="163"/>
      <c r="BB11" s="163"/>
      <c r="BC11" s="164"/>
      <c r="BD11" s="164"/>
      <c r="BE11" s="164"/>
      <c r="BF11" s="164"/>
      <c r="BG11" s="164"/>
      <c r="BH11" s="164"/>
      <c r="BI11" s="164"/>
      <c r="BJ11" s="164"/>
      <c r="BK11" s="164"/>
      <c r="BL11" s="164"/>
      <c r="BM11" s="164"/>
      <c r="BN11" s="210">
        <f>AP11+AR11+AT11+AV11+AX11+AZ11+BB11+BD11+BF11+BH11+BJ11+BL11</f>
        <v>0</v>
      </c>
      <c r="BO11" s="171">
        <f>AQ11+AS11+AU11+AW11+AY11+BA11+BC11+BE11+BG11+BI11+BK11+BM11</f>
        <v>0</v>
      </c>
      <c r="BP11" s="166"/>
      <c r="BQ11" s="166"/>
      <c r="BR11" s="166"/>
      <c r="BS11" s="166"/>
      <c r="BT11" s="166"/>
      <c r="BU11" s="166"/>
      <c r="BV11" s="166"/>
      <c r="BW11" s="166"/>
      <c r="BX11" s="166"/>
      <c r="BY11" s="166"/>
      <c r="BZ11" s="166"/>
      <c r="CA11" s="167"/>
    </row>
    <row r="12" spans="1:79" ht="13.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210">
        <f aca="true" t="shared" si="0" ref="Z12:Z31">B12+D12+F12+H12+J12+L12+N12+P12+R12+T12+V12+X12</f>
        <v>0</v>
      </c>
      <c r="AA12" s="171">
        <f aca="true" t="shared" si="1" ref="AA12:AA31">C12+E12+G12+I12+K12+M12+O12+Q12+S12+U12+W12+Y12</f>
        <v>0</v>
      </c>
      <c r="AB12" s="208"/>
      <c r="AC12" s="208"/>
      <c r="AD12" s="208"/>
      <c r="AE12" s="208"/>
      <c r="AF12" s="208"/>
      <c r="AG12" s="209"/>
      <c r="AH12" s="166"/>
      <c r="AI12" s="166"/>
      <c r="AJ12" s="166"/>
      <c r="AK12" s="166"/>
      <c r="AL12" s="166"/>
      <c r="AM12" s="166"/>
      <c r="AO12" s="163" t="s">
        <v>94</v>
      </c>
      <c r="AP12" s="163"/>
      <c r="AQ12" s="163"/>
      <c r="AR12" s="163"/>
      <c r="AS12" s="163"/>
      <c r="AT12" s="163"/>
      <c r="AU12" s="163"/>
      <c r="AV12" s="163"/>
      <c r="AW12" s="163"/>
      <c r="AX12" s="163"/>
      <c r="AY12" s="163"/>
      <c r="AZ12" s="163"/>
      <c r="BA12" s="163"/>
      <c r="BB12" s="163"/>
      <c r="BC12" s="164"/>
      <c r="BD12" s="164"/>
      <c r="BE12" s="164"/>
      <c r="BF12" s="164"/>
      <c r="BG12" s="164"/>
      <c r="BH12" s="164"/>
      <c r="BI12" s="164"/>
      <c r="BJ12" s="164"/>
      <c r="BK12" s="164"/>
      <c r="BL12" s="164"/>
      <c r="BM12" s="164"/>
      <c r="BN12" s="210">
        <f aca="true" t="shared" si="2" ref="BN12:BN31">AP12+AR12+AT12+AV12+AX12+AZ12+BB12+BD12+BF12+BH12+BJ12+BL12</f>
        <v>0</v>
      </c>
      <c r="BO12" s="171">
        <f aca="true" t="shared" si="3" ref="BO12:BO31">AQ12+AS12+AU12+AW12+AY12+BA12+BC12+BE12+BG12+BI12+BK12+BM12</f>
        <v>0</v>
      </c>
      <c r="BP12" s="166"/>
      <c r="BQ12" s="166"/>
      <c r="BR12" s="166"/>
      <c r="BS12" s="166"/>
      <c r="BT12" s="166"/>
      <c r="BU12" s="166"/>
      <c r="BV12" s="166"/>
      <c r="BW12" s="166"/>
      <c r="BX12" s="166"/>
      <c r="BY12" s="166"/>
      <c r="BZ12" s="166"/>
      <c r="CA12" s="166"/>
    </row>
    <row r="13" spans="1:79" ht="13.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210">
        <f t="shared" si="0"/>
        <v>0</v>
      </c>
      <c r="AA13" s="171">
        <f t="shared" si="1"/>
        <v>0</v>
      </c>
      <c r="AB13" s="208"/>
      <c r="AC13" s="208"/>
      <c r="AD13" s="208"/>
      <c r="AE13" s="208"/>
      <c r="AF13" s="208"/>
      <c r="AG13" s="209"/>
      <c r="AH13" s="166"/>
      <c r="AI13" s="166"/>
      <c r="AJ13" s="166"/>
      <c r="AK13" s="166"/>
      <c r="AL13" s="166"/>
      <c r="AM13" s="166"/>
      <c r="AO13" s="163" t="s">
        <v>95</v>
      </c>
      <c r="AP13" s="163"/>
      <c r="AQ13" s="163"/>
      <c r="AR13" s="163"/>
      <c r="AS13" s="163"/>
      <c r="AT13" s="163"/>
      <c r="AU13" s="163"/>
      <c r="AV13" s="163"/>
      <c r="AW13" s="163"/>
      <c r="AX13" s="163"/>
      <c r="AY13" s="163"/>
      <c r="AZ13" s="163"/>
      <c r="BA13" s="163"/>
      <c r="BB13" s="163"/>
      <c r="BC13" s="164"/>
      <c r="BD13" s="164"/>
      <c r="BE13" s="164"/>
      <c r="BF13" s="164"/>
      <c r="BG13" s="164"/>
      <c r="BH13" s="164"/>
      <c r="BI13" s="164"/>
      <c r="BJ13" s="164"/>
      <c r="BK13" s="164"/>
      <c r="BL13" s="164"/>
      <c r="BM13" s="164"/>
      <c r="BN13" s="210">
        <f t="shared" si="2"/>
        <v>0</v>
      </c>
      <c r="BO13" s="171">
        <f t="shared" si="3"/>
        <v>0</v>
      </c>
      <c r="BP13" s="166"/>
      <c r="BQ13" s="166"/>
      <c r="BR13" s="166"/>
      <c r="BS13" s="166"/>
      <c r="BT13" s="166"/>
      <c r="BU13" s="166"/>
      <c r="BV13" s="166"/>
      <c r="BW13" s="166"/>
      <c r="BX13" s="166"/>
      <c r="BY13" s="166"/>
      <c r="BZ13" s="166"/>
      <c r="CA13" s="166"/>
    </row>
    <row r="14" spans="1:79" ht="13.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210">
        <f t="shared" si="0"/>
        <v>0</v>
      </c>
      <c r="AA14" s="171">
        <f t="shared" si="1"/>
        <v>0</v>
      </c>
      <c r="AB14" s="208"/>
      <c r="AC14" s="208"/>
      <c r="AD14" s="208"/>
      <c r="AE14" s="208"/>
      <c r="AF14" s="208"/>
      <c r="AG14" s="209"/>
      <c r="AH14" s="166"/>
      <c r="AI14" s="166"/>
      <c r="AJ14" s="166"/>
      <c r="AK14" s="166"/>
      <c r="AL14" s="166"/>
      <c r="AM14" s="166"/>
      <c r="AO14" s="163" t="s">
        <v>96</v>
      </c>
      <c r="AP14" s="163"/>
      <c r="AQ14" s="163"/>
      <c r="AR14" s="163"/>
      <c r="AS14" s="163"/>
      <c r="AT14" s="163"/>
      <c r="AU14" s="163"/>
      <c r="AV14" s="163"/>
      <c r="AW14" s="163"/>
      <c r="AX14" s="163"/>
      <c r="AY14" s="163"/>
      <c r="AZ14" s="163"/>
      <c r="BA14" s="163"/>
      <c r="BB14" s="163"/>
      <c r="BC14" s="164"/>
      <c r="BD14" s="164"/>
      <c r="BE14" s="164"/>
      <c r="BF14" s="164"/>
      <c r="BG14" s="164"/>
      <c r="BH14" s="164"/>
      <c r="BI14" s="164"/>
      <c r="BJ14" s="164"/>
      <c r="BK14" s="164"/>
      <c r="BL14" s="164"/>
      <c r="BM14" s="164"/>
      <c r="BN14" s="210">
        <f t="shared" si="2"/>
        <v>0</v>
      </c>
      <c r="BO14" s="171">
        <f t="shared" si="3"/>
        <v>0</v>
      </c>
      <c r="BP14" s="166"/>
      <c r="BQ14" s="166"/>
      <c r="BR14" s="166"/>
      <c r="BS14" s="166"/>
      <c r="BT14" s="166"/>
      <c r="BU14" s="166"/>
      <c r="BV14" s="166"/>
      <c r="BW14" s="166"/>
      <c r="BX14" s="166"/>
      <c r="BY14" s="166"/>
      <c r="BZ14" s="166"/>
      <c r="CA14" s="166"/>
    </row>
    <row r="15" spans="1:79" ht="13.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210">
        <f t="shared" si="0"/>
        <v>0</v>
      </c>
      <c r="AA15" s="171">
        <f t="shared" si="1"/>
        <v>0</v>
      </c>
      <c r="AB15" s="208"/>
      <c r="AC15" s="208"/>
      <c r="AD15" s="208"/>
      <c r="AE15" s="208"/>
      <c r="AF15" s="208"/>
      <c r="AG15" s="209"/>
      <c r="AH15" s="166"/>
      <c r="AI15" s="166"/>
      <c r="AJ15" s="166"/>
      <c r="AK15" s="166"/>
      <c r="AL15" s="166"/>
      <c r="AM15" s="166"/>
      <c r="AO15" s="163" t="s">
        <v>97</v>
      </c>
      <c r="AP15" s="163"/>
      <c r="AQ15" s="163"/>
      <c r="AR15" s="163"/>
      <c r="AS15" s="163"/>
      <c r="AT15" s="163"/>
      <c r="AU15" s="163"/>
      <c r="AV15" s="163"/>
      <c r="AW15" s="163"/>
      <c r="AX15" s="163"/>
      <c r="AY15" s="163"/>
      <c r="AZ15" s="163"/>
      <c r="BA15" s="163"/>
      <c r="BB15" s="163"/>
      <c r="BC15" s="164"/>
      <c r="BD15" s="164"/>
      <c r="BE15" s="164"/>
      <c r="BF15" s="164"/>
      <c r="BG15" s="164"/>
      <c r="BH15" s="164"/>
      <c r="BI15" s="164"/>
      <c r="BJ15" s="164"/>
      <c r="BK15" s="164"/>
      <c r="BL15" s="164"/>
      <c r="BM15" s="164"/>
      <c r="BN15" s="210">
        <f t="shared" si="2"/>
        <v>0</v>
      </c>
      <c r="BO15" s="171">
        <f t="shared" si="3"/>
        <v>0</v>
      </c>
      <c r="BP15" s="166"/>
      <c r="BQ15" s="166"/>
      <c r="BR15" s="166"/>
      <c r="BS15" s="166"/>
      <c r="BT15" s="166"/>
      <c r="BU15" s="166"/>
      <c r="BV15" s="166"/>
      <c r="BW15" s="166"/>
      <c r="BX15" s="166"/>
      <c r="BY15" s="166"/>
      <c r="BZ15" s="166"/>
      <c r="CA15" s="166"/>
    </row>
    <row r="16" spans="1:79" ht="13.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210">
        <f t="shared" si="0"/>
        <v>0</v>
      </c>
      <c r="AA16" s="171">
        <f t="shared" si="1"/>
        <v>0</v>
      </c>
      <c r="AB16" s="208"/>
      <c r="AC16" s="208"/>
      <c r="AD16" s="208"/>
      <c r="AE16" s="208"/>
      <c r="AF16" s="208"/>
      <c r="AG16" s="209"/>
      <c r="AH16" s="166"/>
      <c r="AI16" s="166"/>
      <c r="AJ16" s="166"/>
      <c r="AK16" s="166"/>
      <c r="AL16" s="166"/>
      <c r="AM16" s="166"/>
      <c r="AO16" s="163" t="s">
        <v>98</v>
      </c>
      <c r="AP16" s="163"/>
      <c r="AQ16" s="163"/>
      <c r="AR16" s="163"/>
      <c r="AS16" s="163"/>
      <c r="AT16" s="163"/>
      <c r="AU16" s="163"/>
      <c r="AV16" s="163"/>
      <c r="AW16" s="163"/>
      <c r="AX16" s="163"/>
      <c r="AY16" s="163"/>
      <c r="AZ16" s="163"/>
      <c r="BA16" s="163"/>
      <c r="BB16" s="163"/>
      <c r="BC16" s="164"/>
      <c r="BD16" s="164"/>
      <c r="BE16" s="164"/>
      <c r="BF16" s="164"/>
      <c r="BG16" s="164"/>
      <c r="BH16" s="164"/>
      <c r="BI16" s="164"/>
      <c r="BJ16" s="164"/>
      <c r="BK16" s="164"/>
      <c r="BL16" s="164"/>
      <c r="BM16" s="164"/>
      <c r="BN16" s="210">
        <f t="shared" si="2"/>
        <v>0</v>
      </c>
      <c r="BO16" s="171">
        <f t="shared" si="3"/>
        <v>0</v>
      </c>
      <c r="BP16" s="166"/>
      <c r="BQ16" s="166"/>
      <c r="BR16" s="166"/>
      <c r="BS16" s="166"/>
      <c r="BT16" s="166"/>
      <c r="BU16" s="166"/>
      <c r="BV16" s="166"/>
      <c r="BW16" s="166"/>
      <c r="BX16" s="166"/>
      <c r="BY16" s="166"/>
      <c r="BZ16" s="166"/>
      <c r="CA16" s="166"/>
    </row>
    <row r="17" spans="1:79" ht="13.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210">
        <f t="shared" si="0"/>
        <v>0</v>
      </c>
      <c r="AA17" s="171">
        <f t="shared" si="1"/>
        <v>0</v>
      </c>
      <c r="AB17" s="208"/>
      <c r="AC17" s="208"/>
      <c r="AD17" s="208"/>
      <c r="AE17" s="208"/>
      <c r="AF17" s="208"/>
      <c r="AG17" s="209"/>
      <c r="AH17" s="166"/>
      <c r="AI17" s="166"/>
      <c r="AJ17" s="166"/>
      <c r="AK17" s="166"/>
      <c r="AL17" s="166"/>
      <c r="AM17" s="166"/>
      <c r="AO17" s="163" t="s">
        <v>99</v>
      </c>
      <c r="AP17" s="163"/>
      <c r="AQ17" s="163"/>
      <c r="AR17" s="163"/>
      <c r="AS17" s="163"/>
      <c r="AT17" s="163"/>
      <c r="AU17" s="163"/>
      <c r="AV17" s="163"/>
      <c r="AW17" s="163"/>
      <c r="AX17" s="163"/>
      <c r="AY17" s="163"/>
      <c r="AZ17" s="163"/>
      <c r="BA17" s="163"/>
      <c r="BB17" s="163"/>
      <c r="BC17" s="164"/>
      <c r="BD17" s="164"/>
      <c r="BE17" s="164"/>
      <c r="BF17" s="164"/>
      <c r="BG17" s="164"/>
      <c r="BH17" s="164"/>
      <c r="BI17" s="164"/>
      <c r="BJ17" s="164"/>
      <c r="BK17" s="164"/>
      <c r="BL17" s="164"/>
      <c r="BM17" s="164"/>
      <c r="BN17" s="210">
        <f t="shared" si="2"/>
        <v>0</v>
      </c>
      <c r="BO17" s="171">
        <f t="shared" si="3"/>
        <v>0</v>
      </c>
      <c r="BP17" s="166"/>
      <c r="BQ17" s="166"/>
      <c r="BR17" s="166"/>
      <c r="BS17" s="166"/>
      <c r="BT17" s="166"/>
      <c r="BU17" s="166"/>
      <c r="BV17" s="166"/>
      <c r="BW17" s="166"/>
      <c r="BX17" s="166"/>
      <c r="BY17" s="166"/>
      <c r="BZ17" s="166"/>
      <c r="CA17" s="166"/>
    </row>
    <row r="18" spans="1:79" ht="13.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210">
        <f t="shared" si="0"/>
        <v>0</v>
      </c>
      <c r="AA18" s="171">
        <f t="shared" si="1"/>
        <v>0</v>
      </c>
      <c r="AB18" s="208"/>
      <c r="AC18" s="208"/>
      <c r="AD18" s="208"/>
      <c r="AE18" s="208"/>
      <c r="AF18" s="208"/>
      <c r="AG18" s="209"/>
      <c r="AH18" s="166"/>
      <c r="AI18" s="166"/>
      <c r="AJ18" s="166"/>
      <c r="AK18" s="166"/>
      <c r="AL18" s="166"/>
      <c r="AM18" s="166"/>
      <c r="AO18" s="163" t="s">
        <v>100</v>
      </c>
      <c r="AP18" s="163"/>
      <c r="AQ18" s="163"/>
      <c r="AR18" s="163"/>
      <c r="AS18" s="163"/>
      <c r="AT18" s="163"/>
      <c r="AU18" s="163"/>
      <c r="AV18" s="163"/>
      <c r="AW18" s="163"/>
      <c r="AX18" s="163"/>
      <c r="AY18" s="163"/>
      <c r="AZ18" s="163"/>
      <c r="BA18" s="163"/>
      <c r="BB18" s="163"/>
      <c r="BC18" s="164"/>
      <c r="BD18" s="164"/>
      <c r="BE18" s="164"/>
      <c r="BF18" s="164"/>
      <c r="BG18" s="164"/>
      <c r="BH18" s="164"/>
      <c r="BI18" s="164"/>
      <c r="BJ18" s="164"/>
      <c r="BK18" s="164"/>
      <c r="BL18" s="164"/>
      <c r="BM18" s="164"/>
      <c r="BN18" s="210">
        <f t="shared" si="2"/>
        <v>0</v>
      </c>
      <c r="BO18" s="171">
        <f t="shared" si="3"/>
        <v>0</v>
      </c>
      <c r="BP18" s="166"/>
      <c r="BQ18" s="166"/>
      <c r="BR18" s="166"/>
      <c r="BS18" s="166"/>
      <c r="BT18" s="166"/>
      <c r="BU18" s="166"/>
      <c r="BV18" s="166"/>
      <c r="BW18" s="166"/>
      <c r="BX18" s="166"/>
      <c r="BY18" s="166"/>
      <c r="BZ18" s="166"/>
      <c r="CA18" s="166"/>
    </row>
    <row r="19" spans="1:79" ht="13.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210">
        <f t="shared" si="0"/>
        <v>0</v>
      </c>
      <c r="AA19" s="171">
        <f t="shared" si="1"/>
        <v>0</v>
      </c>
      <c r="AB19" s="208"/>
      <c r="AC19" s="208"/>
      <c r="AD19" s="208"/>
      <c r="AE19" s="208"/>
      <c r="AF19" s="208"/>
      <c r="AG19" s="209"/>
      <c r="AH19" s="166"/>
      <c r="AI19" s="166"/>
      <c r="AJ19" s="166"/>
      <c r="AK19" s="166"/>
      <c r="AL19" s="166"/>
      <c r="AM19" s="166"/>
      <c r="AO19" s="163" t="s">
        <v>101</v>
      </c>
      <c r="AP19" s="163"/>
      <c r="AQ19" s="163"/>
      <c r="AR19" s="163"/>
      <c r="AS19" s="163"/>
      <c r="AT19" s="163"/>
      <c r="AU19" s="163"/>
      <c r="AV19" s="163"/>
      <c r="AW19" s="163"/>
      <c r="AX19" s="163"/>
      <c r="AY19" s="163"/>
      <c r="AZ19" s="163"/>
      <c r="BA19" s="163"/>
      <c r="BB19" s="163"/>
      <c r="BC19" s="164"/>
      <c r="BD19" s="164"/>
      <c r="BE19" s="164"/>
      <c r="BF19" s="164"/>
      <c r="BG19" s="164"/>
      <c r="BH19" s="164"/>
      <c r="BI19" s="164"/>
      <c r="BJ19" s="164"/>
      <c r="BK19" s="164"/>
      <c r="BL19" s="164"/>
      <c r="BM19" s="164"/>
      <c r="BN19" s="210">
        <f t="shared" si="2"/>
        <v>0</v>
      </c>
      <c r="BO19" s="171">
        <f t="shared" si="3"/>
        <v>0</v>
      </c>
      <c r="BP19" s="166"/>
      <c r="BQ19" s="166"/>
      <c r="BR19" s="166"/>
      <c r="BS19" s="166"/>
      <c r="BT19" s="166"/>
      <c r="BU19" s="166"/>
      <c r="BV19" s="166"/>
      <c r="BW19" s="166"/>
      <c r="BX19" s="166"/>
      <c r="BY19" s="166"/>
      <c r="BZ19" s="166"/>
      <c r="CA19" s="166"/>
    </row>
    <row r="20" spans="1:79" ht="13.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210">
        <f t="shared" si="0"/>
        <v>0</v>
      </c>
      <c r="AA20" s="171">
        <f t="shared" si="1"/>
        <v>0</v>
      </c>
      <c r="AB20" s="208"/>
      <c r="AC20" s="208"/>
      <c r="AD20" s="208"/>
      <c r="AE20" s="208"/>
      <c r="AF20" s="208"/>
      <c r="AG20" s="209"/>
      <c r="AH20" s="166"/>
      <c r="AI20" s="166"/>
      <c r="AJ20" s="166"/>
      <c r="AK20" s="166"/>
      <c r="AL20" s="166"/>
      <c r="AM20" s="166"/>
      <c r="AO20" s="163" t="s">
        <v>102</v>
      </c>
      <c r="AP20" s="163"/>
      <c r="AQ20" s="163"/>
      <c r="AR20" s="163"/>
      <c r="AS20" s="163"/>
      <c r="AT20" s="163"/>
      <c r="AU20" s="163"/>
      <c r="AV20" s="163"/>
      <c r="AW20" s="163"/>
      <c r="AX20" s="163"/>
      <c r="AY20" s="163"/>
      <c r="AZ20" s="163"/>
      <c r="BA20" s="163"/>
      <c r="BB20" s="163"/>
      <c r="BC20" s="164"/>
      <c r="BD20" s="164"/>
      <c r="BE20" s="164"/>
      <c r="BF20" s="164"/>
      <c r="BG20" s="164"/>
      <c r="BH20" s="164"/>
      <c r="BI20" s="164"/>
      <c r="BJ20" s="164"/>
      <c r="BK20" s="164"/>
      <c r="BL20" s="164"/>
      <c r="BM20" s="164"/>
      <c r="BN20" s="210">
        <f t="shared" si="2"/>
        <v>0</v>
      </c>
      <c r="BO20" s="171">
        <f t="shared" si="3"/>
        <v>0</v>
      </c>
      <c r="BP20" s="166"/>
      <c r="BQ20" s="166"/>
      <c r="BR20" s="166"/>
      <c r="BS20" s="166"/>
      <c r="BT20" s="166"/>
      <c r="BU20" s="166"/>
      <c r="BV20" s="166"/>
      <c r="BW20" s="166"/>
      <c r="BX20" s="166"/>
      <c r="BY20" s="166"/>
      <c r="BZ20" s="166"/>
      <c r="CA20" s="166"/>
    </row>
    <row r="21" spans="1:79" ht="13.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210">
        <f t="shared" si="0"/>
        <v>0</v>
      </c>
      <c r="AA21" s="171">
        <f t="shared" si="1"/>
        <v>0</v>
      </c>
      <c r="AB21" s="208"/>
      <c r="AC21" s="208"/>
      <c r="AD21" s="208"/>
      <c r="AE21" s="208"/>
      <c r="AF21" s="208"/>
      <c r="AG21" s="209"/>
      <c r="AH21" s="166"/>
      <c r="AI21" s="166"/>
      <c r="AJ21" s="166"/>
      <c r="AK21" s="166"/>
      <c r="AL21" s="166"/>
      <c r="AM21" s="166"/>
      <c r="AO21" s="163" t="s">
        <v>103</v>
      </c>
      <c r="AP21" s="163"/>
      <c r="AQ21" s="163"/>
      <c r="AR21" s="163"/>
      <c r="AS21" s="163"/>
      <c r="AT21" s="163"/>
      <c r="AU21" s="163"/>
      <c r="AV21" s="163"/>
      <c r="AW21" s="163"/>
      <c r="AX21" s="163"/>
      <c r="AY21" s="163"/>
      <c r="AZ21" s="163"/>
      <c r="BA21" s="163"/>
      <c r="BB21" s="163"/>
      <c r="BC21" s="164"/>
      <c r="BD21" s="164"/>
      <c r="BE21" s="164"/>
      <c r="BF21" s="164"/>
      <c r="BG21" s="164"/>
      <c r="BH21" s="164"/>
      <c r="BI21" s="164"/>
      <c r="BJ21" s="164"/>
      <c r="BK21" s="164"/>
      <c r="BL21" s="164"/>
      <c r="BM21" s="164"/>
      <c r="BN21" s="210">
        <f t="shared" si="2"/>
        <v>0</v>
      </c>
      <c r="BO21" s="171">
        <f t="shared" si="3"/>
        <v>0</v>
      </c>
      <c r="BP21" s="166"/>
      <c r="BQ21" s="166"/>
      <c r="BR21" s="166"/>
      <c r="BS21" s="166"/>
      <c r="BT21" s="166"/>
      <c r="BU21" s="166"/>
      <c r="BV21" s="166"/>
      <c r="BW21" s="166"/>
      <c r="BX21" s="166"/>
      <c r="BY21" s="166"/>
      <c r="BZ21" s="166"/>
      <c r="CA21" s="166"/>
    </row>
    <row r="22" spans="1:79" ht="13.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210">
        <f t="shared" si="0"/>
        <v>0</v>
      </c>
      <c r="AA22" s="171">
        <f t="shared" si="1"/>
        <v>0</v>
      </c>
      <c r="AB22" s="208"/>
      <c r="AC22" s="208"/>
      <c r="AD22" s="208"/>
      <c r="AE22" s="208"/>
      <c r="AF22" s="208"/>
      <c r="AG22" s="209"/>
      <c r="AH22" s="166"/>
      <c r="AI22" s="166"/>
      <c r="AJ22" s="166"/>
      <c r="AK22" s="166"/>
      <c r="AL22" s="166"/>
      <c r="AM22" s="166"/>
      <c r="AO22" s="163" t="s">
        <v>104</v>
      </c>
      <c r="AP22" s="163"/>
      <c r="AQ22" s="163"/>
      <c r="AR22" s="163"/>
      <c r="AS22" s="163"/>
      <c r="AT22" s="163"/>
      <c r="AU22" s="163"/>
      <c r="AV22" s="163"/>
      <c r="AW22" s="163"/>
      <c r="AX22" s="163"/>
      <c r="AY22" s="163"/>
      <c r="AZ22" s="163"/>
      <c r="BA22" s="163"/>
      <c r="BB22" s="163"/>
      <c r="BC22" s="164"/>
      <c r="BD22" s="164"/>
      <c r="BE22" s="164"/>
      <c r="BF22" s="164"/>
      <c r="BG22" s="164"/>
      <c r="BH22" s="164"/>
      <c r="BI22" s="164"/>
      <c r="BJ22" s="164"/>
      <c r="BK22" s="164"/>
      <c r="BL22" s="164"/>
      <c r="BM22" s="164"/>
      <c r="BN22" s="210">
        <f t="shared" si="2"/>
        <v>0</v>
      </c>
      <c r="BO22" s="171">
        <f t="shared" si="3"/>
        <v>0</v>
      </c>
      <c r="BP22" s="166"/>
      <c r="BQ22" s="166"/>
      <c r="BR22" s="166"/>
      <c r="BS22" s="166"/>
      <c r="BT22" s="166"/>
      <c r="BU22" s="166"/>
      <c r="BV22" s="166"/>
      <c r="BW22" s="166"/>
      <c r="BX22" s="166"/>
      <c r="BY22" s="166"/>
      <c r="BZ22" s="166"/>
      <c r="CA22" s="166"/>
    </row>
    <row r="23" spans="1:79" ht="13.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210">
        <f t="shared" si="0"/>
        <v>0</v>
      </c>
      <c r="AA23" s="171">
        <f t="shared" si="1"/>
        <v>0</v>
      </c>
      <c r="AB23" s="208"/>
      <c r="AC23" s="208"/>
      <c r="AD23" s="208"/>
      <c r="AE23" s="208"/>
      <c r="AF23" s="208"/>
      <c r="AG23" s="209"/>
      <c r="AH23" s="166"/>
      <c r="AI23" s="166"/>
      <c r="AJ23" s="166"/>
      <c r="AK23" s="166"/>
      <c r="AL23" s="166"/>
      <c r="AM23" s="166"/>
      <c r="AO23" s="163" t="s">
        <v>105</v>
      </c>
      <c r="AP23" s="163"/>
      <c r="AQ23" s="163"/>
      <c r="AR23" s="163"/>
      <c r="AS23" s="163"/>
      <c r="AT23" s="163"/>
      <c r="AU23" s="163"/>
      <c r="AV23" s="163"/>
      <c r="AW23" s="163"/>
      <c r="AX23" s="163"/>
      <c r="AY23" s="163"/>
      <c r="AZ23" s="163"/>
      <c r="BA23" s="163"/>
      <c r="BB23" s="163"/>
      <c r="BC23" s="164"/>
      <c r="BD23" s="164"/>
      <c r="BE23" s="164"/>
      <c r="BF23" s="164"/>
      <c r="BG23" s="164"/>
      <c r="BH23" s="164"/>
      <c r="BI23" s="164"/>
      <c r="BJ23" s="164"/>
      <c r="BK23" s="164"/>
      <c r="BL23" s="164"/>
      <c r="BM23" s="164"/>
      <c r="BN23" s="210">
        <f t="shared" si="2"/>
        <v>0</v>
      </c>
      <c r="BO23" s="171">
        <f t="shared" si="3"/>
        <v>0</v>
      </c>
      <c r="BP23" s="166"/>
      <c r="BQ23" s="166"/>
      <c r="BR23" s="166"/>
      <c r="BS23" s="166"/>
      <c r="BT23" s="166"/>
      <c r="BU23" s="166"/>
      <c r="BV23" s="166"/>
      <c r="BW23" s="166"/>
      <c r="BX23" s="166"/>
      <c r="BY23" s="166"/>
      <c r="BZ23" s="166"/>
      <c r="CA23" s="166"/>
    </row>
    <row r="24" spans="1:79" ht="13.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210">
        <f t="shared" si="0"/>
        <v>0</v>
      </c>
      <c r="AA24" s="171">
        <f t="shared" si="1"/>
        <v>0</v>
      </c>
      <c r="AB24" s="208"/>
      <c r="AC24" s="208"/>
      <c r="AD24" s="208"/>
      <c r="AE24" s="208"/>
      <c r="AF24" s="208"/>
      <c r="AG24" s="209"/>
      <c r="AH24" s="166"/>
      <c r="AI24" s="166"/>
      <c r="AJ24" s="166"/>
      <c r="AK24" s="166"/>
      <c r="AL24" s="166"/>
      <c r="AM24" s="166"/>
      <c r="AO24" s="163" t="s">
        <v>106</v>
      </c>
      <c r="AP24" s="163"/>
      <c r="AQ24" s="163"/>
      <c r="AR24" s="163"/>
      <c r="AS24" s="163"/>
      <c r="AT24" s="163"/>
      <c r="AU24" s="163"/>
      <c r="AV24" s="163"/>
      <c r="AW24" s="163"/>
      <c r="AX24" s="163"/>
      <c r="AY24" s="163"/>
      <c r="AZ24" s="163"/>
      <c r="BA24" s="163"/>
      <c r="BB24" s="163"/>
      <c r="BC24" s="164"/>
      <c r="BD24" s="164"/>
      <c r="BE24" s="164"/>
      <c r="BF24" s="164"/>
      <c r="BG24" s="164"/>
      <c r="BH24" s="164"/>
      <c r="BI24" s="164"/>
      <c r="BJ24" s="164"/>
      <c r="BK24" s="164"/>
      <c r="BL24" s="164"/>
      <c r="BM24" s="164"/>
      <c r="BN24" s="210">
        <f t="shared" si="2"/>
        <v>0</v>
      </c>
      <c r="BO24" s="171">
        <f t="shared" si="3"/>
        <v>0</v>
      </c>
      <c r="BP24" s="166"/>
      <c r="BQ24" s="166"/>
      <c r="BR24" s="166"/>
      <c r="BS24" s="166"/>
      <c r="BT24" s="166"/>
      <c r="BU24" s="166"/>
      <c r="BV24" s="166"/>
      <c r="BW24" s="166"/>
      <c r="BX24" s="166"/>
      <c r="BY24" s="166"/>
      <c r="BZ24" s="166"/>
      <c r="CA24" s="166"/>
    </row>
    <row r="25" spans="1:79" ht="13.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210">
        <f t="shared" si="0"/>
        <v>0</v>
      </c>
      <c r="AA25" s="171">
        <f t="shared" si="1"/>
        <v>0</v>
      </c>
      <c r="AB25" s="208"/>
      <c r="AC25" s="208"/>
      <c r="AD25" s="208"/>
      <c r="AE25" s="208"/>
      <c r="AF25" s="208"/>
      <c r="AG25" s="209"/>
      <c r="AH25" s="166"/>
      <c r="AI25" s="166"/>
      <c r="AJ25" s="166"/>
      <c r="AK25" s="166"/>
      <c r="AL25" s="166"/>
      <c r="AM25" s="166"/>
      <c r="AO25" s="163" t="s">
        <v>107</v>
      </c>
      <c r="AP25" s="163"/>
      <c r="AQ25" s="163"/>
      <c r="AR25" s="163"/>
      <c r="AS25" s="163"/>
      <c r="AT25" s="163"/>
      <c r="AU25" s="163"/>
      <c r="AV25" s="163"/>
      <c r="AW25" s="163"/>
      <c r="AX25" s="163"/>
      <c r="AY25" s="163"/>
      <c r="AZ25" s="163"/>
      <c r="BA25" s="163"/>
      <c r="BB25" s="163"/>
      <c r="BC25" s="164"/>
      <c r="BD25" s="164"/>
      <c r="BE25" s="164"/>
      <c r="BF25" s="164"/>
      <c r="BG25" s="164"/>
      <c r="BH25" s="164"/>
      <c r="BI25" s="164"/>
      <c r="BJ25" s="164"/>
      <c r="BK25" s="164"/>
      <c r="BL25" s="164"/>
      <c r="BM25" s="164"/>
      <c r="BN25" s="210">
        <f t="shared" si="2"/>
        <v>0</v>
      </c>
      <c r="BO25" s="171">
        <f t="shared" si="3"/>
        <v>0</v>
      </c>
      <c r="BP25" s="166"/>
      <c r="BQ25" s="166"/>
      <c r="BR25" s="166"/>
      <c r="BS25" s="166"/>
      <c r="BT25" s="166"/>
      <c r="BU25" s="166"/>
      <c r="BV25" s="166"/>
      <c r="BW25" s="166"/>
      <c r="BX25" s="166"/>
      <c r="BY25" s="166"/>
      <c r="BZ25" s="166"/>
      <c r="CA25" s="166"/>
    </row>
    <row r="26" spans="1:79" ht="13.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210">
        <f t="shared" si="0"/>
        <v>0</v>
      </c>
      <c r="AA26" s="171">
        <f t="shared" si="1"/>
        <v>0</v>
      </c>
      <c r="AB26" s="208"/>
      <c r="AC26" s="208"/>
      <c r="AD26" s="208"/>
      <c r="AE26" s="208"/>
      <c r="AF26" s="208"/>
      <c r="AG26" s="209"/>
      <c r="AH26" s="166"/>
      <c r="AI26" s="166"/>
      <c r="AJ26" s="166"/>
      <c r="AK26" s="166"/>
      <c r="AL26" s="166"/>
      <c r="AM26" s="166"/>
      <c r="AO26" s="163" t="s">
        <v>108</v>
      </c>
      <c r="AP26" s="163"/>
      <c r="AQ26" s="163"/>
      <c r="AR26" s="163"/>
      <c r="AS26" s="163"/>
      <c r="AT26" s="163"/>
      <c r="AU26" s="163"/>
      <c r="AV26" s="163"/>
      <c r="AW26" s="163"/>
      <c r="AX26" s="163"/>
      <c r="AY26" s="163"/>
      <c r="AZ26" s="163"/>
      <c r="BA26" s="163"/>
      <c r="BB26" s="163"/>
      <c r="BC26" s="164"/>
      <c r="BD26" s="164"/>
      <c r="BE26" s="164"/>
      <c r="BF26" s="164"/>
      <c r="BG26" s="164"/>
      <c r="BH26" s="164"/>
      <c r="BI26" s="164"/>
      <c r="BJ26" s="164"/>
      <c r="BK26" s="164"/>
      <c r="BL26" s="164"/>
      <c r="BM26" s="164"/>
      <c r="BN26" s="210">
        <f t="shared" si="2"/>
        <v>0</v>
      </c>
      <c r="BO26" s="171">
        <f t="shared" si="3"/>
        <v>0</v>
      </c>
      <c r="BP26" s="166"/>
      <c r="BQ26" s="166"/>
      <c r="BR26" s="166"/>
      <c r="BS26" s="166"/>
      <c r="BT26" s="166"/>
      <c r="BU26" s="166"/>
      <c r="BV26" s="166"/>
      <c r="BW26" s="166"/>
      <c r="BX26" s="166"/>
      <c r="BY26" s="166"/>
      <c r="BZ26" s="166"/>
      <c r="CA26" s="166"/>
    </row>
    <row r="27" spans="1:79" ht="13.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210">
        <f t="shared" si="0"/>
        <v>0</v>
      </c>
      <c r="AA27" s="171">
        <f t="shared" si="1"/>
        <v>0</v>
      </c>
      <c r="AB27" s="208"/>
      <c r="AC27" s="208"/>
      <c r="AD27" s="208"/>
      <c r="AE27" s="208"/>
      <c r="AF27" s="208"/>
      <c r="AG27" s="209"/>
      <c r="AH27" s="166"/>
      <c r="AI27" s="166"/>
      <c r="AJ27" s="166"/>
      <c r="AK27" s="166"/>
      <c r="AL27" s="166"/>
      <c r="AM27" s="166"/>
      <c r="AO27" s="163" t="s">
        <v>109</v>
      </c>
      <c r="AP27" s="163"/>
      <c r="AQ27" s="163"/>
      <c r="AR27" s="163"/>
      <c r="AS27" s="163"/>
      <c r="AT27" s="163"/>
      <c r="AU27" s="163"/>
      <c r="AV27" s="163"/>
      <c r="AW27" s="163"/>
      <c r="AX27" s="163"/>
      <c r="AY27" s="163"/>
      <c r="AZ27" s="163"/>
      <c r="BA27" s="163"/>
      <c r="BB27" s="163"/>
      <c r="BC27" s="164"/>
      <c r="BD27" s="164"/>
      <c r="BE27" s="164"/>
      <c r="BF27" s="164"/>
      <c r="BG27" s="164"/>
      <c r="BH27" s="164"/>
      <c r="BI27" s="164"/>
      <c r="BJ27" s="164"/>
      <c r="BK27" s="164"/>
      <c r="BL27" s="164"/>
      <c r="BM27" s="164"/>
      <c r="BN27" s="210">
        <f t="shared" si="2"/>
        <v>0</v>
      </c>
      <c r="BO27" s="171">
        <f t="shared" si="3"/>
        <v>0</v>
      </c>
      <c r="BP27" s="166"/>
      <c r="BQ27" s="166"/>
      <c r="BR27" s="166"/>
      <c r="BS27" s="166"/>
      <c r="BT27" s="166"/>
      <c r="BU27" s="166"/>
      <c r="BV27" s="166"/>
      <c r="BW27" s="166"/>
      <c r="BX27" s="166"/>
      <c r="BY27" s="166"/>
      <c r="BZ27" s="166"/>
      <c r="CA27" s="166"/>
    </row>
    <row r="28" spans="1:79" ht="13.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210">
        <f t="shared" si="0"/>
        <v>0</v>
      </c>
      <c r="AA28" s="171">
        <f t="shared" si="1"/>
        <v>0</v>
      </c>
      <c r="AB28" s="208"/>
      <c r="AC28" s="208"/>
      <c r="AD28" s="208"/>
      <c r="AE28" s="208"/>
      <c r="AF28" s="208"/>
      <c r="AG28" s="209"/>
      <c r="AH28" s="166"/>
      <c r="AI28" s="166"/>
      <c r="AJ28" s="166"/>
      <c r="AK28" s="166"/>
      <c r="AL28" s="166"/>
      <c r="AM28" s="166"/>
      <c r="AO28" s="163" t="s">
        <v>110</v>
      </c>
      <c r="AP28" s="163"/>
      <c r="AQ28" s="163"/>
      <c r="AR28" s="163"/>
      <c r="AS28" s="163"/>
      <c r="AT28" s="163"/>
      <c r="AU28" s="163"/>
      <c r="AV28" s="163"/>
      <c r="AW28" s="163"/>
      <c r="AX28" s="163"/>
      <c r="AY28" s="163"/>
      <c r="AZ28" s="163"/>
      <c r="BA28" s="163"/>
      <c r="BB28" s="163"/>
      <c r="BC28" s="164"/>
      <c r="BD28" s="164"/>
      <c r="BE28" s="164"/>
      <c r="BF28" s="164"/>
      <c r="BG28" s="164"/>
      <c r="BH28" s="164"/>
      <c r="BI28" s="164"/>
      <c r="BJ28" s="164"/>
      <c r="BK28" s="164"/>
      <c r="BL28" s="164"/>
      <c r="BM28" s="164"/>
      <c r="BN28" s="210">
        <f t="shared" si="2"/>
        <v>0</v>
      </c>
      <c r="BO28" s="171">
        <f t="shared" si="3"/>
        <v>0</v>
      </c>
      <c r="BP28" s="166"/>
      <c r="BQ28" s="166"/>
      <c r="BR28" s="166"/>
      <c r="BS28" s="166"/>
      <c r="BT28" s="166"/>
      <c r="BU28" s="166"/>
      <c r="BV28" s="166"/>
      <c r="BW28" s="166"/>
      <c r="BX28" s="166"/>
      <c r="BY28" s="166"/>
      <c r="BZ28" s="166"/>
      <c r="CA28" s="166"/>
    </row>
    <row r="29" spans="1:79" ht="13.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210">
        <f t="shared" si="0"/>
        <v>0</v>
      </c>
      <c r="AA29" s="171">
        <f t="shared" si="1"/>
        <v>0</v>
      </c>
      <c r="AB29" s="208"/>
      <c r="AC29" s="208"/>
      <c r="AD29" s="208"/>
      <c r="AE29" s="208"/>
      <c r="AF29" s="208"/>
      <c r="AG29" s="209"/>
      <c r="AH29" s="166"/>
      <c r="AI29" s="166"/>
      <c r="AJ29" s="166"/>
      <c r="AK29" s="166"/>
      <c r="AL29" s="166"/>
      <c r="AM29" s="166"/>
      <c r="AO29" s="163" t="s">
        <v>111</v>
      </c>
      <c r="AP29" s="163"/>
      <c r="AQ29" s="163"/>
      <c r="AR29" s="163"/>
      <c r="AS29" s="163"/>
      <c r="AT29" s="163"/>
      <c r="AU29" s="163"/>
      <c r="AV29" s="163"/>
      <c r="AW29" s="163"/>
      <c r="AX29" s="163"/>
      <c r="AY29" s="163"/>
      <c r="AZ29" s="163"/>
      <c r="BA29" s="163"/>
      <c r="BB29" s="163"/>
      <c r="BC29" s="164"/>
      <c r="BD29" s="164"/>
      <c r="BE29" s="164"/>
      <c r="BF29" s="164"/>
      <c r="BG29" s="164"/>
      <c r="BH29" s="164"/>
      <c r="BI29" s="164"/>
      <c r="BJ29" s="164"/>
      <c r="BK29" s="164"/>
      <c r="BL29" s="164"/>
      <c r="BM29" s="164"/>
      <c r="BN29" s="210">
        <f t="shared" si="2"/>
        <v>0</v>
      </c>
      <c r="BO29" s="171">
        <f t="shared" si="3"/>
        <v>0</v>
      </c>
      <c r="BP29" s="166"/>
      <c r="BQ29" s="166"/>
      <c r="BR29" s="166"/>
      <c r="BS29" s="166"/>
      <c r="BT29" s="166"/>
      <c r="BU29" s="166"/>
      <c r="BV29" s="166"/>
      <c r="BW29" s="166"/>
      <c r="BX29" s="166"/>
      <c r="BY29" s="166"/>
      <c r="BZ29" s="166"/>
      <c r="CA29" s="166"/>
    </row>
    <row r="30" spans="1:79" ht="13.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210">
        <f t="shared" si="0"/>
        <v>0</v>
      </c>
      <c r="AA30" s="171">
        <f t="shared" si="1"/>
        <v>0</v>
      </c>
      <c r="AB30" s="208"/>
      <c r="AC30" s="208"/>
      <c r="AD30" s="208"/>
      <c r="AE30" s="208"/>
      <c r="AF30" s="208"/>
      <c r="AG30" s="209"/>
      <c r="AH30" s="166"/>
      <c r="AI30" s="166"/>
      <c r="AJ30" s="166"/>
      <c r="AK30" s="166"/>
      <c r="AL30" s="166"/>
      <c r="AM30" s="166"/>
      <c r="AO30" s="163" t="s">
        <v>112</v>
      </c>
      <c r="AP30" s="163"/>
      <c r="AQ30" s="163"/>
      <c r="AR30" s="163"/>
      <c r="AS30" s="163"/>
      <c r="AT30" s="163"/>
      <c r="AU30" s="163"/>
      <c r="AV30" s="163"/>
      <c r="AW30" s="163"/>
      <c r="AX30" s="163"/>
      <c r="AY30" s="163"/>
      <c r="AZ30" s="163"/>
      <c r="BA30" s="163"/>
      <c r="BB30" s="163"/>
      <c r="BC30" s="164"/>
      <c r="BD30" s="164"/>
      <c r="BE30" s="164"/>
      <c r="BF30" s="164"/>
      <c r="BG30" s="164"/>
      <c r="BH30" s="164"/>
      <c r="BI30" s="164"/>
      <c r="BJ30" s="164"/>
      <c r="BK30" s="164"/>
      <c r="BL30" s="164"/>
      <c r="BM30" s="164"/>
      <c r="BN30" s="210">
        <f t="shared" si="2"/>
        <v>0</v>
      </c>
      <c r="BO30" s="171">
        <f t="shared" si="3"/>
        <v>0</v>
      </c>
      <c r="BP30" s="166"/>
      <c r="BQ30" s="166"/>
      <c r="BR30" s="166"/>
      <c r="BS30" s="166"/>
      <c r="BT30" s="166"/>
      <c r="BU30" s="166"/>
      <c r="BV30" s="166"/>
      <c r="BW30" s="166"/>
      <c r="BX30" s="166"/>
      <c r="BY30" s="166"/>
      <c r="BZ30" s="166"/>
      <c r="CA30" s="166"/>
    </row>
    <row r="31" spans="1:79" ht="13.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210">
        <f t="shared" si="0"/>
        <v>0</v>
      </c>
      <c r="AA31" s="171">
        <f t="shared" si="1"/>
        <v>0</v>
      </c>
      <c r="AB31" s="208"/>
      <c r="AC31" s="208"/>
      <c r="AD31" s="208"/>
      <c r="AE31" s="208"/>
      <c r="AF31" s="208"/>
      <c r="AG31" s="209"/>
      <c r="AH31" s="166"/>
      <c r="AI31" s="166"/>
      <c r="AJ31" s="166"/>
      <c r="AK31" s="166"/>
      <c r="AL31" s="166"/>
      <c r="AM31" s="166"/>
      <c r="AO31" s="163" t="s">
        <v>113</v>
      </c>
      <c r="AP31" s="163"/>
      <c r="AQ31" s="163"/>
      <c r="AR31" s="163"/>
      <c r="AS31" s="163"/>
      <c r="AT31" s="163"/>
      <c r="AU31" s="163"/>
      <c r="AV31" s="163"/>
      <c r="AW31" s="163"/>
      <c r="AX31" s="163"/>
      <c r="AY31" s="163"/>
      <c r="AZ31" s="163"/>
      <c r="BA31" s="163"/>
      <c r="BB31" s="163"/>
      <c r="BC31" s="164"/>
      <c r="BD31" s="164"/>
      <c r="BE31" s="164"/>
      <c r="BF31" s="164"/>
      <c r="BG31" s="164"/>
      <c r="BH31" s="164"/>
      <c r="BI31" s="164"/>
      <c r="BJ31" s="164"/>
      <c r="BK31" s="164"/>
      <c r="BL31" s="164"/>
      <c r="BM31" s="164"/>
      <c r="BN31" s="210">
        <f t="shared" si="2"/>
        <v>0</v>
      </c>
      <c r="BO31" s="171">
        <f t="shared" si="3"/>
        <v>0</v>
      </c>
      <c r="BP31" s="166"/>
      <c r="BQ31" s="166"/>
      <c r="BR31" s="166"/>
      <c r="BS31" s="166"/>
      <c r="BT31" s="166"/>
      <c r="BU31" s="166"/>
      <c r="BV31" s="166"/>
      <c r="BW31" s="166"/>
      <c r="BX31" s="166"/>
      <c r="BY31" s="166"/>
      <c r="BZ31" s="166"/>
      <c r="CA31" s="166"/>
    </row>
    <row r="32" spans="1:79" ht="13.5">
      <c r="A32" s="168" t="s">
        <v>114</v>
      </c>
      <c r="B32" s="165">
        <f>SUM(B11:B31)</f>
        <v>0</v>
      </c>
      <c r="C32" s="165">
        <f aca="true" t="shared" si="4" ref="C32:AM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I32" s="165">
        <f t="shared" si="4"/>
        <v>0</v>
      </c>
      <c r="AJ32" s="165">
        <f t="shared" si="4"/>
        <v>0</v>
      </c>
      <c r="AK32" s="165">
        <f t="shared" si="4"/>
        <v>0</v>
      </c>
      <c r="AL32" s="165">
        <f t="shared" si="4"/>
        <v>0</v>
      </c>
      <c r="AM32" s="165">
        <f t="shared" si="4"/>
        <v>0</v>
      </c>
      <c r="AO32" s="168" t="s">
        <v>114</v>
      </c>
      <c r="AP32" s="165">
        <f aca="true" t="shared" si="5" ref="AP32:BB32">SUM(AP11:AP31)</f>
        <v>0</v>
      </c>
      <c r="AQ32" s="165">
        <f t="shared" si="5"/>
        <v>0</v>
      </c>
      <c r="AR32" s="165">
        <f t="shared" si="5"/>
        <v>0</v>
      </c>
      <c r="AS32" s="165">
        <f t="shared" si="5"/>
        <v>0</v>
      </c>
      <c r="AT32" s="165">
        <f t="shared" si="5"/>
        <v>0</v>
      </c>
      <c r="AU32" s="165">
        <f t="shared" si="5"/>
        <v>0</v>
      </c>
      <c r="AV32" s="165">
        <f t="shared" si="5"/>
        <v>0</v>
      </c>
      <c r="AW32" s="165">
        <f t="shared" si="5"/>
        <v>0</v>
      </c>
      <c r="AX32" s="165">
        <f t="shared" si="5"/>
        <v>0</v>
      </c>
      <c r="AY32" s="165">
        <f t="shared" si="5"/>
        <v>0</v>
      </c>
      <c r="AZ32" s="165">
        <f t="shared" si="5"/>
        <v>0</v>
      </c>
      <c r="BA32" s="165">
        <f t="shared" si="5"/>
        <v>0</v>
      </c>
      <c r="BB32" s="165">
        <f t="shared" si="5"/>
        <v>0</v>
      </c>
      <c r="BC32" s="165">
        <f>SUM(BC11:BC31)</f>
        <v>0</v>
      </c>
      <c r="BD32" s="165">
        <f aca="true" t="shared" si="6" ref="BD32:CA32">SUM(BD11:BD31)</f>
        <v>0</v>
      </c>
      <c r="BE32" s="165">
        <f t="shared" si="6"/>
        <v>0</v>
      </c>
      <c r="BF32" s="165">
        <f t="shared" si="6"/>
        <v>0</v>
      </c>
      <c r="BG32" s="165">
        <f t="shared" si="6"/>
        <v>0</v>
      </c>
      <c r="BH32" s="165">
        <f t="shared" si="6"/>
        <v>0</v>
      </c>
      <c r="BI32" s="165">
        <f t="shared" si="6"/>
        <v>0</v>
      </c>
      <c r="BJ32" s="165">
        <f t="shared" si="6"/>
        <v>0</v>
      </c>
      <c r="BK32" s="165">
        <f t="shared" si="6"/>
        <v>0</v>
      </c>
      <c r="BL32" s="165">
        <f t="shared" si="6"/>
        <v>0</v>
      </c>
      <c r="BM32" s="165">
        <f t="shared" si="6"/>
        <v>0</v>
      </c>
      <c r="BN32" s="211">
        <f t="shared" si="6"/>
        <v>0</v>
      </c>
      <c r="BO32" s="172">
        <f t="shared" si="6"/>
        <v>0</v>
      </c>
      <c r="BP32" s="165">
        <f t="shared" si="6"/>
        <v>0</v>
      </c>
      <c r="BQ32" s="165">
        <f t="shared" si="6"/>
        <v>0</v>
      </c>
      <c r="BR32" s="165">
        <f t="shared" si="6"/>
        <v>0</v>
      </c>
      <c r="BS32" s="165">
        <f t="shared" si="6"/>
        <v>0</v>
      </c>
      <c r="BT32" s="165">
        <f t="shared" si="6"/>
        <v>0</v>
      </c>
      <c r="BU32" s="165">
        <f t="shared" si="6"/>
        <v>0</v>
      </c>
      <c r="BV32" s="165">
        <f t="shared" si="6"/>
        <v>0</v>
      </c>
      <c r="BW32" s="165">
        <f t="shared" si="6"/>
        <v>0</v>
      </c>
      <c r="BX32" s="165">
        <f t="shared" si="6"/>
        <v>0</v>
      </c>
      <c r="BY32" s="165">
        <f t="shared" si="6"/>
        <v>0</v>
      </c>
      <c r="BZ32" s="165">
        <f t="shared" si="6"/>
        <v>0</v>
      </c>
      <c r="CA32" s="165">
        <f t="shared" si="6"/>
        <v>0</v>
      </c>
    </row>
    <row r="34" spans="1:79" ht="27.75">
      <c r="A34" s="169" t="s">
        <v>291</v>
      </c>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1"/>
      <c r="BB34" s="861"/>
      <c r="BC34" s="861"/>
      <c r="BD34" s="861"/>
      <c r="BE34" s="861"/>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row>
    <row r="35" spans="1:79" ht="28.5" customHeight="1">
      <c r="A35" s="170" t="s">
        <v>178</v>
      </c>
      <c r="B35" s="872"/>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4"/>
      <c r="AY35" s="874"/>
      <c r="AZ35" s="874"/>
      <c r="BA35" s="874"/>
      <c r="BB35" s="874"/>
      <c r="BC35" s="874"/>
      <c r="BD35" s="874"/>
      <c r="BE35" s="874"/>
      <c r="BF35" s="874"/>
      <c r="BG35" s="874"/>
      <c r="BH35" s="874"/>
      <c r="BI35" s="874"/>
      <c r="BJ35" s="874"/>
      <c r="BK35" s="874"/>
      <c r="BL35" s="874"/>
      <c r="BM35" s="874"/>
      <c r="BN35" s="874"/>
      <c r="BO35" s="874"/>
      <c r="BP35" s="874"/>
      <c r="BQ35" s="874"/>
      <c r="BR35" s="874"/>
      <c r="BS35" s="874"/>
      <c r="BT35" s="874"/>
      <c r="BU35" s="874"/>
      <c r="BV35" s="874"/>
      <c r="BW35" s="874"/>
      <c r="BX35" s="874"/>
      <c r="BY35" s="874"/>
      <c r="BZ35" s="874"/>
      <c r="CA35" s="873"/>
    </row>
    <row r="36" spans="1:53" ht="6" customHeight="1">
      <c r="A36" s="160"/>
      <c r="B36" s="160"/>
      <c r="C36" s="160"/>
      <c r="D36" s="160"/>
      <c r="E36" s="160"/>
      <c r="F36" s="160"/>
      <c r="G36" s="160"/>
      <c r="H36" s="160"/>
      <c r="I36" s="160"/>
      <c r="J36" s="160"/>
      <c r="K36" s="160"/>
      <c r="L36" s="160"/>
      <c r="M36" s="160"/>
      <c r="N36" s="160"/>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O36" s="160"/>
      <c r="AP36" s="161"/>
      <c r="AQ36" s="161"/>
      <c r="AR36" s="161"/>
      <c r="AS36" s="161"/>
      <c r="AT36" s="161"/>
      <c r="AU36" s="161"/>
      <c r="AV36" s="161"/>
      <c r="AW36" s="161"/>
      <c r="AX36" s="161"/>
      <c r="AY36" s="161"/>
      <c r="AZ36" s="161"/>
      <c r="BA36" s="161"/>
    </row>
    <row r="37" spans="1:79" ht="30" customHeight="1">
      <c r="A37" s="870" t="s">
        <v>91</v>
      </c>
      <c r="B37" s="872" t="s">
        <v>39</v>
      </c>
      <c r="C37" s="873"/>
      <c r="D37" s="872" t="s">
        <v>40</v>
      </c>
      <c r="E37" s="873"/>
      <c r="F37" s="872" t="s">
        <v>41</v>
      </c>
      <c r="G37" s="873"/>
      <c r="H37" s="872" t="s">
        <v>42</v>
      </c>
      <c r="I37" s="873"/>
      <c r="J37" s="872" t="s">
        <v>43</v>
      </c>
      <c r="K37" s="873"/>
      <c r="L37" s="872" t="s">
        <v>44</v>
      </c>
      <c r="M37" s="873"/>
      <c r="N37" s="872" t="s">
        <v>45</v>
      </c>
      <c r="O37" s="873"/>
      <c r="P37" s="872" t="s">
        <v>46</v>
      </c>
      <c r="Q37" s="873"/>
      <c r="R37" s="872" t="s">
        <v>47</v>
      </c>
      <c r="S37" s="873"/>
      <c r="T37" s="872" t="s">
        <v>48</v>
      </c>
      <c r="U37" s="873"/>
      <c r="V37" s="872" t="s">
        <v>49</v>
      </c>
      <c r="W37" s="873"/>
      <c r="X37" s="872" t="s">
        <v>50</v>
      </c>
      <c r="Y37" s="873"/>
      <c r="Z37" s="872" t="s">
        <v>92</v>
      </c>
      <c r="AA37" s="873"/>
      <c r="AB37" s="872" t="s">
        <v>290</v>
      </c>
      <c r="AC37" s="874"/>
      <c r="AD37" s="874"/>
      <c r="AE37" s="874"/>
      <c r="AF37" s="874"/>
      <c r="AG37" s="873"/>
      <c r="AH37" s="872" t="s">
        <v>289</v>
      </c>
      <c r="AI37" s="874"/>
      <c r="AJ37" s="874"/>
      <c r="AK37" s="874"/>
      <c r="AL37" s="874"/>
      <c r="AM37" s="873"/>
      <c r="AO37" s="870" t="s">
        <v>91</v>
      </c>
      <c r="AP37" s="872" t="s">
        <v>39</v>
      </c>
      <c r="AQ37" s="873"/>
      <c r="AR37" s="872" t="s">
        <v>40</v>
      </c>
      <c r="AS37" s="873"/>
      <c r="AT37" s="872" t="s">
        <v>41</v>
      </c>
      <c r="AU37" s="873"/>
      <c r="AV37" s="872" t="s">
        <v>42</v>
      </c>
      <c r="AW37" s="873"/>
      <c r="AX37" s="872" t="s">
        <v>43</v>
      </c>
      <c r="AY37" s="873"/>
      <c r="AZ37" s="872" t="s">
        <v>44</v>
      </c>
      <c r="BA37" s="873"/>
      <c r="BB37" s="872" t="s">
        <v>45</v>
      </c>
      <c r="BC37" s="873"/>
      <c r="BD37" s="872" t="s">
        <v>46</v>
      </c>
      <c r="BE37" s="873"/>
      <c r="BF37" s="872" t="s">
        <v>47</v>
      </c>
      <c r="BG37" s="873"/>
      <c r="BH37" s="872" t="s">
        <v>48</v>
      </c>
      <c r="BI37" s="873"/>
      <c r="BJ37" s="872" t="s">
        <v>49</v>
      </c>
      <c r="BK37" s="873"/>
      <c r="BL37" s="872" t="s">
        <v>50</v>
      </c>
      <c r="BM37" s="873"/>
      <c r="BN37" s="872" t="s">
        <v>92</v>
      </c>
      <c r="BO37" s="873"/>
      <c r="BP37" s="872" t="s">
        <v>290</v>
      </c>
      <c r="BQ37" s="874"/>
      <c r="BR37" s="874"/>
      <c r="BS37" s="874"/>
      <c r="BT37" s="874"/>
      <c r="BU37" s="873"/>
      <c r="BV37" s="872" t="s">
        <v>289</v>
      </c>
      <c r="BW37" s="874"/>
      <c r="BX37" s="874"/>
      <c r="BY37" s="874"/>
      <c r="BZ37" s="874"/>
      <c r="CA37" s="873"/>
    </row>
    <row r="38" spans="1:79" ht="51.75" customHeight="1">
      <c r="A38" s="871"/>
      <c r="B38" s="126" t="s">
        <v>376</v>
      </c>
      <c r="C38" s="126" t="s">
        <v>377</v>
      </c>
      <c r="D38" s="126" t="s">
        <v>376</v>
      </c>
      <c r="E38" s="126" t="s">
        <v>377</v>
      </c>
      <c r="F38" s="126" t="s">
        <v>376</v>
      </c>
      <c r="G38" s="126" t="s">
        <v>377</v>
      </c>
      <c r="H38" s="126" t="s">
        <v>376</v>
      </c>
      <c r="I38" s="126" t="s">
        <v>377</v>
      </c>
      <c r="J38" s="126" t="s">
        <v>376</v>
      </c>
      <c r="K38" s="126" t="s">
        <v>377</v>
      </c>
      <c r="L38" s="126" t="s">
        <v>376</v>
      </c>
      <c r="M38" s="126" t="s">
        <v>377</v>
      </c>
      <c r="N38" s="126" t="s">
        <v>376</v>
      </c>
      <c r="O38" s="126" t="s">
        <v>377</v>
      </c>
      <c r="P38" s="126" t="s">
        <v>376</v>
      </c>
      <c r="Q38" s="126" t="s">
        <v>377</v>
      </c>
      <c r="R38" s="126" t="s">
        <v>376</v>
      </c>
      <c r="S38" s="126" t="s">
        <v>377</v>
      </c>
      <c r="T38" s="126" t="s">
        <v>376</v>
      </c>
      <c r="U38" s="126" t="s">
        <v>377</v>
      </c>
      <c r="V38" s="126" t="s">
        <v>376</v>
      </c>
      <c r="W38" s="126" t="s">
        <v>377</v>
      </c>
      <c r="X38" s="126" t="s">
        <v>376</v>
      </c>
      <c r="Y38" s="126" t="s">
        <v>377</v>
      </c>
      <c r="Z38" s="126" t="s">
        <v>376</v>
      </c>
      <c r="AA38" s="126" t="s">
        <v>377</v>
      </c>
      <c r="AB38" s="206" t="s">
        <v>397</v>
      </c>
      <c r="AC38" s="206" t="s">
        <v>398</v>
      </c>
      <c r="AD38" s="206" t="s">
        <v>399</v>
      </c>
      <c r="AE38" s="206" t="s">
        <v>307</v>
      </c>
      <c r="AF38" s="207" t="s">
        <v>400</v>
      </c>
      <c r="AG38" s="206" t="s">
        <v>306</v>
      </c>
      <c r="AH38" s="203" t="s">
        <v>391</v>
      </c>
      <c r="AI38" s="162" t="s">
        <v>392</v>
      </c>
      <c r="AJ38" s="203" t="s">
        <v>393</v>
      </c>
      <c r="AK38" s="203" t="s">
        <v>394</v>
      </c>
      <c r="AL38" s="203" t="s">
        <v>395</v>
      </c>
      <c r="AM38" s="203" t="s">
        <v>396</v>
      </c>
      <c r="AO38" s="871"/>
      <c r="AP38" s="126" t="s">
        <v>376</v>
      </c>
      <c r="AQ38" s="126" t="s">
        <v>377</v>
      </c>
      <c r="AR38" s="126" t="s">
        <v>376</v>
      </c>
      <c r="AS38" s="126" t="s">
        <v>377</v>
      </c>
      <c r="AT38" s="126" t="s">
        <v>376</v>
      </c>
      <c r="AU38" s="126" t="s">
        <v>377</v>
      </c>
      <c r="AV38" s="126" t="s">
        <v>376</v>
      </c>
      <c r="AW38" s="126" t="s">
        <v>377</v>
      </c>
      <c r="AX38" s="126" t="s">
        <v>376</v>
      </c>
      <c r="AY38" s="126" t="s">
        <v>377</v>
      </c>
      <c r="AZ38" s="126" t="s">
        <v>376</v>
      </c>
      <c r="BA38" s="126" t="s">
        <v>377</v>
      </c>
      <c r="BB38" s="126" t="s">
        <v>376</v>
      </c>
      <c r="BC38" s="126" t="s">
        <v>377</v>
      </c>
      <c r="BD38" s="126" t="s">
        <v>376</v>
      </c>
      <c r="BE38" s="126" t="s">
        <v>377</v>
      </c>
      <c r="BF38" s="126" t="s">
        <v>376</v>
      </c>
      <c r="BG38" s="126" t="s">
        <v>377</v>
      </c>
      <c r="BH38" s="126" t="s">
        <v>376</v>
      </c>
      <c r="BI38" s="126" t="s">
        <v>377</v>
      </c>
      <c r="BJ38" s="126" t="s">
        <v>376</v>
      </c>
      <c r="BK38" s="126" t="s">
        <v>377</v>
      </c>
      <c r="BL38" s="126" t="s">
        <v>376</v>
      </c>
      <c r="BM38" s="126" t="s">
        <v>377</v>
      </c>
      <c r="BN38" s="126" t="s">
        <v>376</v>
      </c>
      <c r="BO38" s="126" t="s">
        <v>377</v>
      </c>
      <c r="BP38" s="206" t="s">
        <v>397</v>
      </c>
      <c r="BQ38" s="206" t="s">
        <v>398</v>
      </c>
      <c r="BR38" s="206" t="s">
        <v>399</v>
      </c>
      <c r="BS38" s="206" t="s">
        <v>307</v>
      </c>
      <c r="BT38" s="207" t="s">
        <v>400</v>
      </c>
      <c r="BU38" s="206" t="s">
        <v>306</v>
      </c>
      <c r="BV38" s="203" t="s">
        <v>391</v>
      </c>
      <c r="BW38" s="162" t="s">
        <v>392</v>
      </c>
      <c r="BX38" s="203" t="s">
        <v>393</v>
      </c>
      <c r="BY38" s="203" t="s">
        <v>394</v>
      </c>
      <c r="BZ38" s="203" t="s">
        <v>395</v>
      </c>
      <c r="CA38" s="203" t="s">
        <v>396</v>
      </c>
    </row>
    <row r="39" spans="1:79" ht="13.5">
      <c r="A39" s="163" t="s">
        <v>93</v>
      </c>
      <c r="B39" s="163"/>
      <c r="C39" s="163"/>
      <c r="D39" s="163"/>
      <c r="E39" s="163"/>
      <c r="F39" s="163"/>
      <c r="G39" s="163"/>
      <c r="H39" s="163"/>
      <c r="I39" s="163"/>
      <c r="J39" s="163"/>
      <c r="K39" s="163"/>
      <c r="L39" s="163"/>
      <c r="M39" s="163"/>
      <c r="N39" s="163"/>
      <c r="O39" s="164"/>
      <c r="P39" s="164"/>
      <c r="Q39" s="164"/>
      <c r="R39" s="164"/>
      <c r="S39" s="164"/>
      <c r="T39" s="164"/>
      <c r="U39" s="164"/>
      <c r="V39" s="164"/>
      <c r="W39" s="164"/>
      <c r="X39" s="164"/>
      <c r="Y39" s="164"/>
      <c r="Z39" s="210">
        <f>B39+D39+F39+H39+J39+L39+N39+P39+R39+T39+V39+X39</f>
        <v>0</v>
      </c>
      <c r="AA39" s="171">
        <f>C39+E39+G39+I39+K39+M39+O39+Q39+S39+U39+W39+Y39</f>
        <v>0</v>
      </c>
      <c r="AB39" s="166"/>
      <c r="AC39" s="166"/>
      <c r="AD39" s="166"/>
      <c r="AE39" s="166"/>
      <c r="AF39" s="166"/>
      <c r="AG39" s="166"/>
      <c r="AH39" s="166"/>
      <c r="AI39" s="166"/>
      <c r="AJ39" s="166"/>
      <c r="AK39" s="166"/>
      <c r="AL39" s="166"/>
      <c r="AM39" s="167"/>
      <c r="AO39" s="163" t="s">
        <v>93</v>
      </c>
      <c r="AP39" s="163"/>
      <c r="AQ39" s="163"/>
      <c r="AR39" s="163"/>
      <c r="AS39" s="163"/>
      <c r="AT39" s="163"/>
      <c r="AU39" s="163"/>
      <c r="AV39" s="163"/>
      <c r="AW39" s="163"/>
      <c r="AX39" s="163"/>
      <c r="AY39" s="163"/>
      <c r="AZ39" s="163"/>
      <c r="BA39" s="163"/>
      <c r="BB39" s="163"/>
      <c r="BC39" s="164"/>
      <c r="BD39" s="164"/>
      <c r="BE39" s="164"/>
      <c r="BF39" s="164"/>
      <c r="BG39" s="164"/>
      <c r="BH39" s="164"/>
      <c r="BI39" s="164"/>
      <c r="BJ39" s="164"/>
      <c r="BK39" s="164"/>
      <c r="BL39" s="164"/>
      <c r="BM39" s="164"/>
      <c r="BN39" s="210">
        <f>AP39+AR39+AT39+AV39+AX39+AZ39+BB39+BD39+BF39+BH39+BJ39+BL39</f>
        <v>0</v>
      </c>
      <c r="BO39" s="171">
        <f>AQ39+AS39+AU39+AW39+AY39+BA39+BC39+BE39+BG39+BI39+BK39+BM39</f>
        <v>0</v>
      </c>
      <c r="BP39" s="208"/>
      <c r="BQ39" s="208"/>
      <c r="BR39" s="208"/>
      <c r="BS39" s="208"/>
      <c r="BT39" s="209"/>
      <c r="BU39" s="209"/>
      <c r="BV39" s="166"/>
      <c r="BW39" s="166"/>
      <c r="BX39" s="166"/>
      <c r="BY39" s="166"/>
      <c r="BZ39" s="166"/>
      <c r="CA39" s="167"/>
    </row>
    <row r="40" spans="1:79" ht="13.5">
      <c r="A40" s="163" t="s">
        <v>94</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210">
        <f aca="true" t="shared" si="7" ref="Z40:Z59">B40+D40+F40+H40+J40+L40+N40+P40+R40+T40+V40+X40</f>
        <v>0</v>
      </c>
      <c r="AA40" s="171">
        <f aca="true" t="shared" si="8" ref="AA40:AA59">C40+E40+G40+I40+K40+M40+O40+Q40+S40+U40+W40+Y40</f>
        <v>0</v>
      </c>
      <c r="AB40" s="166"/>
      <c r="AC40" s="166"/>
      <c r="AD40" s="166"/>
      <c r="AE40" s="166"/>
      <c r="AF40" s="166"/>
      <c r="AG40" s="166"/>
      <c r="AH40" s="166"/>
      <c r="AI40" s="166"/>
      <c r="AJ40" s="166"/>
      <c r="AK40" s="166"/>
      <c r="AL40" s="166"/>
      <c r="AM40" s="166"/>
      <c r="AO40" s="163" t="s">
        <v>94</v>
      </c>
      <c r="AP40" s="163"/>
      <c r="AQ40" s="163"/>
      <c r="AR40" s="163"/>
      <c r="AS40" s="163"/>
      <c r="AT40" s="163"/>
      <c r="AU40" s="163"/>
      <c r="AV40" s="163"/>
      <c r="AW40" s="163"/>
      <c r="AX40" s="163"/>
      <c r="AY40" s="163"/>
      <c r="AZ40" s="163"/>
      <c r="BA40" s="163"/>
      <c r="BB40" s="163"/>
      <c r="BC40" s="164"/>
      <c r="BD40" s="164"/>
      <c r="BE40" s="164"/>
      <c r="BF40" s="164"/>
      <c r="BG40" s="164"/>
      <c r="BH40" s="164"/>
      <c r="BI40" s="164"/>
      <c r="BJ40" s="164"/>
      <c r="BK40" s="164"/>
      <c r="BL40" s="164"/>
      <c r="BM40" s="164"/>
      <c r="BN40" s="210">
        <f aca="true" t="shared" si="9" ref="BN40:BN59">AP40+AR40+AT40+AV40+AX40+AZ40+BB40+BD40+BF40+BH40+BJ40+BL40</f>
        <v>0</v>
      </c>
      <c r="BO40" s="171">
        <f aca="true" t="shared" si="10" ref="BO40:BO59">AQ40+AS40+AU40+AW40+AY40+BA40+BC40+BE40+BG40+BI40+BK40+BM40</f>
        <v>0</v>
      </c>
      <c r="BP40" s="208"/>
      <c r="BQ40" s="208"/>
      <c r="BR40" s="208"/>
      <c r="BS40" s="208"/>
      <c r="BT40" s="209"/>
      <c r="BU40" s="209"/>
      <c r="BV40" s="166"/>
      <c r="BW40" s="166"/>
      <c r="BX40" s="166"/>
      <c r="BY40" s="166"/>
      <c r="BZ40" s="166"/>
      <c r="CA40" s="166"/>
    </row>
    <row r="41" spans="1:79" ht="13.5">
      <c r="A41" s="163" t="s">
        <v>95</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210">
        <f t="shared" si="7"/>
        <v>0</v>
      </c>
      <c r="AA41" s="171">
        <f t="shared" si="8"/>
        <v>0</v>
      </c>
      <c r="AB41" s="166"/>
      <c r="AC41" s="166"/>
      <c r="AD41" s="166"/>
      <c r="AE41" s="166"/>
      <c r="AF41" s="166"/>
      <c r="AG41" s="166"/>
      <c r="AH41" s="166"/>
      <c r="AI41" s="166"/>
      <c r="AJ41" s="166"/>
      <c r="AK41" s="166"/>
      <c r="AL41" s="166"/>
      <c r="AM41" s="166"/>
      <c r="AO41" s="163" t="s">
        <v>95</v>
      </c>
      <c r="AP41" s="163"/>
      <c r="AQ41" s="163"/>
      <c r="AR41" s="163"/>
      <c r="AS41" s="163"/>
      <c r="AT41" s="163"/>
      <c r="AU41" s="163"/>
      <c r="AV41" s="163"/>
      <c r="AW41" s="163"/>
      <c r="AX41" s="163"/>
      <c r="AY41" s="163"/>
      <c r="AZ41" s="163"/>
      <c r="BA41" s="163"/>
      <c r="BB41" s="163"/>
      <c r="BC41" s="164"/>
      <c r="BD41" s="164"/>
      <c r="BE41" s="164"/>
      <c r="BF41" s="164"/>
      <c r="BG41" s="164"/>
      <c r="BH41" s="164"/>
      <c r="BI41" s="164"/>
      <c r="BJ41" s="164"/>
      <c r="BK41" s="164"/>
      <c r="BL41" s="164"/>
      <c r="BM41" s="164"/>
      <c r="BN41" s="210">
        <f t="shared" si="9"/>
        <v>0</v>
      </c>
      <c r="BO41" s="171">
        <f t="shared" si="10"/>
        <v>0</v>
      </c>
      <c r="BP41" s="208"/>
      <c r="BQ41" s="208"/>
      <c r="BR41" s="208"/>
      <c r="BS41" s="208"/>
      <c r="BT41" s="209"/>
      <c r="BU41" s="209"/>
      <c r="BV41" s="166"/>
      <c r="BW41" s="166"/>
      <c r="BX41" s="166"/>
      <c r="BY41" s="166"/>
      <c r="BZ41" s="166"/>
      <c r="CA41" s="166"/>
    </row>
    <row r="42" spans="1:79" ht="13.5">
      <c r="A42" s="163" t="s">
        <v>96</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210">
        <f t="shared" si="7"/>
        <v>0</v>
      </c>
      <c r="AA42" s="171">
        <f t="shared" si="8"/>
        <v>0</v>
      </c>
      <c r="AB42" s="166"/>
      <c r="AC42" s="166"/>
      <c r="AD42" s="166"/>
      <c r="AE42" s="166"/>
      <c r="AF42" s="166"/>
      <c r="AG42" s="166"/>
      <c r="AH42" s="166"/>
      <c r="AI42" s="166"/>
      <c r="AJ42" s="166"/>
      <c r="AK42" s="166"/>
      <c r="AL42" s="166"/>
      <c r="AM42" s="166"/>
      <c r="AO42" s="163" t="s">
        <v>96</v>
      </c>
      <c r="AP42" s="163"/>
      <c r="AQ42" s="163"/>
      <c r="AR42" s="163"/>
      <c r="AS42" s="163"/>
      <c r="AT42" s="163"/>
      <c r="AU42" s="163"/>
      <c r="AV42" s="163"/>
      <c r="AW42" s="163"/>
      <c r="AX42" s="163"/>
      <c r="AY42" s="163"/>
      <c r="AZ42" s="163"/>
      <c r="BA42" s="163"/>
      <c r="BB42" s="163"/>
      <c r="BC42" s="164"/>
      <c r="BD42" s="164"/>
      <c r="BE42" s="164"/>
      <c r="BF42" s="164"/>
      <c r="BG42" s="164"/>
      <c r="BH42" s="164"/>
      <c r="BI42" s="164"/>
      <c r="BJ42" s="164"/>
      <c r="BK42" s="164"/>
      <c r="BL42" s="164"/>
      <c r="BM42" s="164"/>
      <c r="BN42" s="210">
        <f t="shared" si="9"/>
        <v>0</v>
      </c>
      <c r="BO42" s="171">
        <f t="shared" si="10"/>
        <v>0</v>
      </c>
      <c r="BP42" s="208"/>
      <c r="BQ42" s="208"/>
      <c r="BR42" s="208"/>
      <c r="BS42" s="208"/>
      <c r="BT42" s="209"/>
      <c r="BU42" s="209"/>
      <c r="BV42" s="166"/>
      <c r="BW42" s="166"/>
      <c r="BX42" s="166"/>
      <c r="BY42" s="166"/>
      <c r="BZ42" s="166"/>
      <c r="CA42" s="166"/>
    </row>
    <row r="43" spans="1:79" ht="13.5">
      <c r="A43" s="163" t="s">
        <v>97</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210">
        <f t="shared" si="7"/>
        <v>0</v>
      </c>
      <c r="AA43" s="171">
        <f t="shared" si="8"/>
        <v>0</v>
      </c>
      <c r="AB43" s="166"/>
      <c r="AC43" s="166"/>
      <c r="AD43" s="166"/>
      <c r="AE43" s="166"/>
      <c r="AF43" s="166"/>
      <c r="AG43" s="166"/>
      <c r="AH43" s="166"/>
      <c r="AI43" s="166"/>
      <c r="AJ43" s="166"/>
      <c r="AK43" s="166"/>
      <c r="AL43" s="166"/>
      <c r="AM43" s="166"/>
      <c r="AO43" s="163" t="s">
        <v>97</v>
      </c>
      <c r="AP43" s="163"/>
      <c r="AQ43" s="163"/>
      <c r="AR43" s="163"/>
      <c r="AS43" s="163"/>
      <c r="AT43" s="163"/>
      <c r="AU43" s="163"/>
      <c r="AV43" s="163"/>
      <c r="AW43" s="163"/>
      <c r="AX43" s="163"/>
      <c r="AY43" s="163"/>
      <c r="AZ43" s="163"/>
      <c r="BA43" s="163"/>
      <c r="BB43" s="163"/>
      <c r="BC43" s="164"/>
      <c r="BD43" s="164"/>
      <c r="BE43" s="164"/>
      <c r="BF43" s="164"/>
      <c r="BG43" s="164"/>
      <c r="BH43" s="164"/>
      <c r="BI43" s="164"/>
      <c r="BJ43" s="164"/>
      <c r="BK43" s="164"/>
      <c r="BL43" s="164"/>
      <c r="BM43" s="164"/>
      <c r="BN43" s="210">
        <f t="shared" si="9"/>
        <v>0</v>
      </c>
      <c r="BO43" s="171">
        <f t="shared" si="10"/>
        <v>0</v>
      </c>
      <c r="BP43" s="208"/>
      <c r="BQ43" s="208"/>
      <c r="BR43" s="208"/>
      <c r="BS43" s="208"/>
      <c r="BT43" s="209"/>
      <c r="BU43" s="209"/>
      <c r="BV43" s="166"/>
      <c r="BW43" s="166"/>
      <c r="BX43" s="166"/>
      <c r="BY43" s="166"/>
      <c r="BZ43" s="166"/>
      <c r="CA43" s="166"/>
    </row>
    <row r="44" spans="1:79" ht="13.5">
      <c r="A44" s="163" t="s">
        <v>98</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210">
        <f t="shared" si="7"/>
        <v>0</v>
      </c>
      <c r="AA44" s="171">
        <f t="shared" si="8"/>
        <v>0</v>
      </c>
      <c r="AB44" s="166"/>
      <c r="AC44" s="166"/>
      <c r="AD44" s="166"/>
      <c r="AE44" s="166"/>
      <c r="AF44" s="166"/>
      <c r="AG44" s="166"/>
      <c r="AH44" s="166"/>
      <c r="AI44" s="166"/>
      <c r="AJ44" s="166"/>
      <c r="AK44" s="166"/>
      <c r="AL44" s="166"/>
      <c r="AM44" s="166"/>
      <c r="AO44" s="163" t="s">
        <v>98</v>
      </c>
      <c r="AP44" s="163"/>
      <c r="AQ44" s="163"/>
      <c r="AR44" s="163"/>
      <c r="AS44" s="163"/>
      <c r="AT44" s="163"/>
      <c r="AU44" s="163"/>
      <c r="AV44" s="163"/>
      <c r="AW44" s="163"/>
      <c r="AX44" s="163"/>
      <c r="AY44" s="163"/>
      <c r="AZ44" s="163"/>
      <c r="BA44" s="163"/>
      <c r="BB44" s="163"/>
      <c r="BC44" s="164"/>
      <c r="BD44" s="164"/>
      <c r="BE44" s="164"/>
      <c r="BF44" s="164"/>
      <c r="BG44" s="164"/>
      <c r="BH44" s="164"/>
      <c r="BI44" s="164"/>
      <c r="BJ44" s="164"/>
      <c r="BK44" s="164"/>
      <c r="BL44" s="164"/>
      <c r="BM44" s="164"/>
      <c r="BN44" s="210">
        <f t="shared" si="9"/>
        <v>0</v>
      </c>
      <c r="BO44" s="171">
        <f t="shared" si="10"/>
        <v>0</v>
      </c>
      <c r="BP44" s="208"/>
      <c r="BQ44" s="208"/>
      <c r="BR44" s="208"/>
      <c r="BS44" s="208"/>
      <c r="BT44" s="209"/>
      <c r="BU44" s="209"/>
      <c r="BV44" s="166"/>
      <c r="BW44" s="166"/>
      <c r="BX44" s="166"/>
      <c r="BY44" s="166"/>
      <c r="BZ44" s="166"/>
      <c r="CA44" s="166"/>
    </row>
    <row r="45" spans="1:79" ht="13.5">
      <c r="A45" s="163" t="s">
        <v>99</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210">
        <f t="shared" si="7"/>
        <v>0</v>
      </c>
      <c r="AA45" s="171">
        <f t="shared" si="8"/>
        <v>0</v>
      </c>
      <c r="AB45" s="166"/>
      <c r="AC45" s="166"/>
      <c r="AD45" s="166"/>
      <c r="AE45" s="166"/>
      <c r="AF45" s="166"/>
      <c r="AG45" s="166"/>
      <c r="AH45" s="166"/>
      <c r="AI45" s="166"/>
      <c r="AJ45" s="166"/>
      <c r="AK45" s="166"/>
      <c r="AL45" s="166"/>
      <c r="AM45" s="166"/>
      <c r="AO45" s="163" t="s">
        <v>99</v>
      </c>
      <c r="AP45" s="163"/>
      <c r="AQ45" s="163"/>
      <c r="AR45" s="163"/>
      <c r="AS45" s="163"/>
      <c r="AT45" s="163"/>
      <c r="AU45" s="163"/>
      <c r="AV45" s="163"/>
      <c r="AW45" s="163"/>
      <c r="AX45" s="163"/>
      <c r="AY45" s="163"/>
      <c r="AZ45" s="163"/>
      <c r="BA45" s="163"/>
      <c r="BB45" s="163"/>
      <c r="BC45" s="164"/>
      <c r="BD45" s="164"/>
      <c r="BE45" s="164"/>
      <c r="BF45" s="164"/>
      <c r="BG45" s="164"/>
      <c r="BH45" s="164"/>
      <c r="BI45" s="164"/>
      <c r="BJ45" s="164"/>
      <c r="BK45" s="164"/>
      <c r="BL45" s="164"/>
      <c r="BM45" s="164"/>
      <c r="BN45" s="210">
        <f t="shared" si="9"/>
        <v>0</v>
      </c>
      <c r="BO45" s="171">
        <f t="shared" si="10"/>
        <v>0</v>
      </c>
      <c r="BP45" s="208"/>
      <c r="BQ45" s="208"/>
      <c r="BR45" s="208"/>
      <c r="BS45" s="208"/>
      <c r="BT45" s="209"/>
      <c r="BU45" s="209"/>
      <c r="BV45" s="166"/>
      <c r="BW45" s="166"/>
      <c r="BX45" s="166"/>
      <c r="BY45" s="166"/>
      <c r="BZ45" s="166"/>
      <c r="CA45" s="166"/>
    </row>
    <row r="46" spans="1:79" ht="13.5">
      <c r="A46" s="163" t="s">
        <v>100</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210">
        <f t="shared" si="7"/>
        <v>0</v>
      </c>
      <c r="AA46" s="171">
        <f t="shared" si="8"/>
        <v>0</v>
      </c>
      <c r="AB46" s="166"/>
      <c r="AC46" s="166"/>
      <c r="AD46" s="166"/>
      <c r="AE46" s="166"/>
      <c r="AF46" s="166"/>
      <c r="AG46" s="166"/>
      <c r="AH46" s="166"/>
      <c r="AI46" s="166"/>
      <c r="AJ46" s="166"/>
      <c r="AK46" s="166"/>
      <c r="AL46" s="166"/>
      <c r="AM46" s="166"/>
      <c r="AO46" s="163" t="s">
        <v>100</v>
      </c>
      <c r="AP46" s="163"/>
      <c r="AQ46" s="163"/>
      <c r="AR46" s="163"/>
      <c r="AS46" s="163"/>
      <c r="AT46" s="163"/>
      <c r="AU46" s="163"/>
      <c r="AV46" s="163"/>
      <c r="AW46" s="163"/>
      <c r="AX46" s="163"/>
      <c r="AY46" s="163"/>
      <c r="AZ46" s="163"/>
      <c r="BA46" s="163"/>
      <c r="BB46" s="163"/>
      <c r="BC46" s="164"/>
      <c r="BD46" s="164"/>
      <c r="BE46" s="164"/>
      <c r="BF46" s="164"/>
      <c r="BG46" s="164"/>
      <c r="BH46" s="164"/>
      <c r="BI46" s="164"/>
      <c r="BJ46" s="164"/>
      <c r="BK46" s="164"/>
      <c r="BL46" s="164"/>
      <c r="BM46" s="164"/>
      <c r="BN46" s="210">
        <f t="shared" si="9"/>
        <v>0</v>
      </c>
      <c r="BO46" s="171">
        <f t="shared" si="10"/>
        <v>0</v>
      </c>
      <c r="BP46" s="208"/>
      <c r="BQ46" s="208"/>
      <c r="BR46" s="208"/>
      <c r="BS46" s="208"/>
      <c r="BT46" s="209"/>
      <c r="BU46" s="209"/>
      <c r="BV46" s="166"/>
      <c r="BW46" s="166"/>
      <c r="BX46" s="166"/>
      <c r="BY46" s="166"/>
      <c r="BZ46" s="166"/>
      <c r="CA46" s="166"/>
    </row>
    <row r="47" spans="1:79" ht="13.5">
      <c r="A47" s="163" t="s">
        <v>101</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210">
        <f t="shared" si="7"/>
        <v>0</v>
      </c>
      <c r="AA47" s="171">
        <f t="shared" si="8"/>
        <v>0</v>
      </c>
      <c r="AB47" s="166"/>
      <c r="AC47" s="166"/>
      <c r="AD47" s="166"/>
      <c r="AE47" s="166"/>
      <c r="AF47" s="166"/>
      <c r="AG47" s="166"/>
      <c r="AH47" s="166"/>
      <c r="AI47" s="166"/>
      <c r="AJ47" s="166"/>
      <c r="AK47" s="166"/>
      <c r="AL47" s="166"/>
      <c r="AM47" s="166"/>
      <c r="AO47" s="163" t="s">
        <v>101</v>
      </c>
      <c r="AP47" s="163"/>
      <c r="AQ47" s="163"/>
      <c r="AR47" s="163"/>
      <c r="AS47" s="163"/>
      <c r="AT47" s="163"/>
      <c r="AU47" s="163"/>
      <c r="AV47" s="163"/>
      <c r="AW47" s="163"/>
      <c r="AX47" s="163"/>
      <c r="AY47" s="163"/>
      <c r="AZ47" s="163"/>
      <c r="BA47" s="163"/>
      <c r="BB47" s="163"/>
      <c r="BC47" s="164"/>
      <c r="BD47" s="164"/>
      <c r="BE47" s="164"/>
      <c r="BF47" s="164"/>
      <c r="BG47" s="164"/>
      <c r="BH47" s="164"/>
      <c r="BI47" s="164"/>
      <c r="BJ47" s="164"/>
      <c r="BK47" s="164"/>
      <c r="BL47" s="164"/>
      <c r="BM47" s="164"/>
      <c r="BN47" s="210">
        <f t="shared" si="9"/>
        <v>0</v>
      </c>
      <c r="BO47" s="171">
        <f t="shared" si="10"/>
        <v>0</v>
      </c>
      <c r="BP47" s="208"/>
      <c r="BQ47" s="208"/>
      <c r="BR47" s="208"/>
      <c r="BS47" s="208"/>
      <c r="BT47" s="209"/>
      <c r="BU47" s="209"/>
      <c r="BV47" s="166"/>
      <c r="BW47" s="166"/>
      <c r="BX47" s="166"/>
      <c r="BY47" s="166"/>
      <c r="BZ47" s="166"/>
      <c r="CA47" s="166"/>
    </row>
    <row r="48" spans="1:79" ht="13.5">
      <c r="A48" s="163" t="s">
        <v>102</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210">
        <f t="shared" si="7"/>
        <v>0</v>
      </c>
      <c r="AA48" s="171">
        <f t="shared" si="8"/>
        <v>0</v>
      </c>
      <c r="AB48" s="166"/>
      <c r="AC48" s="166"/>
      <c r="AD48" s="166"/>
      <c r="AE48" s="166"/>
      <c r="AF48" s="166"/>
      <c r="AG48" s="166"/>
      <c r="AH48" s="166"/>
      <c r="AI48" s="166"/>
      <c r="AJ48" s="166"/>
      <c r="AK48" s="166"/>
      <c r="AL48" s="166"/>
      <c r="AM48" s="166"/>
      <c r="AO48" s="163" t="s">
        <v>102</v>
      </c>
      <c r="AP48" s="163"/>
      <c r="AQ48" s="163"/>
      <c r="AR48" s="163"/>
      <c r="AS48" s="163"/>
      <c r="AT48" s="163"/>
      <c r="AU48" s="163"/>
      <c r="AV48" s="163"/>
      <c r="AW48" s="163"/>
      <c r="AX48" s="163"/>
      <c r="AY48" s="163"/>
      <c r="AZ48" s="163"/>
      <c r="BA48" s="163"/>
      <c r="BB48" s="163"/>
      <c r="BC48" s="164"/>
      <c r="BD48" s="164"/>
      <c r="BE48" s="164"/>
      <c r="BF48" s="164"/>
      <c r="BG48" s="164"/>
      <c r="BH48" s="164"/>
      <c r="BI48" s="164"/>
      <c r="BJ48" s="164"/>
      <c r="BK48" s="164"/>
      <c r="BL48" s="164"/>
      <c r="BM48" s="164"/>
      <c r="BN48" s="210">
        <f t="shared" si="9"/>
        <v>0</v>
      </c>
      <c r="BO48" s="171">
        <f t="shared" si="10"/>
        <v>0</v>
      </c>
      <c r="BP48" s="208"/>
      <c r="BQ48" s="208"/>
      <c r="BR48" s="208"/>
      <c r="BS48" s="208"/>
      <c r="BT48" s="209"/>
      <c r="BU48" s="209"/>
      <c r="BV48" s="166"/>
      <c r="BW48" s="166"/>
      <c r="BX48" s="166"/>
      <c r="BY48" s="166"/>
      <c r="BZ48" s="166"/>
      <c r="CA48" s="166"/>
    </row>
    <row r="49" spans="1:79" ht="13.5">
      <c r="A49" s="163" t="s">
        <v>103</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210">
        <f t="shared" si="7"/>
        <v>0</v>
      </c>
      <c r="AA49" s="171">
        <f t="shared" si="8"/>
        <v>0</v>
      </c>
      <c r="AB49" s="166"/>
      <c r="AC49" s="166"/>
      <c r="AD49" s="166"/>
      <c r="AE49" s="166"/>
      <c r="AF49" s="166"/>
      <c r="AG49" s="166"/>
      <c r="AH49" s="166"/>
      <c r="AI49" s="166"/>
      <c r="AJ49" s="166"/>
      <c r="AK49" s="166"/>
      <c r="AL49" s="166"/>
      <c r="AM49" s="166"/>
      <c r="AO49" s="163" t="s">
        <v>103</v>
      </c>
      <c r="AP49" s="163"/>
      <c r="AQ49" s="163"/>
      <c r="AR49" s="163"/>
      <c r="AS49" s="163"/>
      <c r="AT49" s="163"/>
      <c r="AU49" s="163"/>
      <c r="AV49" s="163"/>
      <c r="AW49" s="163"/>
      <c r="AX49" s="163"/>
      <c r="AY49" s="163"/>
      <c r="AZ49" s="163"/>
      <c r="BA49" s="163"/>
      <c r="BB49" s="163"/>
      <c r="BC49" s="164"/>
      <c r="BD49" s="164"/>
      <c r="BE49" s="164"/>
      <c r="BF49" s="164"/>
      <c r="BG49" s="164"/>
      <c r="BH49" s="164"/>
      <c r="BI49" s="164"/>
      <c r="BJ49" s="164"/>
      <c r="BK49" s="164"/>
      <c r="BL49" s="164"/>
      <c r="BM49" s="164"/>
      <c r="BN49" s="210">
        <f t="shared" si="9"/>
        <v>0</v>
      </c>
      <c r="BO49" s="171">
        <f t="shared" si="10"/>
        <v>0</v>
      </c>
      <c r="BP49" s="208"/>
      <c r="BQ49" s="208"/>
      <c r="BR49" s="208"/>
      <c r="BS49" s="208"/>
      <c r="BT49" s="209"/>
      <c r="BU49" s="209"/>
      <c r="BV49" s="166"/>
      <c r="BW49" s="166"/>
      <c r="BX49" s="166"/>
      <c r="BY49" s="166"/>
      <c r="BZ49" s="166"/>
      <c r="CA49" s="166"/>
    </row>
    <row r="50" spans="1:79" ht="13.5">
      <c r="A50" s="163" t="s">
        <v>104</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210">
        <f t="shared" si="7"/>
        <v>0</v>
      </c>
      <c r="AA50" s="171">
        <f t="shared" si="8"/>
        <v>0</v>
      </c>
      <c r="AB50" s="166"/>
      <c r="AC50" s="166"/>
      <c r="AD50" s="166"/>
      <c r="AE50" s="166"/>
      <c r="AF50" s="166"/>
      <c r="AG50" s="166"/>
      <c r="AH50" s="166"/>
      <c r="AI50" s="166"/>
      <c r="AJ50" s="166"/>
      <c r="AK50" s="166"/>
      <c r="AL50" s="166"/>
      <c r="AM50" s="166"/>
      <c r="AO50" s="163" t="s">
        <v>104</v>
      </c>
      <c r="AP50" s="163"/>
      <c r="AQ50" s="163"/>
      <c r="AR50" s="163"/>
      <c r="AS50" s="163"/>
      <c r="AT50" s="163"/>
      <c r="AU50" s="163"/>
      <c r="AV50" s="163"/>
      <c r="AW50" s="163"/>
      <c r="AX50" s="163"/>
      <c r="AY50" s="163"/>
      <c r="AZ50" s="163"/>
      <c r="BA50" s="163"/>
      <c r="BB50" s="163"/>
      <c r="BC50" s="164"/>
      <c r="BD50" s="164"/>
      <c r="BE50" s="164"/>
      <c r="BF50" s="164"/>
      <c r="BG50" s="164"/>
      <c r="BH50" s="164"/>
      <c r="BI50" s="164"/>
      <c r="BJ50" s="164"/>
      <c r="BK50" s="164"/>
      <c r="BL50" s="164"/>
      <c r="BM50" s="164"/>
      <c r="BN50" s="210">
        <f t="shared" si="9"/>
        <v>0</v>
      </c>
      <c r="BO50" s="171">
        <f t="shared" si="10"/>
        <v>0</v>
      </c>
      <c r="BP50" s="208"/>
      <c r="BQ50" s="208"/>
      <c r="BR50" s="208"/>
      <c r="BS50" s="208"/>
      <c r="BT50" s="209"/>
      <c r="BU50" s="209"/>
      <c r="BV50" s="166"/>
      <c r="BW50" s="166"/>
      <c r="BX50" s="166"/>
      <c r="BY50" s="166"/>
      <c r="BZ50" s="166"/>
      <c r="CA50" s="166"/>
    </row>
    <row r="51" spans="1:79" ht="13.5">
      <c r="A51" s="163" t="s">
        <v>105</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210">
        <f t="shared" si="7"/>
        <v>0</v>
      </c>
      <c r="AA51" s="171">
        <f t="shared" si="8"/>
        <v>0</v>
      </c>
      <c r="AB51" s="166"/>
      <c r="AC51" s="166"/>
      <c r="AD51" s="166"/>
      <c r="AE51" s="166"/>
      <c r="AF51" s="166"/>
      <c r="AG51" s="166"/>
      <c r="AH51" s="166"/>
      <c r="AI51" s="166"/>
      <c r="AJ51" s="166"/>
      <c r="AK51" s="166"/>
      <c r="AL51" s="166"/>
      <c r="AM51" s="166"/>
      <c r="AO51" s="163" t="s">
        <v>105</v>
      </c>
      <c r="AP51" s="163"/>
      <c r="AQ51" s="163"/>
      <c r="AR51" s="163"/>
      <c r="AS51" s="163"/>
      <c r="AT51" s="163"/>
      <c r="AU51" s="163"/>
      <c r="AV51" s="163"/>
      <c r="AW51" s="163"/>
      <c r="AX51" s="163"/>
      <c r="AY51" s="163"/>
      <c r="AZ51" s="163"/>
      <c r="BA51" s="163"/>
      <c r="BB51" s="163"/>
      <c r="BC51" s="164"/>
      <c r="BD51" s="164"/>
      <c r="BE51" s="164"/>
      <c r="BF51" s="164"/>
      <c r="BG51" s="164"/>
      <c r="BH51" s="164"/>
      <c r="BI51" s="164"/>
      <c r="BJ51" s="164"/>
      <c r="BK51" s="164"/>
      <c r="BL51" s="164"/>
      <c r="BM51" s="164"/>
      <c r="BN51" s="210">
        <f t="shared" si="9"/>
        <v>0</v>
      </c>
      <c r="BO51" s="171">
        <f t="shared" si="10"/>
        <v>0</v>
      </c>
      <c r="BP51" s="208"/>
      <c r="BQ51" s="208"/>
      <c r="BR51" s="208"/>
      <c r="BS51" s="208"/>
      <c r="BT51" s="209"/>
      <c r="BU51" s="209"/>
      <c r="BV51" s="166"/>
      <c r="BW51" s="166"/>
      <c r="BX51" s="166"/>
      <c r="BY51" s="166"/>
      <c r="BZ51" s="166"/>
      <c r="CA51" s="166"/>
    </row>
    <row r="52" spans="1:79" ht="13.5">
      <c r="A52" s="163" t="s">
        <v>106</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210">
        <f t="shared" si="7"/>
        <v>0</v>
      </c>
      <c r="AA52" s="171">
        <f t="shared" si="8"/>
        <v>0</v>
      </c>
      <c r="AB52" s="166"/>
      <c r="AC52" s="166"/>
      <c r="AD52" s="166"/>
      <c r="AE52" s="166"/>
      <c r="AF52" s="166"/>
      <c r="AG52" s="166"/>
      <c r="AH52" s="166"/>
      <c r="AI52" s="166"/>
      <c r="AJ52" s="166"/>
      <c r="AK52" s="166"/>
      <c r="AL52" s="166"/>
      <c r="AM52" s="166"/>
      <c r="AO52" s="163" t="s">
        <v>106</v>
      </c>
      <c r="AP52" s="163"/>
      <c r="AQ52" s="163"/>
      <c r="AR52" s="163"/>
      <c r="AS52" s="163"/>
      <c r="AT52" s="163"/>
      <c r="AU52" s="163"/>
      <c r="AV52" s="163"/>
      <c r="AW52" s="163"/>
      <c r="AX52" s="163"/>
      <c r="AY52" s="163"/>
      <c r="AZ52" s="163"/>
      <c r="BA52" s="163"/>
      <c r="BB52" s="163"/>
      <c r="BC52" s="164"/>
      <c r="BD52" s="164"/>
      <c r="BE52" s="164"/>
      <c r="BF52" s="164"/>
      <c r="BG52" s="164"/>
      <c r="BH52" s="164"/>
      <c r="BI52" s="164"/>
      <c r="BJ52" s="164"/>
      <c r="BK52" s="164"/>
      <c r="BL52" s="164"/>
      <c r="BM52" s="164"/>
      <c r="BN52" s="210">
        <f t="shared" si="9"/>
        <v>0</v>
      </c>
      <c r="BO52" s="171">
        <f t="shared" si="10"/>
        <v>0</v>
      </c>
      <c r="BP52" s="208"/>
      <c r="BQ52" s="208"/>
      <c r="BR52" s="208"/>
      <c r="BS52" s="208"/>
      <c r="BT52" s="209"/>
      <c r="BU52" s="209"/>
      <c r="BV52" s="166"/>
      <c r="BW52" s="166"/>
      <c r="BX52" s="166"/>
      <c r="BY52" s="166"/>
      <c r="BZ52" s="166"/>
      <c r="CA52" s="166"/>
    </row>
    <row r="53" spans="1:79" ht="13.5">
      <c r="A53" s="163" t="s">
        <v>107</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210">
        <f t="shared" si="7"/>
        <v>0</v>
      </c>
      <c r="AA53" s="171">
        <f t="shared" si="8"/>
        <v>0</v>
      </c>
      <c r="AB53" s="166"/>
      <c r="AC53" s="166"/>
      <c r="AD53" s="166"/>
      <c r="AE53" s="166"/>
      <c r="AF53" s="166"/>
      <c r="AG53" s="166"/>
      <c r="AH53" s="166"/>
      <c r="AI53" s="166"/>
      <c r="AJ53" s="166"/>
      <c r="AK53" s="166"/>
      <c r="AL53" s="166"/>
      <c r="AM53" s="166"/>
      <c r="AO53" s="163" t="s">
        <v>107</v>
      </c>
      <c r="AP53" s="163"/>
      <c r="AQ53" s="163"/>
      <c r="AR53" s="163"/>
      <c r="AS53" s="163"/>
      <c r="AT53" s="163"/>
      <c r="AU53" s="163"/>
      <c r="AV53" s="163"/>
      <c r="AW53" s="163"/>
      <c r="AX53" s="163"/>
      <c r="AY53" s="163"/>
      <c r="AZ53" s="163"/>
      <c r="BA53" s="163"/>
      <c r="BB53" s="163"/>
      <c r="BC53" s="164"/>
      <c r="BD53" s="164"/>
      <c r="BE53" s="164"/>
      <c r="BF53" s="164"/>
      <c r="BG53" s="164"/>
      <c r="BH53" s="164"/>
      <c r="BI53" s="164"/>
      <c r="BJ53" s="164"/>
      <c r="BK53" s="164"/>
      <c r="BL53" s="164"/>
      <c r="BM53" s="164"/>
      <c r="BN53" s="210">
        <f t="shared" si="9"/>
        <v>0</v>
      </c>
      <c r="BO53" s="171">
        <f t="shared" si="10"/>
        <v>0</v>
      </c>
      <c r="BP53" s="208"/>
      <c r="BQ53" s="208"/>
      <c r="BR53" s="208"/>
      <c r="BS53" s="208"/>
      <c r="BT53" s="209"/>
      <c r="BU53" s="209"/>
      <c r="BV53" s="166"/>
      <c r="BW53" s="166"/>
      <c r="BX53" s="166"/>
      <c r="BY53" s="166"/>
      <c r="BZ53" s="166"/>
      <c r="CA53" s="166"/>
    </row>
    <row r="54" spans="1:79" ht="13.5">
      <c r="A54" s="163" t="s">
        <v>108</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210">
        <f t="shared" si="7"/>
        <v>0</v>
      </c>
      <c r="AA54" s="171">
        <f t="shared" si="8"/>
        <v>0</v>
      </c>
      <c r="AB54" s="166"/>
      <c r="AC54" s="166"/>
      <c r="AD54" s="166"/>
      <c r="AE54" s="166"/>
      <c r="AF54" s="166"/>
      <c r="AG54" s="166"/>
      <c r="AH54" s="166"/>
      <c r="AI54" s="166"/>
      <c r="AJ54" s="166"/>
      <c r="AK54" s="166"/>
      <c r="AL54" s="166"/>
      <c r="AM54" s="166"/>
      <c r="AO54" s="163" t="s">
        <v>108</v>
      </c>
      <c r="AP54" s="163"/>
      <c r="AQ54" s="163"/>
      <c r="AR54" s="163"/>
      <c r="AS54" s="163"/>
      <c r="AT54" s="163"/>
      <c r="AU54" s="163"/>
      <c r="AV54" s="163"/>
      <c r="AW54" s="163"/>
      <c r="AX54" s="163"/>
      <c r="AY54" s="163"/>
      <c r="AZ54" s="163"/>
      <c r="BA54" s="163"/>
      <c r="BB54" s="163"/>
      <c r="BC54" s="164"/>
      <c r="BD54" s="164"/>
      <c r="BE54" s="164"/>
      <c r="BF54" s="164"/>
      <c r="BG54" s="164"/>
      <c r="BH54" s="164"/>
      <c r="BI54" s="164"/>
      <c r="BJ54" s="164"/>
      <c r="BK54" s="164"/>
      <c r="BL54" s="164"/>
      <c r="BM54" s="164"/>
      <c r="BN54" s="210">
        <f t="shared" si="9"/>
        <v>0</v>
      </c>
      <c r="BO54" s="171">
        <f t="shared" si="10"/>
        <v>0</v>
      </c>
      <c r="BP54" s="208"/>
      <c r="BQ54" s="208"/>
      <c r="BR54" s="208"/>
      <c r="BS54" s="208"/>
      <c r="BT54" s="209"/>
      <c r="BU54" s="209"/>
      <c r="BV54" s="166"/>
      <c r="BW54" s="166"/>
      <c r="BX54" s="166"/>
      <c r="BY54" s="166"/>
      <c r="BZ54" s="166"/>
      <c r="CA54" s="166"/>
    </row>
    <row r="55" spans="1:79" ht="13.5">
      <c r="A55" s="163" t="s">
        <v>109</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210">
        <f t="shared" si="7"/>
        <v>0</v>
      </c>
      <c r="AA55" s="171">
        <f t="shared" si="8"/>
        <v>0</v>
      </c>
      <c r="AB55" s="166"/>
      <c r="AC55" s="166"/>
      <c r="AD55" s="166"/>
      <c r="AE55" s="166"/>
      <c r="AF55" s="166"/>
      <c r="AG55" s="166"/>
      <c r="AH55" s="166"/>
      <c r="AI55" s="166"/>
      <c r="AJ55" s="166"/>
      <c r="AK55" s="166"/>
      <c r="AL55" s="166"/>
      <c r="AM55" s="166"/>
      <c r="AO55" s="163" t="s">
        <v>109</v>
      </c>
      <c r="AP55" s="163"/>
      <c r="AQ55" s="163"/>
      <c r="AR55" s="163"/>
      <c r="AS55" s="163"/>
      <c r="AT55" s="163"/>
      <c r="AU55" s="163"/>
      <c r="AV55" s="163"/>
      <c r="AW55" s="163"/>
      <c r="AX55" s="163"/>
      <c r="AY55" s="163"/>
      <c r="AZ55" s="163"/>
      <c r="BA55" s="163"/>
      <c r="BB55" s="163"/>
      <c r="BC55" s="164"/>
      <c r="BD55" s="164"/>
      <c r="BE55" s="164"/>
      <c r="BF55" s="164"/>
      <c r="BG55" s="164"/>
      <c r="BH55" s="164"/>
      <c r="BI55" s="164"/>
      <c r="BJ55" s="164"/>
      <c r="BK55" s="164"/>
      <c r="BL55" s="164"/>
      <c r="BM55" s="164"/>
      <c r="BN55" s="210">
        <f t="shared" si="9"/>
        <v>0</v>
      </c>
      <c r="BO55" s="171">
        <f t="shared" si="10"/>
        <v>0</v>
      </c>
      <c r="BP55" s="208"/>
      <c r="BQ55" s="208"/>
      <c r="BR55" s="208"/>
      <c r="BS55" s="208"/>
      <c r="BT55" s="209"/>
      <c r="BU55" s="209"/>
      <c r="BV55" s="166"/>
      <c r="BW55" s="166"/>
      <c r="BX55" s="166"/>
      <c r="BY55" s="166"/>
      <c r="BZ55" s="166"/>
      <c r="CA55" s="166"/>
    </row>
    <row r="56" spans="1:79" ht="13.5">
      <c r="A56" s="163" t="s">
        <v>110</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210">
        <f t="shared" si="7"/>
        <v>0</v>
      </c>
      <c r="AA56" s="171">
        <f t="shared" si="8"/>
        <v>0</v>
      </c>
      <c r="AB56" s="166"/>
      <c r="AC56" s="166"/>
      <c r="AD56" s="166"/>
      <c r="AE56" s="166"/>
      <c r="AF56" s="166"/>
      <c r="AG56" s="166"/>
      <c r="AH56" s="166"/>
      <c r="AI56" s="166"/>
      <c r="AJ56" s="166"/>
      <c r="AK56" s="166"/>
      <c r="AL56" s="166"/>
      <c r="AM56" s="166"/>
      <c r="AO56" s="163" t="s">
        <v>110</v>
      </c>
      <c r="AP56" s="163"/>
      <c r="AQ56" s="163"/>
      <c r="AR56" s="163"/>
      <c r="AS56" s="163"/>
      <c r="AT56" s="163"/>
      <c r="AU56" s="163"/>
      <c r="AV56" s="163"/>
      <c r="AW56" s="163"/>
      <c r="AX56" s="163"/>
      <c r="AY56" s="163"/>
      <c r="AZ56" s="163"/>
      <c r="BA56" s="163"/>
      <c r="BB56" s="163"/>
      <c r="BC56" s="164"/>
      <c r="BD56" s="164"/>
      <c r="BE56" s="164"/>
      <c r="BF56" s="164"/>
      <c r="BG56" s="164"/>
      <c r="BH56" s="164"/>
      <c r="BI56" s="164"/>
      <c r="BJ56" s="164"/>
      <c r="BK56" s="164"/>
      <c r="BL56" s="164"/>
      <c r="BM56" s="164"/>
      <c r="BN56" s="210">
        <f t="shared" si="9"/>
        <v>0</v>
      </c>
      <c r="BO56" s="171">
        <f t="shared" si="10"/>
        <v>0</v>
      </c>
      <c r="BP56" s="208"/>
      <c r="BQ56" s="208"/>
      <c r="BR56" s="208"/>
      <c r="BS56" s="208"/>
      <c r="BT56" s="209"/>
      <c r="BU56" s="209"/>
      <c r="BV56" s="166"/>
      <c r="BW56" s="166"/>
      <c r="BX56" s="166"/>
      <c r="BY56" s="166"/>
      <c r="BZ56" s="166"/>
      <c r="CA56" s="166"/>
    </row>
    <row r="57" spans="1:79" ht="13.5">
      <c r="A57" s="163" t="s">
        <v>111</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210">
        <f t="shared" si="7"/>
        <v>0</v>
      </c>
      <c r="AA57" s="171">
        <f t="shared" si="8"/>
        <v>0</v>
      </c>
      <c r="AB57" s="166"/>
      <c r="AC57" s="166"/>
      <c r="AD57" s="166"/>
      <c r="AE57" s="166"/>
      <c r="AF57" s="166"/>
      <c r="AG57" s="166"/>
      <c r="AH57" s="166"/>
      <c r="AI57" s="166"/>
      <c r="AJ57" s="166"/>
      <c r="AK57" s="166"/>
      <c r="AL57" s="166"/>
      <c r="AM57" s="166"/>
      <c r="AO57" s="163" t="s">
        <v>111</v>
      </c>
      <c r="AP57" s="163"/>
      <c r="AQ57" s="163"/>
      <c r="AR57" s="163"/>
      <c r="AS57" s="163"/>
      <c r="AT57" s="163"/>
      <c r="AU57" s="163"/>
      <c r="AV57" s="163"/>
      <c r="AW57" s="163"/>
      <c r="AX57" s="163"/>
      <c r="AY57" s="163"/>
      <c r="AZ57" s="163"/>
      <c r="BA57" s="163"/>
      <c r="BB57" s="163"/>
      <c r="BC57" s="164"/>
      <c r="BD57" s="164"/>
      <c r="BE57" s="164"/>
      <c r="BF57" s="164"/>
      <c r="BG57" s="164"/>
      <c r="BH57" s="164"/>
      <c r="BI57" s="164"/>
      <c r="BJ57" s="164"/>
      <c r="BK57" s="164"/>
      <c r="BL57" s="164"/>
      <c r="BM57" s="164"/>
      <c r="BN57" s="210">
        <f t="shared" si="9"/>
        <v>0</v>
      </c>
      <c r="BO57" s="171">
        <f t="shared" si="10"/>
        <v>0</v>
      </c>
      <c r="BP57" s="208"/>
      <c r="BQ57" s="208"/>
      <c r="BR57" s="208"/>
      <c r="BS57" s="208"/>
      <c r="BT57" s="209"/>
      <c r="BU57" s="209"/>
      <c r="BV57" s="166"/>
      <c r="BW57" s="166"/>
      <c r="BX57" s="166"/>
      <c r="BY57" s="166"/>
      <c r="BZ57" s="166"/>
      <c r="CA57" s="166"/>
    </row>
    <row r="58" spans="1:79" ht="13.5">
      <c r="A58" s="163" t="s">
        <v>112</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210">
        <f t="shared" si="7"/>
        <v>0</v>
      </c>
      <c r="AA58" s="171">
        <f t="shared" si="8"/>
        <v>0</v>
      </c>
      <c r="AB58" s="166"/>
      <c r="AC58" s="166"/>
      <c r="AD58" s="166"/>
      <c r="AE58" s="166"/>
      <c r="AF58" s="166"/>
      <c r="AG58" s="166"/>
      <c r="AH58" s="166"/>
      <c r="AI58" s="166"/>
      <c r="AJ58" s="166"/>
      <c r="AK58" s="166"/>
      <c r="AL58" s="166"/>
      <c r="AM58" s="166"/>
      <c r="AO58" s="163" t="s">
        <v>112</v>
      </c>
      <c r="AP58" s="163"/>
      <c r="AQ58" s="163"/>
      <c r="AR58" s="163"/>
      <c r="AS58" s="163"/>
      <c r="AT58" s="163"/>
      <c r="AU58" s="163"/>
      <c r="AV58" s="163"/>
      <c r="AW58" s="163"/>
      <c r="AX58" s="163"/>
      <c r="AY58" s="163"/>
      <c r="AZ58" s="163"/>
      <c r="BA58" s="163"/>
      <c r="BB58" s="163"/>
      <c r="BC58" s="164"/>
      <c r="BD58" s="164"/>
      <c r="BE58" s="164"/>
      <c r="BF58" s="164"/>
      <c r="BG58" s="164"/>
      <c r="BH58" s="164"/>
      <c r="BI58" s="164"/>
      <c r="BJ58" s="164"/>
      <c r="BK58" s="164"/>
      <c r="BL58" s="164"/>
      <c r="BM58" s="164"/>
      <c r="BN58" s="210">
        <f t="shared" si="9"/>
        <v>0</v>
      </c>
      <c r="BO58" s="171">
        <f t="shared" si="10"/>
        <v>0</v>
      </c>
      <c r="BP58" s="208"/>
      <c r="BQ58" s="208"/>
      <c r="BR58" s="208"/>
      <c r="BS58" s="208"/>
      <c r="BT58" s="209"/>
      <c r="BU58" s="209"/>
      <c r="BV58" s="166"/>
      <c r="BW58" s="166"/>
      <c r="BX58" s="166"/>
      <c r="BY58" s="166"/>
      <c r="BZ58" s="166"/>
      <c r="CA58" s="166"/>
    </row>
    <row r="59" spans="1:79" ht="13.5">
      <c r="A59" s="163" t="s">
        <v>113</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210">
        <f t="shared" si="7"/>
        <v>0</v>
      </c>
      <c r="AA59" s="171">
        <f t="shared" si="8"/>
        <v>0</v>
      </c>
      <c r="AB59" s="166"/>
      <c r="AC59" s="166"/>
      <c r="AD59" s="166"/>
      <c r="AE59" s="166"/>
      <c r="AF59" s="166"/>
      <c r="AG59" s="166"/>
      <c r="AH59" s="166"/>
      <c r="AI59" s="166"/>
      <c r="AJ59" s="166"/>
      <c r="AK59" s="166"/>
      <c r="AL59" s="166"/>
      <c r="AM59" s="166"/>
      <c r="AO59" s="163" t="s">
        <v>113</v>
      </c>
      <c r="AP59" s="163"/>
      <c r="AQ59" s="163"/>
      <c r="AR59" s="163"/>
      <c r="AS59" s="163"/>
      <c r="AT59" s="163"/>
      <c r="AU59" s="163"/>
      <c r="AV59" s="163"/>
      <c r="AW59" s="163"/>
      <c r="AX59" s="163"/>
      <c r="AY59" s="163"/>
      <c r="AZ59" s="163"/>
      <c r="BA59" s="163"/>
      <c r="BB59" s="163"/>
      <c r="BC59" s="164"/>
      <c r="BD59" s="164"/>
      <c r="BE59" s="164"/>
      <c r="BF59" s="164"/>
      <c r="BG59" s="164"/>
      <c r="BH59" s="164"/>
      <c r="BI59" s="164"/>
      <c r="BJ59" s="164"/>
      <c r="BK59" s="164"/>
      <c r="BL59" s="164"/>
      <c r="BM59" s="164"/>
      <c r="BN59" s="210">
        <f t="shared" si="9"/>
        <v>0</v>
      </c>
      <c r="BO59" s="171">
        <f t="shared" si="10"/>
        <v>0</v>
      </c>
      <c r="BP59" s="208"/>
      <c r="BQ59" s="208"/>
      <c r="BR59" s="208"/>
      <c r="BS59" s="208"/>
      <c r="BT59" s="209"/>
      <c r="BU59" s="209"/>
      <c r="BV59" s="166"/>
      <c r="BW59" s="166"/>
      <c r="BX59" s="166"/>
      <c r="BY59" s="166"/>
      <c r="BZ59" s="166"/>
      <c r="CA59" s="166"/>
    </row>
    <row r="60" spans="1:79" ht="13.5">
      <c r="A60" s="168" t="s">
        <v>114</v>
      </c>
      <c r="B60" s="165">
        <f aca="true" t="shared" si="11" ref="B60:AM60">SUM(B39:B59)</f>
        <v>0</v>
      </c>
      <c r="C60" s="165">
        <f t="shared" si="11"/>
        <v>0</v>
      </c>
      <c r="D60" s="165">
        <f t="shared" si="11"/>
        <v>0</v>
      </c>
      <c r="E60" s="165">
        <f t="shared" si="11"/>
        <v>0</v>
      </c>
      <c r="F60" s="165">
        <f t="shared" si="11"/>
        <v>0</v>
      </c>
      <c r="G60" s="165">
        <f t="shared" si="11"/>
        <v>0</v>
      </c>
      <c r="H60" s="165">
        <f t="shared" si="11"/>
        <v>0</v>
      </c>
      <c r="I60" s="165">
        <f t="shared" si="11"/>
        <v>0</v>
      </c>
      <c r="J60" s="165">
        <f t="shared" si="11"/>
        <v>0</v>
      </c>
      <c r="K60" s="165">
        <f t="shared" si="11"/>
        <v>0</v>
      </c>
      <c r="L60" s="165">
        <f t="shared" si="11"/>
        <v>0</v>
      </c>
      <c r="M60" s="165">
        <f t="shared" si="11"/>
        <v>0</v>
      </c>
      <c r="N60" s="165">
        <f t="shared" si="11"/>
        <v>0</v>
      </c>
      <c r="O60" s="165">
        <f t="shared" si="11"/>
        <v>0</v>
      </c>
      <c r="P60" s="165">
        <f t="shared" si="11"/>
        <v>0</v>
      </c>
      <c r="Q60" s="165">
        <f t="shared" si="11"/>
        <v>0</v>
      </c>
      <c r="R60" s="165">
        <f t="shared" si="11"/>
        <v>0</v>
      </c>
      <c r="S60" s="165">
        <f t="shared" si="11"/>
        <v>0</v>
      </c>
      <c r="T60" s="165">
        <f t="shared" si="11"/>
        <v>0</v>
      </c>
      <c r="U60" s="165">
        <f t="shared" si="11"/>
        <v>0</v>
      </c>
      <c r="V60" s="165">
        <f t="shared" si="11"/>
        <v>0</v>
      </c>
      <c r="W60" s="165">
        <f t="shared" si="11"/>
        <v>0</v>
      </c>
      <c r="X60" s="165">
        <f t="shared" si="11"/>
        <v>0</v>
      </c>
      <c r="Y60" s="165">
        <f t="shared" si="11"/>
        <v>0</v>
      </c>
      <c r="Z60" s="165">
        <f t="shared" si="11"/>
        <v>0</v>
      </c>
      <c r="AA60" s="171">
        <f t="shared" si="11"/>
        <v>0</v>
      </c>
      <c r="AB60" s="165">
        <f t="shared" si="11"/>
        <v>0</v>
      </c>
      <c r="AC60" s="165">
        <f t="shared" si="11"/>
        <v>0</v>
      </c>
      <c r="AD60" s="165">
        <f t="shared" si="11"/>
        <v>0</v>
      </c>
      <c r="AE60" s="165">
        <f t="shared" si="11"/>
        <v>0</v>
      </c>
      <c r="AF60" s="165">
        <f t="shared" si="11"/>
        <v>0</v>
      </c>
      <c r="AG60" s="165">
        <f t="shared" si="11"/>
        <v>0</v>
      </c>
      <c r="AH60" s="165">
        <f t="shared" si="11"/>
        <v>0</v>
      </c>
      <c r="AI60" s="165">
        <f t="shared" si="11"/>
        <v>0</v>
      </c>
      <c r="AJ60" s="165">
        <f t="shared" si="11"/>
        <v>0</v>
      </c>
      <c r="AK60" s="165">
        <f t="shared" si="11"/>
        <v>0</v>
      </c>
      <c r="AL60" s="165">
        <f t="shared" si="11"/>
        <v>0</v>
      </c>
      <c r="AM60" s="165">
        <f t="shared" si="11"/>
        <v>0</v>
      </c>
      <c r="AO60" s="168" t="s">
        <v>114</v>
      </c>
      <c r="AP60" s="165">
        <f aca="true" t="shared" si="12" ref="AP60:BB60">SUM(AP39:AP59)</f>
        <v>0</v>
      </c>
      <c r="AQ60" s="165">
        <f t="shared" si="12"/>
        <v>0</v>
      </c>
      <c r="AR60" s="165">
        <f t="shared" si="12"/>
        <v>0</v>
      </c>
      <c r="AS60" s="165">
        <f t="shared" si="12"/>
        <v>0</v>
      </c>
      <c r="AT60" s="165">
        <f t="shared" si="12"/>
        <v>0</v>
      </c>
      <c r="AU60" s="165">
        <f t="shared" si="12"/>
        <v>0</v>
      </c>
      <c r="AV60" s="165">
        <f t="shared" si="12"/>
        <v>0</v>
      </c>
      <c r="AW60" s="165">
        <f t="shared" si="12"/>
        <v>0</v>
      </c>
      <c r="AX60" s="165">
        <f t="shared" si="12"/>
        <v>0</v>
      </c>
      <c r="AY60" s="165">
        <f t="shared" si="12"/>
        <v>0</v>
      </c>
      <c r="AZ60" s="165">
        <f t="shared" si="12"/>
        <v>0</v>
      </c>
      <c r="BA60" s="165">
        <f t="shared" si="12"/>
        <v>0</v>
      </c>
      <c r="BB60" s="165">
        <f t="shared" si="12"/>
        <v>0</v>
      </c>
      <c r="BC60" s="165">
        <f>SUM(BC39:BC59)</f>
        <v>0</v>
      </c>
      <c r="BD60" s="165">
        <f aca="true" t="shared" si="13" ref="BD60:CA60">SUM(BD39:BD59)</f>
        <v>0</v>
      </c>
      <c r="BE60" s="165">
        <f t="shared" si="13"/>
        <v>0</v>
      </c>
      <c r="BF60" s="165">
        <f t="shared" si="13"/>
        <v>0</v>
      </c>
      <c r="BG60" s="165">
        <f t="shared" si="13"/>
        <v>0</v>
      </c>
      <c r="BH60" s="165">
        <f t="shared" si="13"/>
        <v>0</v>
      </c>
      <c r="BI60" s="165">
        <f t="shared" si="13"/>
        <v>0</v>
      </c>
      <c r="BJ60" s="165">
        <f t="shared" si="13"/>
        <v>0</v>
      </c>
      <c r="BK60" s="165">
        <f t="shared" si="13"/>
        <v>0</v>
      </c>
      <c r="BL60" s="165">
        <f t="shared" si="13"/>
        <v>0</v>
      </c>
      <c r="BM60" s="165">
        <f t="shared" si="13"/>
        <v>0</v>
      </c>
      <c r="BN60" s="211">
        <f t="shared" si="13"/>
        <v>0</v>
      </c>
      <c r="BO60" s="172">
        <f t="shared" si="13"/>
        <v>0</v>
      </c>
      <c r="BP60" s="165">
        <f t="shared" si="13"/>
        <v>0</v>
      </c>
      <c r="BQ60" s="165">
        <f t="shared" si="13"/>
        <v>0</v>
      </c>
      <c r="BR60" s="165">
        <f t="shared" si="13"/>
        <v>0</v>
      </c>
      <c r="BS60" s="165">
        <f t="shared" si="13"/>
        <v>0</v>
      </c>
      <c r="BT60" s="165">
        <f t="shared" si="13"/>
        <v>0</v>
      </c>
      <c r="BU60" s="165">
        <f t="shared" si="13"/>
        <v>0</v>
      </c>
      <c r="BV60" s="165">
        <f>SUM(BV39:BV59)</f>
        <v>0</v>
      </c>
      <c r="BW60" s="165">
        <f t="shared" si="13"/>
        <v>0</v>
      </c>
      <c r="BX60" s="165">
        <f t="shared" si="13"/>
        <v>0</v>
      </c>
      <c r="BY60" s="165">
        <f t="shared" si="13"/>
        <v>0</v>
      </c>
      <c r="BZ60" s="165">
        <f t="shared" si="13"/>
        <v>0</v>
      </c>
      <c r="CA60" s="165">
        <f t="shared" si="13"/>
        <v>0</v>
      </c>
    </row>
  </sheetData>
  <sheetProtection/>
  <mergeCells count="78">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34:CA34"/>
    <mergeCell ref="BY4:CA4"/>
    <mergeCell ref="A4:BX4"/>
    <mergeCell ref="BY1:CA1"/>
    <mergeCell ref="BY2:CA2"/>
    <mergeCell ref="BY3:CA3"/>
    <mergeCell ref="A1:BX1"/>
    <mergeCell ref="A2:BX2"/>
    <mergeCell ref="A3:BX3"/>
    <mergeCell ref="A5:AM5"/>
  </mergeCells>
  <printOptions/>
  <pageMargins left="0.75" right="0.75" top="1" bottom="1" header="0.3" footer="0.3"/>
  <pageSetup orientation="portrait"/>
</worksheet>
</file>

<file path=xl/worksheets/sheet23.xml><?xml version="1.0" encoding="utf-8"?>
<worksheet xmlns="http://schemas.openxmlformats.org/spreadsheetml/2006/main" xmlns:r="http://schemas.openxmlformats.org/officeDocument/2006/relationships">
  <dimension ref="A1:B41"/>
  <sheetViews>
    <sheetView zoomScale="136" zoomScaleNormal="136" zoomScalePageLayoutView="0" workbookViewId="0" topLeftCell="A7">
      <selection activeCell="B14" sqref="B14"/>
    </sheetView>
  </sheetViews>
  <sheetFormatPr defaultColWidth="9.140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9.140625" style="142" customWidth="1"/>
  </cols>
  <sheetData>
    <row r="1" spans="1:2" ht="25.5" customHeight="1">
      <c r="A1" s="877" t="s">
        <v>196</v>
      </c>
      <c r="B1" s="878"/>
    </row>
    <row r="2" spans="1:2" ht="25.5" customHeight="1">
      <c r="A2" s="879" t="s">
        <v>406</v>
      </c>
      <c r="B2" s="774"/>
    </row>
    <row r="3" spans="1:2" ht="13.5">
      <c r="A3" s="144" t="s">
        <v>326</v>
      </c>
      <c r="B3" s="144" t="s">
        <v>327</v>
      </c>
    </row>
    <row r="4" spans="1:2" ht="13.5">
      <c r="A4" s="145" t="s">
        <v>71</v>
      </c>
      <c r="B4" s="154" t="s">
        <v>360</v>
      </c>
    </row>
    <row r="5" spans="1:2" ht="97.5">
      <c r="A5" s="145" t="s">
        <v>67</v>
      </c>
      <c r="B5" s="153" t="s">
        <v>361</v>
      </c>
    </row>
    <row r="6" spans="1:2" s="143" customFormat="1" ht="13.5">
      <c r="A6" s="145" t="s">
        <v>0</v>
      </c>
      <c r="B6" s="880" t="s">
        <v>355</v>
      </c>
    </row>
    <row r="7" spans="1:2" s="143" customFormat="1" ht="13.5">
      <c r="A7" s="145" t="s">
        <v>77</v>
      </c>
      <c r="B7" s="881"/>
    </row>
    <row r="8" spans="1:2" s="143" customFormat="1" ht="13.5">
      <c r="A8" s="145" t="s">
        <v>73</v>
      </c>
      <c r="B8" s="881"/>
    </row>
    <row r="9" spans="1:2" s="143" customFormat="1" ht="13.5">
      <c r="A9" s="145" t="s">
        <v>335</v>
      </c>
      <c r="B9" s="882"/>
    </row>
    <row r="10" spans="1:2" s="143" customFormat="1" ht="27.75">
      <c r="A10" s="145" t="s">
        <v>294</v>
      </c>
      <c r="B10" s="146" t="s">
        <v>362</v>
      </c>
    </row>
    <row r="11" spans="1:2" s="143" customFormat="1" ht="27.75">
      <c r="A11" s="145" t="s">
        <v>1</v>
      </c>
      <c r="B11" s="146" t="s">
        <v>379</v>
      </c>
    </row>
    <row r="12" spans="1:2" s="143" customFormat="1" ht="42">
      <c r="A12" s="145" t="s">
        <v>15</v>
      </c>
      <c r="B12" s="147" t="s">
        <v>356</v>
      </c>
    </row>
    <row r="13" spans="1:2" s="143" customFormat="1" ht="27.75">
      <c r="A13" s="145" t="s">
        <v>333</v>
      </c>
      <c r="B13" s="147" t="s">
        <v>357</v>
      </c>
    </row>
    <row r="14" spans="1:2" s="143" customFormat="1" ht="27.75">
      <c r="A14" s="145" t="s">
        <v>334</v>
      </c>
      <c r="B14" s="147" t="s">
        <v>363</v>
      </c>
    </row>
    <row r="15" spans="1:2" ht="72" customHeight="1">
      <c r="A15" s="148" t="s">
        <v>331</v>
      </c>
      <c r="B15" s="149" t="s">
        <v>358</v>
      </c>
    </row>
    <row r="16" spans="1:2" ht="168">
      <c r="A16" s="148" t="s">
        <v>332</v>
      </c>
      <c r="B16" s="150" t="s">
        <v>359</v>
      </c>
    </row>
    <row r="17" spans="1:2" ht="25.5" customHeight="1">
      <c r="A17" s="879" t="s">
        <v>407</v>
      </c>
      <c r="B17" s="774"/>
    </row>
    <row r="18" spans="1:2" ht="13.5">
      <c r="A18" s="144" t="s">
        <v>326</v>
      </c>
      <c r="B18" s="144" t="s">
        <v>327</v>
      </c>
    </row>
    <row r="19" spans="1:2" ht="13.5">
      <c r="A19" s="145" t="s">
        <v>71</v>
      </c>
      <c r="B19" s="154" t="s">
        <v>360</v>
      </c>
    </row>
    <row r="20" spans="1:2" ht="97.5">
      <c r="A20" s="145" t="s">
        <v>67</v>
      </c>
      <c r="B20" s="153" t="s">
        <v>361</v>
      </c>
    </row>
    <row r="21" spans="1:2" ht="27.75">
      <c r="A21" s="145" t="s">
        <v>336</v>
      </c>
      <c r="B21" s="147" t="s">
        <v>337</v>
      </c>
    </row>
    <row r="22" spans="1:2" ht="27.75">
      <c r="A22" s="145" t="s">
        <v>329</v>
      </c>
      <c r="B22" s="147" t="s">
        <v>364</v>
      </c>
    </row>
    <row r="23" spans="1:2" ht="55.5">
      <c r="A23" s="145" t="s">
        <v>338</v>
      </c>
      <c r="B23" s="147" t="s">
        <v>339</v>
      </c>
    </row>
    <row r="24" spans="1:2" ht="27.75">
      <c r="A24" s="145" t="s">
        <v>328</v>
      </c>
      <c r="B24" s="151" t="s">
        <v>365</v>
      </c>
    </row>
    <row r="25" spans="1:2" ht="27.75">
      <c r="A25" s="145" t="s">
        <v>303</v>
      </c>
      <c r="B25" s="151" t="s">
        <v>366</v>
      </c>
    </row>
    <row r="26" spans="1:2" ht="45.75" customHeight="1">
      <c r="A26" s="145" t="s">
        <v>340</v>
      </c>
      <c r="B26" s="152" t="s">
        <v>375</v>
      </c>
    </row>
    <row r="27" spans="1:2" ht="55.5">
      <c r="A27" s="145" t="s">
        <v>280</v>
      </c>
      <c r="B27" s="152" t="s">
        <v>369</v>
      </c>
    </row>
    <row r="28" spans="1:2" ht="42">
      <c r="A28" s="145" t="s">
        <v>341</v>
      </c>
      <c r="B28" s="152" t="s">
        <v>342</v>
      </c>
    </row>
    <row r="29" spans="1:2" ht="27.75">
      <c r="A29" s="145" t="s">
        <v>368</v>
      </c>
      <c r="B29" s="152" t="s">
        <v>370</v>
      </c>
    </row>
    <row r="30" spans="1:2" ht="42">
      <c r="A30" s="145" t="s">
        <v>117</v>
      </c>
      <c r="B30" s="152" t="s">
        <v>371</v>
      </c>
    </row>
    <row r="31" spans="1:2" ht="144" customHeight="1">
      <c r="A31" s="145" t="s">
        <v>343</v>
      </c>
      <c r="B31" s="152" t="s">
        <v>372</v>
      </c>
    </row>
    <row r="32" spans="1:2" ht="27.75">
      <c r="A32" s="145" t="s">
        <v>344</v>
      </c>
      <c r="B32" s="152" t="s">
        <v>347</v>
      </c>
    </row>
    <row r="33" spans="1:2" ht="27.75">
      <c r="A33" s="145" t="s">
        <v>345</v>
      </c>
      <c r="B33" s="152" t="s">
        <v>346</v>
      </c>
    </row>
    <row r="34" spans="1:2" ht="27.75">
      <c r="A34" s="145" t="s">
        <v>324</v>
      </c>
      <c r="B34" s="152" t="s">
        <v>373</v>
      </c>
    </row>
    <row r="35" spans="1:2" ht="27.75">
      <c r="A35" s="145" t="s">
        <v>352</v>
      </c>
      <c r="B35" s="152" t="s">
        <v>348</v>
      </c>
    </row>
    <row r="36" spans="1:2" ht="55.5">
      <c r="A36" s="145" t="s">
        <v>299</v>
      </c>
      <c r="B36" s="152" t="s">
        <v>350</v>
      </c>
    </row>
    <row r="37" spans="1:2" ht="42">
      <c r="A37" s="145" t="s">
        <v>330</v>
      </c>
      <c r="B37" s="152" t="s">
        <v>349</v>
      </c>
    </row>
    <row r="38" spans="1:2" ht="42">
      <c r="A38" s="148" t="s">
        <v>301</v>
      </c>
      <c r="B38" s="152" t="s">
        <v>351</v>
      </c>
    </row>
    <row r="39" spans="1:2" ht="25.5" customHeight="1">
      <c r="A39" s="879" t="s">
        <v>353</v>
      </c>
      <c r="B39" s="774"/>
    </row>
    <row r="40" spans="1:2" ht="13.5">
      <c r="A40" s="877" t="s">
        <v>354</v>
      </c>
      <c r="B40" s="878"/>
    </row>
    <row r="41" spans="1:2" ht="72" customHeight="1">
      <c r="A41" s="875" t="s">
        <v>401</v>
      </c>
      <c r="B41" s="876"/>
    </row>
  </sheetData>
  <sheetProtection/>
  <mergeCells count="7">
    <mergeCell ref="A41:B41"/>
    <mergeCell ref="A1:B1"/>
    <mergeCell ref="A2:B2"/>
    <mergeCell ref="B6:B9"/>
    <mergeCell ref="A17:B17"/>
    <mergeCell ref="A39:B39"/>
    <mergeCell ref="A40:B40"/>
  </mergeCells>
  <printOptions/>
  <pageMargins left="0.75" right="0.75" top="1" bottom="1" header="0.3" footer="0.3"/>
  <pageSetup orientation="portrait"/>
</worksheet>
</file>

<file path=xl/worksheets/sheet24.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57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8" customFormat="1" ht="13.5">
      <c r="A1" s="127" t="s">
        <v>115</v>
      </c>
      <c r="B1" s="127" t="s">
        <v>197</v>
      </c>
      <c r="C1" s="127" t="s">
        <v>116</v>
      </c>
      <c r="D1" s="127" t="s">
        <v>266</v>
      </c>
      <c r="E1" s="127" t="s">
        <v>117</v>
      </c>
      <c r="F1" s="127" t="s">
        <v>86</v>
      </c>
      <c r="G1" s="127" t="s">
        <v>292</v>
      </c>
      <c r="H1" s="127" t="s">
        <v>290</v>
      </c>
      <c r="I1" s="127" t="s">
        <v>303</v>
      </c>
    </row>
    <row r="2" spans="1:9" s="128" customFormat="1" ht="13.5">
      <c r="A2" s="129" t="s">
        <v>118</v>
      </c>
      <c r="B2" s="122" t="s">
        <v>198</v>
      </c>
      <c r="C2" s="129" t="s">
        <v>119</v>
      </c>
      <c r="D2" s="130" t="s">
        <v>268</v>
      </c>
      <c r="E2" s="124" t="s">
        <v>121</v>
      </c>
      <c r="F2" s="131" t="s">
        <v>281</v>
      </c>
      <c r="G2" s="132" t="s">
        <v>388</v>
      </c>
      <c r="H2" s="132" t="s">
        <v>305</v>
      </c>
      <c r="I2" s="133" t="s">
        <v>308</v>
      </c>
    </row>
    <row r="3" spans="1:9" ht="13.5">
      <c r="A3" s="129" t="s">
        <v>122</v>
      </c>
      <c r="B3" s="122" t="s">
        <v>199</v>
      </c>
      <c r="C3" s="129" t="s">
        <v>123</v>
      </c>
      <c r="D3" s="134" t="s">
        <v>120</v>
      </c>
      <c r="E3" s="124" t="s">
        <v>125</v>
      </c>
      <c r="F3" s="131" t="s">
        <v>282</v>
      </c>
      <c r="G3" s="132" t="s">
        <v>389</v>
      </c>
      <c r="H3" s="132" t="s">
        <v>306</v>
      </c>
      <c r="I3" s="133" t="s">
        <v>309</v>
      </c>
    </row>
    <row r="4" spans="1:9" ht="13.5">
      <c r="A4" s="129" t="s">
        <v>126</v>
      </c>
      <c r="B4" s="122" t="s">
        <v>200</v>
      </c>
      <c r="C4" s="129" t="s">
        <v>127</v>
      </c>
      <c r="D4" s="134" t="s">
        <v>124</v>
      </c>
      <c r="E4" s="124" t="s">
        <v>129</v>
      </c>
      <c r="F4" s="131" t="s">
        <v>283</v>
      </c>
      <c r="G4" s="132" t="s">
        <v>390</v>
      </c>
      <c r="H4" s="132" t="s">
        <v>397</v>
      </c>
      <c r="I4" s="133" t="s">
        <v>310</v>
      </c>
    </row>
    <row r="5" spans="1:9" ht="13.5">
      <c r="A5" s="129" t="s">
        <v>130</v>
      </c>
      <c r="B5" s="122" t="s">
        <v>201</v>
      </c>
      <c r="C5" s="129" t="s">
        <v>131</v>
      </c>
      <c r="D5" s="134" t="s">
        <v>128</v>
      </c>
      <c r="E5" s="124" t="s">
        <v>133</v>
      </c>
      <c r="F5" s="131" t="s">
        <v>284</v>
      </c>
      <c r="G5" s="132" t="s">
        <v>387</v>
      </c>
      <c r="H5" s="132" t="s">
        <v>398</v>
      </c>
      <c r="I5" s="133" t="s">
        <v>311</v>
      </c>
    </row>
    <row r="6" spans="1:9" ht="27.75">
      <c r="A6" s="129" t="s">
        <v>134</v>
      </c>
      <c r="B6" s="122" t="s">
        <v>202</v>
      </c>
      <c r="C6" s="129" t="s">
        <v>135</v>
      </c>
      <c r="D6" s="134" t="s">
        <v>132</v>
      </c>
      <c r="E6" s="124" t="s">
        <v>137</v>
      </c>
      <c r="G6" s="132" t="s">
        <v>304</v>
      </c>
      <c r="H6" s="132" t="s">
        <v>399</v>
      </c>
      <c r="I6" s="133" t="s">
        <v>312</v>
      </c>
    </row>
    <row r="7" spans="2:9" ht="13.5">
      <c r="B7" s="122" t="s">
        <v>203</v>
      </c>
      <c r="C7" s="129" t="s">
        <v>138</v>
      </c>
      <c r="D7" s="134" t="s">
        <v>136</v>
      </c>
      <c r="E7" s="131" t="s">
        <v>140</v>
      </c>
      <c r="G7" s="124" t="s">
        <v>396</v>
      </c>
      <c r="H7" s="132" t="s">
        <v>307</v>
      </c>
      <c r="I7" s="133" t="s">
        <v>313</v>
      </c>
    </row>
    <row r="8" spans="1:9" ht="27.75">
      <c r="A8" s="135"/>
      <c r="B8" s="122" t="s">
        <v>204</v>
      </c>
      <c r="C8" s="129" t="s">
        <v>141</v>
      </c>
      <c r="D8" s="134" t="s">
        <v>139</v>
      </c>
      <c r="E8" s="131" t="s">
        <v>143</v>
      </c>
      <c r="I8" s="131" t="s">
        <v>314</v>
      </c>
    </row>
    <row r="9" spans="1:9" ht="31.5" customHeight="1">
      <c r="A9" s="135"/>
      <c r="B9" s="122" t="s">
        <v>205</v>
      </c>
      <c r="C9" s="129" t="s">
        <v>144</v>
      </c>
      <c r="D9" s="134" t="s">
        <v>142</v>
      </c>
      <c r="E9" s="131" t="s">
        <v>146</v>
      </c>
      <c r="I9" s="131" t="s">
        <v>315</v>
      </c>
    </row>
    <row r="10" spans="1:9" ht="13.5">
      <c r="A10" s="135"/>
      <c r="B10" s="122" t="s">
        <v>206</v>
      </c>
      <c r="C10" s="129" t="s">
        <v>147</v>
      </c>
      <c r="D10" s="134" t="s">
        <v>145</v>
      </c>
      <c r="E10" s="131" t="s">
        <v>149</v>
      </c>
      <c r="I10" s="131" t="s">
        <v>316</v>
      </c>
    </row>
    <row r="11" spans="1:9" ht="13.5">
      <c r="A11" s="135"/>
      <c r="B11" s="122" t="s">
        <v>207</v>
      </c>
      <c r="C11" s="129" t="s">
        <v>150</v>
      </c>
      <c r="D11" s="134" t="s">
        <v>148</v>
      </c>
      <c r="E11" s="131" t="s">
        <v>152</v>
      </c>
      <c r="I11" s="131" t="s">
        <v>317</v>
      </c>
    </row>
    <row r="12" spans="1:9" ht="13.5">
      <c r="A12" s="135"/>
      <c r="B12" s="122" t="s">
        <v>208</v>
      </c>
      <c r="C12" s="129" t="s">
        <v>153</v>
      </c>
      <c r="D12" s="134" t="s">
        <v>151</v>
      </c>
      <c r="E12" s="131" t="s">
        <v>155</v>
      </c>
      <c r="I12" s="131" t="s">
        <v>318</v>
      </c>
    </row>
    <row r="13" spans="1:9" ht="13.5">
      <c r="A13" s="135"/>
      <c r="B13" s="136" t="s">
        <v>209</v>
      </c>
      <c r="D13" s="134" t="s">
        <v>154</v>
      </c>
      <c r="E13" s="131" t="s">
        <v>157</v>
      </c>
      <c r="I13" s="131" t="s">
        <v>319</v>
      </c>
    </row>
    <row r="14" spans="1:5" ht="13.5">
      <c r="A14" s="135"/>
      <c r="B14" s="122" t="s">
        <v>210</v>
      </c>
      <c r="C14" s="135"/>
      <c r="D14" s="134" t="s">
        <v>156</v>
      </c>
      <c r="E14" s="131" t="s">
        <v>159</v>
      </c>
    </row>
    <row r="15" spans="1:5" ht="13.5">
      <c r="A15" s="135"/>
      <c r="B15" s="122" t="s">
        <v>211</v>
      </c>
      <c r="C15" s="135"/>
      <c r="D15" s="134" t="s">
        <v>158</v>
      </c>
      <c r="E15" s="131" t="s">
        <v>277</v>
      </c>
    </row>
    <row r="16" spans="1:5" ht="13.5">
      <c r="A16" s="135"/>
      <c r="B16" s="122" t="s">
        <v>212</v>
      </c>
      <c r="C16" s="135"/>
      <c r="D16" s="134" t="s">
        <v>160</v>
      </c>
      <c r="E16" s="137"/>
    </row>
    <row r="17" spans="1:5" ht="13.5">
      <c r="A17" s="135"/>
      <c r="B17" s="122" t="s">
        <v>213</v>
      </c>
      <c r="C17" s="135"/>
      <c r="D17" s="134" t="s">
        <v>161</v>
      </c>
      <c r="E17" s="137"/>
    </row>
    <row r="18" spans="1:5" ht="13.5">
      <c r="A18" s="135"/>
      <c r="B18" s="122" t="s">
        <v>214</v>
      </c>
      <c r="C18" s="135"/>
      <c r="D18" s="134" t="s">
        <v>162</v>
      </c>
      <c r="E18" s="137"/>
    </row>
    <row r="19" spans="1:5" ht="13.5">
      <c r="A19" s="135"/>
      <c r="B19" s="122" t="s">
        <v>215</v>
      </c>
      <c r="C19" s="135"/>
      <c r="D19" s="134" t="s">
        <v>163</v>
      </c>
      <c r="E19" s="137"/>
    </row>
    <row r="20" spans="1:5" ht="13.5">
      <c r="A20" s="135"/>
      <c r="B20" s="122" t="s">
        <v>216</v>
      </c>
      <c r="C20" s="135"/>
      <c r="D20" s="134" t="s">
        <v>164</v>
      </c>
      <c r="E20" s="137"/>
    </row>
    <row r="21" spans="2:5" ht="13.5">
      <c r="B21" s="122" t="s">
        <v>217</v>
      </c>
      <c r="D21" s="134" t="s">
        <v>165</v>
      </c>
      <c r="E21" s="137"/>
    </row>
    <row r="22" spans="2:5" ht="13.5">
      <c r="B22" s="122" t="s">
        <v>218</v>
      </c>
      <c r="D22" s="134" t="s">
        <v>166</v>
      </c>
      <c r="E22" s="137"/>
    </row>
    <row r="23" spans="2:5" ht="13.5">
      <c r="B23" s="122" t="s">
        <v>219</v>
      </c>
      <c r="D23" s="134" t="s">
        <v>167</v>
      </c>
      <c r="E23" s="137"/>
    </row>
    <row r="24" spans="4:5" ht="13.5">
      <c r="D24" s="138" t="s">
        <v>267</v>
      </c>
      <c r="E24" s="138" t="s">
        <v>258</v>
      </c>
    </row>
    <row r="25" spans="4:5" ht="13.5">
      <c r="D25" s="139" t="s">
        <v>220</v>
      </c>
      <c r="E25" s="131" t="s">
        <v>221</v>
      </c>
    </row>
    <row r="26" spans="4:5" ht="13.5">
      <c r="D26" s="139" t="s">
        <v>222</v>
      </c>
      <c r="E26" s="131" t="s">
        <v>265</v>
      </c>
    </row>
    <row r="27" spans="4:5" ht="13.5">
      <c r="D27" s="883" t="s">
        <v>223</v>
      </c>
      <c r="E27" s="131" t="s">
        <v>224</v>
      </c>
    </row>
    <row r="28" spans="4:5" ht="13.5">
      <c r="D28" s="884"/>
      <c r="E28" s="131" t="s">
        <v>225</v>
      </c>
    </row>
    <row r="29" spans="4:5" ht="13.5">
      <c r="D29" s="884"/>
      <c r="E29" s="131" t="s">
        <v>226</v>
      </c>
    </row>
    <row r="30" spans="4:5" ht="13.5">
      <c r="D30" s="885"/>
      <c r="E30" s="131" t="s">
        <v>227</v>
      </c>
    </row>
    <row r="31" spans="4:5" ht="13.5">
      <c r="D31" s="139" t="s">
        <v>228</v>
      </c>
      <c r="E31" s="131" t="s">
        <v>229</v>
      </c>
    </row>
    <row r="32" spans="4:5" ht="13.5">
      <c r="D32" s="139" t="s">
        <v>230</v>
      </c>
      <c r="E32" s="131" t="s">
        <v>231</v>
      </c>
    </row>
    <row r="33" spans="4:5" ht="13.5">
      <c r="D33" s="139" t="s">
        <v>232</v>
      </c>
      <c r="E33" s="131" t="s">
        <v>233</v>
      </c>
    </row>
    <row r="34" spans="4:5" ht="13.5">
      <c r="D34" s="139" t="s">
        <v>259</v>
      </c>
      <c r="E34" s="131" t="s">
        <v>234</v>
      </c>
    </row>
    <row r="35" spans="4:5" ht="13.5">
      <c r="D35" s="139" t="s">
        <v>235</v>
      </c>
      <c r="E35" s="131" t="s">
        <v>236</v>
      </c>
    </row>
    <row r="36" spans="4:5" ht="13.5">
      <c r="D36" s="139" t="s">
        <v>237</v>
      </c>
      <c r="E36" s="131" t="s">
        <v>238</v>
      </c>
    </row>
    <row r="37" spans="4:5" ht="13.5">
      <c r="D37" s="139" t="s">
        <v>239</v>
      </c>
      <c r="E37" s="131" t="s">
        <v>240</v>
      </c>
    </row>
    <row r="38" spans="4:5" ht="13.5">
      <c r="D38" s="139" t="s">
        <v>241</v>
      </c>
      <c r="E38" s="131" t="s">
        <v>242</v>
      </c>
    </row>
    <row r="39" spans="4:5" ht="13.5">
      <c r="D39" s="140" t="s">
        <v>260</v>
      </c>
      <c r="E39" s="131" t="s">
        <v>243</v>
      </c>
    </row>
    <row r="40" spans="4:5" ht="13.5">
      <c r="D40" s="140" t="s">
        <v>244</v>
      </c>
      <c r="E40" s="131" t="s">
        <v>264</v>
      </c>
    </row>
    <row r="41" spans="4:5" ht="13.5">
      <c r="D41" s="139" t="s">
        <v>261</v>
      </c>
      <c r="E41" s="131" t="s">
        <v>245</v>
      </c>
    </row>
    <row r="42" spans="4:5" ht="13.5">
      <c r="D42" s="139" t="s">
        <v>246</v>
      </c>
      <c r="E42" s="131" t="s">
        <v>247</v>
      </c>
    </row>
    <row r="43" spans="4:5" ht="13.5">
      <c r="D43" s="140" t="s">
        <v>254</v>
      </c>
      <c r="E43" s="131" t="s">
        <v>263</v>
      </c>
    </row>
    <row r="44" spans="4:5" ht="13.5">
      <c r="D44" s="141" t="s">
        <v>255</v>
      </c>
      <c r="E44" s="131" t="s">
        <v>262</v>
      </c>
    </row>
    <row r="45" spans="4:5" ht="13.5">
      <c r="D45" s="134" t="s">
        <v>248</v>
      </c>
      <c r="E45" s="131" t="s">
        <v>249</v>
      </c>
    </row>
    <row r="46" spans="4:5" ht="13.5">
      <c r="D46" s="134" t="s">
        <v>250</v>
      </c>
      <c r="E46" s="131" t="s">
        <v>251</v>
      </c>
    </row>
    <row r="47" spans="4:5" ht="13.5">
      <c r="D47" s="134" t="s">
        <v>252</v>
      </c>
      <c r="E47" s="131" t="s">
        <v>253</v>
      </c>
    </row>
    <row r="48" spans="4:5" ht="13.5">
      <c r="D48" s="134" t="s">
        <v>256</v>
      </c>
      <c r="E48" s="131" t="s">
        <v>257</v>
      </c>
    </row>
    <row r="49" ht="13.5">
      <c r="D49" s="138" t="s">
        <v>269</v>
      </c>
    </row>
    <row r="50" ht="13.5">
      <c r="D50" s="134" t="s">
        <v>275</v>
      </c>
    </row>
    <row r="51" ht="13.5">
      <c r="D51" s="134" t="s">
        <v>276</v>
      </c>
    </row>
    <row r="52" ht="13.5">
      <c r="D52" s="138" t="s">
        <v>270</v>
      </c>
    </row>
    <row r="53" ht="13.5">
      <c r="D53" s="141" t="s">
        <v>271</v>
      </c>
    </row>
    <row r="54" ht="13.5">
      <c r="D54" s="141" t="s">
        <v>272</v>
      </c>
    </row>
    <row r="55" ht="13.5">
      <c r="D55" s="141" t="s">
        <v>273</v>
      </c>
    </row>
    <row r="56" ht="13.5">
      <c r="D56" s="141" t="s">
        <v>274</v>
      </c>
    </row>
  </sheetData>
  <sheetProtection/>
  <mergeCells count="1">
    <mergeCell ref="D27:D30"/>
  </mergeCells>
  <printOptions/>
  <pageMargins left="0.75" right="0.75" top="1" bottom="1" header="0.3" footer="0.3"/>
  <pageSetup orientation="portrait"/>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3"/>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88" t="s">
        <v>20</v>
      </c>
      <c r="D1" s="888"/>
      <c r="E1" s="888"/>
      <c r="F1" s="888"/>
      <c r="G1" s="889" t="s">
        <v>22</v>
      </c>
      <c r="H1" s="890"/>
      <c r="I1" s="890"/>
      <c r="J1" s="891"/>
      <c r="K1" s="887" t="s">
        <v>23</v>
      </c>
      <c r="L1" s="887"/>
      <c r="M1" s="887"/>
      <c r="N1" s="887"/>
    </row>
    <row r="2" spans="3:14" ht="15">
      <c r="C2" s="5"/>
      <c r="D2" s="5"/>
      <c r="E2" s="5"/>
      <c r="F2" s="5" t="s">
        <v>21</v>
      </c>
      <c r="G2" s="31"/>
      <c r="H2" s="5"/>
      <c r="I2" s="5"/>
      <c r="J2" s="32" t="s">
        <v>21</v>
      </c>
      <c r="K2" s="5"/>
      <c r="L2" s="5"/>
      <c r="M2" s="5"/>
      <c r="N2" s="5" t="s">
        <v>21</v>
      </c>
    </row>
    <row r="3" spans="1:14" ht="15">
      <c r="A3" s="886"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86"/>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86"/>
      <c r="B5" s="6">
        <v>3</v>
      </c>
      <c r="C5" s="7">
        <v>0.05</v>
      </c>
      <c r="D5" s="7">
        <v>0.05</v>
      </c>
      <c r="E5" s="7">
        <v>0.1</v>
      </c>
      <c r="F5" s="8">
        <f>(C5+D5+E5)</f>
        <v>0.2</v>
      </c>
      <c r="G5" s="33">
        <v>0.1</v>
      </c>
      <c r="H5" s="7">
        <v>0.1</v>
      </c>
      <c r="I5" s="7">
        <v>0.1</v>
      </c>
      <c r="J5" s="34">
        <f>(G5+H5+I5)</f>
        <v>0.30000000000000004</v>
      </c>
      <c r="K5" s="25"/>
      <c r="L5" s="6"/>
      <c r="M5" s="6"/>
      <c r="N5" s="6"/>
    </row>
    <row r="6" spans="1:14" ht="15">
      <c r="A6" s="886"/>
      <c r="B6" s="6">
        <v>4</v>
      </c>
      <c r="C6" s="7">
        <v>0.1</v>
      </c>
      <c r="D6" s="7">
        <v>0.1</v>
      </c>
      <c r="E6" s="7">
        <v>0.2</v>
      </c>
      <c r="F6" s="8">
        <f>(C6+D6+E6)</f>
        <v>0.4</v>
      </c>
      <c r="G6" s="33">
        <v>0</v>
      </c>
      <c r="H6" s="7">
        <v>0</v>
      </c>
      <c r="I6" s="7">
        <v>0.1</v>
      </c>
      <c r="J6" s="34">
        <f>(G6+H6+I6)</f>
        <v>0.1</v>
      </c>
      <c r="K6" s="25"/>
      <c r="L6" s="6"/>
      <c r="M6" s="6"/>
      <c r="N6" s="6"/>
    </row>
    <row r="7" spans="1:14" ht="15">
      <c r="A7" s="886"/>
      <c r="B7" s="6">
        <v>5</v>
      </c>
      <c r="C7" s="7">
        <v>0</v>
      </c>
      <c r="D7" s="7">
        <v>0</v>
      </c>
      <c r="E7" s="7">
        <v>0</v>
      </c>
      <c r="F7" s="8">
        <f>(C7+D7+E7)</f>
        <v>0</v>
      </c>
      <c r="G7" s="33">
        <v>0</v>
      </c>
      <c r="H7" s="7">
        <v>0</v>
      </c>
      <c r="I7" s="7">
        <v>0</v>
      </c>
      <c r="J7" s="34">
        <f>(G7+H7+I7)</f>
        <v>0</v>
      </c>
      <c r="K7" s="25"/>
      <c r="L7" s="6"/>
      <c r="M7" s="6"/>
      <c r="N7" s="6"/>
    </row>
    <row r="8" spans="1:14" ht="15">
      <c r="A8" s="886" t="s">
        <v>25</v>
      </c>
      <c r="B8" s="10">
        <v>6</v>
      </c>
      <c r="C8" s="11">
        <v>0.1</v>
      </c>
      <c r="D8" s="11">
        <v>0.1</v>
      </c>
      <c r="E8" s="11">
        <v>0.1</v>
      </c>
      <c r="F8" s="12">
        <f>C8+D8+E8</f>
        <v>0.30000000000000004</v>
      </c>
      <c r="G8" s="35"/>
      <c r="H8" s="10"/>
      <c r="I8" s="10"/>
      <c r="J8" s="36"/>
      <c r="K8" s="26"/>
      <c r="L8" s="10"/>
      <c r="M8" s="10"/>
      <c r="N8" s="10"/>
    </row>
    <row r="9" spans="1:14" ht="15">
      <c r="A9" s="886"/>
      <c r="B9" s="10">
        <v>7</v>
      </c>
      <c r="C9" s="10"/>
      <c r="D9" s="10"/>
      <c r="E9" s="10"/>
      <c r="F9" s="20"/>
      <c r="G9" s="37"/>
      <c r="H9" s="10"/>
      <c r="I9" s="10"/>
      <c r="J9" s="36"/>
      <c r="K9" s="26"/>
      <c r="L9" s="10"/>
      <c r="M9" s="10"/>
      <c r="N9" s="10"/>
    </row>
    <row r="10" spans="1:14" ht="15">
      <c r="A10" s="886"/>
      <c r="B10" s="10">
        <v>8</v>
      </c>
      <c r="C10" s="10"/>
      <c r="D10" s="10"/>
      <c r="E10" s="10"/>
      <c r="F10" s="20"/>
      <c r="G10" s="37"/>
      <c r="H10" s="10"/>
      <c r="I10" s="10"/>
      <c r="J10" s="36"/>
      <c r="K10" s="26"/>
      <c r="L10" s="10"/>
      <c r="M10" s="10"/>
      <c r="N10" s="10"/>
    </row>
    <row r="11" spans="1:14" ht="15">
      <c r="A11" s="886"/>
      <c r="B11" s="10">
        <v>9</v>
      </c>
      <c r="C11" s="10"/>
      <c r="D11" s="10"/>
      <c r="E11" s="10"/>
      <c r="F11" s="20"/>
      <c r="G11" s="37"/>
      <c r="H11" s="10"/>
      <c r="I11" s="10"/>
      <c r="J11" s="36"/>
      <c r="K11" s="26"/>
      <c r="L11" s="10"/>
      <c r="M11" s="10"/>
      <c r="N11" s="10"/>
    </row>
    <row r="12" spans="1:14" ht="15">
      <c r="A12" s="886" t="s">
        <v>26</v>
      </c>
      <c r="B12" s="15">
        <v>10</v>
      </c>
      <c r="C12" s="15"/>
      <c r="D12" s="15"/>
      <c r="E12" s="15"/>
      <c r="F12" s="21"/>
      <c r="G12" s="38"/>
      <c r="H12" s="15"/>
      <c r="I12" s="15"/>
      <c r="J12" s="39"/>
      <c r="K12" s="27"/>
      <c r="L12" s="15"/>
      <c r="M12" s="15"/>
      <c r="N12" s="15"/>
    </row>
    <row r="13" spans="1:14" ht="15">
      <c r="A13" s="886"/>
      <c r="B13" s="15">
        <v>11</v>
      </c>
      <c r="C13" s="15"/>
      <c r="D13" s="15"/>
      <c r="E13" s="15"/>
      <c r="F13" s="21"/>
      <c r="G13" s="38"/>
      <c r="H13" s="15"/>
      <c r="I13" s="15"/>
      <c r="J13" s="39"/>
      <c r="K13" s="27"/>
      <c r="L13" s="15"/>
      <c r="M13" s="15"/>
      <c r="N13" s="15"/>
    </row>
    <row r="14" spans="1:14" ht="15">
      <c r="A14" s="886"/>
      <c r="B14" s="15">
        <v>12</v>
      </c>
      <c r="C14" s="15"/>
      <c r="D14" s="15"/>
      <c r="E14" s="15"/>
      <c r="F14" s="21"/>
      <c r="G14" s="38"/>
      <c r="H14" s="15"/>
      <c r="I14" s="15"/>
      <c r="J14" s="39"/>
      <c r="K14" s="27"/>
      <c r="L14" s="15"/>
      <c r="M14" s="15"/>
      <c r="N14" s="15"/>
    </row>
    <row r="15" spans="1:14" ht="15">
      <c r="A15" s="886"/>
      <c r="B15" s="15">
        <v>13</v>
      </c>
      <c r="C15" s="15"/>
      <c r="D15" s="15"/>
      <c r="E15" s="15"/>
      <c r="F15" s="21"/>
      <c r="G15" s="38"/>
      <c r="H15" s="15"/>
      <c r="I15" s="15"/>
      <c r="J15" s="39"/>
      <c r="K15" s="27"/>
      <c r="L15" s="15"/>
      <c r="M15" s="15"/>
      <c r="N15" s="15"/>
    </row>
    <row r="16" spans="1:14" ht="15">
      <c r="A16" s="886" t="s">
        <v>27</v>
      </c>
      <c r="B16" s="16">
        <v>14</v>
      </c>
      <c r="C16" s="16"/>
      <c r="D16" s="16"/>
      <c r="E16" s="16"/>
      <c r="F16" s="22"/>
      <c r="G16" s="40"/>
      <c r="H16" s="16"/>
      <c r="I16" s="16"/>
      <c r="J16" s="41"/>
      <c r="K16" s="28"/>
      <c r="L16" s="16"/>
      <c r="M16" s="16"/>
      <c r="N16" s="16"/>
    </row>
    <row r="17" spans="1:14" ht="15">
      <c r="A17" s="886"/>
      <c r="B17" s="16">
        <v>15</v>
      </c>
      <c r="C17" s="16"/>
      <c r="D17" s="16"/>
      <c r="E17" s="16"/>
      <c r="F17" s="22"/>
      <c r="G17" s="40"/>
      <c r="H17" s="16"/>
      <c r="I17" s="16"/>
      <c r="J17" s="41"/>
      <c r="K17" s="28"/>
      <c r="L17" s="16"/>
      <c r="M17" s="16"/>
      <c r="N17" s="16"/>
    </row>
    <row r="18" spans="1:14" ht="15">
      <c r="A18" s="886"/>
      <c r="B18" s="16">
        <v>16</v>
      </c>
      <c r="C18" s="16"/>
      <c r="D18" s="16"/>
      <c r="E18" s="16"/>
      <c r="F18" s="22"/>
      <c r="G18" s="40"/>
      <c r="H18" s="16"/>
      <c r="I18" s="16"/>
      <c r="J18" s="41"/>
      <c r="K18" s="28"/>
      <c r="L18" s="16"/>
      <c r="M18" s="16"/>
      <c r="N18" s="16"/>
    </row>
    <row r="19" spans="1:14" ht="15">
      <c r="A19" s="886" t="s">
        <v>28</v>
      </c>
      <c r="B19" s="19">
        <v>17</v>
      </c>
      <c r="C19" s="19"/>
      <c r="D19" s="19"/>
      <c r="E19" s="19"/>
      <c r="F19" s="23"/>
      <c r="G19" s="42"/>
      <c r="H19" s="19"/>
      <c r="I19" s="19"/>
      <c r="J19" s="43"/>
      <c r="K19" s="29"/>
      <c r="L19" s="19"/>
      <c r="M19" s="19"/>
      <c r="N19" s="19"/>
    </row>
    <row r="20" spans="1:14" ht="15">
      <c r="A20" s="886"/>
      <c r="B20" s="19">
        <v>18</v>
      </c>
      <c r="C20" s="19"/>
      <c r="D20" s="19"/>
      <c r="E20" s="19"/>
      <c r="F20" s="23"/>
      <c r="G20" s="42"/>
      <c r="H20" s="19"/>
      <c r="I20" s="19"/>
      <c r="J20" s="43"/>
      <c r="K20" s="29"/>
      <c r="L20" s="19"/>
      <c r="M20" s="19"/>
      <c r="N20" s="19"/>
    </row>
    <row r="21" spans="1:14" ht="15">
      <c r="A21" s="886"/>
      <c r="B21" s="19">
        <v>19</v>
      </c>
      <c r="C21" s="19"/>
      <c r="D21" s="19"/>
      <c r="E21" s="19"/>
      <c r="F21" s="23"/>
      <c r="G21" s="42"/>
      <c r="H21" s="19"/>
      <c r="I21" s="19"/>
      <c r="J21" s="43"/>
      <c r="K21" s="29"/>
      <c r="L21" s="19"/>
      <c r="M21" s="19"/>
      <c r="N21" s="19"/>
    </row>
    <row r="22" spans="1:14" ht="15">
      <c r="A22" s="886"/>
      <c r="B22" s="19">
        <v>20</v>
      </c>
      <c r="C22" s="19"/>
      <c r="D22" s="19"/>
      <c r="E22" s="19"/>
      <c r="F22" s="23"/>
      <c r="G22" s="42"/>
      <c r="H22" s="19"/>
      <c r="I22" s="19"/>
      <c r="J22" s="43"/>
      <c r="K22" s="29"/>
      <c r="L22" s="19"/>
      <c r="M22" s="19"/>
      <c r="N22" s="19"/>
    </row>
    <row r="23" spans="1:14" ht="15">
      <c r="A23" s="886" t="s">
        <v>29</v>
      </c>
      <c r="B23" s="14">
        <v>21</v>
      </c>
      <c r="C23" s="14"/>
      <c r="D23" s="14"/>
      <c r="E23" s="14"/>
      <c r="F23" s="24"/>
      <c r="G23" s="44"/>
      <c r="H23" s="14"/>
      <c r="I23" s="14"/>
      <c r="J23" s="45"/>
      <c r="K23" s="30"/>
      <c r="L23" s="14"/>
      <c r="M23" s="14"/>
      <c r="N23" s="14"/>
    </row>
    <row r="24" spans="1:14" ht="15">
      <c r="A24" s="886"/>
      <c r="B24" s="14">
        <v>22</v>
      </c>
      <c r="C24" s="14"/>
      <c r="D24" s="14"/>
      <c r="E24" s="14"/>
      <c r="F24" s="24"/>
      <c r="G24" s="44"/>
      <c r="H24" s="14"/>
      <c r="I24" s="14"/>
      <c r="J24" s="45"/>
      <c r="K24" s="30"/>
      <c r="L24" s="14"/>
      <c r="M24" s="14"/>
      <c r="N24" s="14"/>
    </row>
    <row r="25" spans="1:14" ht="15">
      <c r="A25" s="886"/>
      <c r="B25" s="14">
        <v>23</v>
      </c>
      <c r="C25" s="14"/>
      <c r="D25" s="14"/>
      <c r="E25" s="14"/>
      <c r="F25" s="24"/>
      <c r="G25" s="44"/>
      <c r="H25" s="14"/>
      <c r="I25" s="14"/>
      <c r="J25" s="45"/>
      <c r="K25" s="30"/>
      <c r="L25" s="14"/>
      <c r="M25" s="14"/>
      <c r="N25" s="14"/>
    </row>
    <row r="26" spans="1:14" ht="15">
      <c r="A26" s="886"/>
      <c r="B26" s="14">
        <v>24</v>
      </c>
      <c r="C26" s="14"/>
      <c r="D26" s="14"/>
      <c r="E26" s="14"/>
      <c r="F26" s="24"/>
      <c r="G26" s="44"/>
      <c r="H26" s="14"/>
      <c r="I26" s="14"/>
      <c r="J26" s="45"/>
      <c r="K26" s="30"/>
      <c r="L26" s="14"/>
      <c r="M26" s="14"/>
      <c r="N26" s="14"/>
    </row>
    <row r="27" spans="1:14" ht="15">
      <c r="A27" s="886" t="s">
        <v>30</v>
      </c>
      <c r="B27" s="10">
        <v>25</v>
      </c>
      <c r="C27" s="10"/>
      <c r="D27" s="10"/>
      <c r="E27" s="10"/>
      <c r="F27" s="10"/>
      <c r="G27" s="10"/>
      <c r="H27" s="10"/>
      <c r="I27" s="10"/>
      <c r="J27" s="10"/>
      <c r="K27" s="10"/>
      <c r="L27" s="10"/>
      <c r="M27" s="10"/>
      <c r="N27" s="10"/>
    </row>
    <row r="28" spans="1:14" ht="15">
      <c r="A28" s="886"/>
      <c r="B28" s="10">
        <v>26</v>
      </c>
      <c r="C28" s="10"/>
      <c r="D28" s="10"/>
      <c r="E28" s="10"/>
      <c r="F28" s="10"/>
      <c r="G28" s="10"/>
      <c r="H28" s="10"/>
      <c r="I28" s="10"/>
      <c r="J28" s="10"/>
      <c r="K28" s="10"/>
      <c r="L28" s="10"/>
      <c r="M28" s="10"/>
      <c r="N28" s="10"/>
    </row>
    <row r="29" spans="1:14" ht="15">
      <c r="A29" s="886"/>
      <c r="B29" s="10">
        <v>27</v>
      </c>
      <c r="C29" s="10"/>
      <c r="D29" s="10"/>
      <c r="E29" s="10"/>
      <c r="F29" s="10"/>
      <c r="G29" s="10"/>
      <c r="H29" s="10"/>
      <c r="I29" s="10"/>
      <c r="J29" s="10"/>
      <c r="K29" s="10"/>
      <c r="L29" s="10"/>
      <c r="M29" s="10"/>
      <c r="N29" s="10"/>
    </row>
    <row r="30" spans="1:14" ht="15">
      <c r="A30" s="886"/>
      <c r="B30" s="10">
        <v>28</v>
      </c>
      <c r="C30" s="10"/>
      <c r="D30" s="10"/>
      <c r="E30" s="10"/>
      <c r="F30" s="10"/>
      <c r="G30" s="10"/>
      <c r="H30" s="10"/>
      <c r="I30" s="10"/>
      <c r="J30" s="10"/>
      <c r="K30" s="10"/>
      <c r="L30" s="10"/>
      <c r="M30" s="10"/>
      <c r="N30" s="10"/>
    </row>
    <row r="31" spans="1:14" ht="15">
      <c r="A31" s="886"/>
      <c r="B31" s="10">
        <v>29</v>
      </c>
      <c r="C31" s="10"/>
      <c r="D31" s="10"/>
      <c r="E31" s="10"/>
      <c r="F31" s="10"/>
      <c r="G31" s="10"/>
      <c r="H31" s="10"/>
      <c r="I31" s="10"/>
      <c r="J31" s="10"/>
      <c r="K31" s="10"/>
      <c r="L31" s="10"/>
      <c r="M31" s="10"/>
      <c r="N31" s="10"/>
    </row>
    <row r="32" spans="1:14" ht="15">
      <c r="A32" s="886" t="s">
        <v>31</v>
      </c>
      <c r="B32" s="17">
        <v>30</v>
      </c>
      <c r="C32" s="17"/>
      <c r="D32" s="17"/>
      <c r="E32" s="17"/>
      <c r="F32" s="17"/>
      <c r="G32" s="17"/>
      <c r="H32" s="17"/>
      <c r="I32" s="17"/>
      <c r="J32" s="17"/>
      <c r="K32" s="17"/>
      <c r="L32" s="17"/>
      <c r="M32" s="17"/>
      <c r="N32" s="17"/>
    </row>
    <row r="33" spans="1:14" ht="15">
      <c r="A33" s="886"/>
      <c r="B33" s="17">
        <v>31</v>
      </c>
      <c r="C33" s="17"/>
      <c r="D33" s="17"/>
      <c r="E33" s="17"/>
      <c r="F33" s="17"/>
      <c r="G33" s="17"/>
      <c r="H33" s="17"/>
      <c r="I33" s="17"/>
      <c r="J33" s="17"/>
      <c r="K33" s="17"/>
      <c r="L33" s="17"/>
      <c r="M33" s="17"/>
      <c r="N33" s="17"/>
    </row>
    <row r="34" spans="1:14" ht="15">
      <c r="A34" s="886"/>
      <c r="B34" s="17">
        <v>32</v>
      </c>
      <c r="C34" s="17"/>
      <c r="D34" s="17"/>
      <c r="E34" s="17"/>
      <c r="F34" s="17"/>
      <c r="G34" s="17"/>
      <c r="H34" s="17"/>
      <c r="I34" s="17"/>
      <c r="J34" s="17"/>
      <c r="K34" s="17"/>
      <c r="L34" s="17"/>
      <c r="M34" s="17"/>
      <c r="N34" s="17"/>
    </row>
    <row r="35" spans="1:14" ht="15">
      <c r="A35" s="886" t="s">
        <v>32</v>
      </c>
      <c r="B35" s="18">
        <v>33</v>
      </c>
      <c r="C35" s="15"/>
      <c r="D35" s="15"/>
      <c r="E35" s="15"/>
      <c r="F35" s="15"/>
      <c r="G35" s="15"/>
      <c r="H35" s="15"/>
      <c r="I35" s="15"/>
      <c r="J35" s="15"/>
      <c r="K35" s="15"/>
      <c r="L35" s="15"/>
      <c r="M35" s="15"/>
      <c r="N35" s="15"/>
    </row>
    <row r="36" spans="1:14" ht="15">
      <c r="A36" s="886"/>
      <c r="B36" s="15">
        <v>34</v>
      </c>
      <c r="C36" s="15"/>
      <c r="D36" s="15"/>
      <c r="E36" s="15"/>
      <c r="F36" s="15"/>
      <c r="G36" s="15"/>
      <c r="H36" s="15"/>
      <c r="I36" s="15"/>
      <c r="J36" s="15"/>
      <c r="K36" s="15"/>
      <c r="L36" s="15"/>
      <c r="M36" s="15"/>
      <c r="N36" s="15"/>
    </row>
    <row r="37" spans="1:14" ht="15">
      <c r="A37" s="886"/>
      <c r="B37" s="46">
        <v>35</v>
      </c>
      <c r="C37" s="15"/>
      <c r="D37" s="15"/>
      <c r="E37" s="15"/>
      <c r="F37" s="15"/>
      <c r="G37" s="15"/>
      <c r="H37" s="15"/>
      <c r="I37" s="15"/>
      <c r="J37" s="15"/>
      <c r="K37" s="15"/>
      <c r="L37" s="15"/>
      <c r="M37" s="15"/>
      <c r="N37" s="15"/>
    </row>
    <row r="38" spans="1:14" ht="15">
      <c r="A38" s="886" t="s">
        <v>33</v>
      </c>
      <c r="B38" s="9">
        <v>36</v>
      </c>
      <c r="C38" s="9"/>
      <c r="D38" s="9"/>
      <c r="E38" s="9"/>
      <c r="F38" s="9"/>
      <c r="G38" s="9"/>
      <c r="H38" s="9"/>
      <c r="I38" s="9"/>
      <c r="J38" s="9"/>
      <c r="K38" s="9"/>
      <c r="L38" s="9"/>
      <c r="M38" s="9"/>
      <c r="N38" s="9"/>
    </row>
    <row r="39" spans="1:14" ht="15">
      <c r="A39" s="886"/>
      <c r="B39" s="9">
        <v>37</v>
      </c>
      <c r="C39" s="9"/>
      <c r="D39" s="9"/>
      <c r="E39" s="9"/>
      <c r="F39" s="9"/>
      <c r="G39" s="9"/>
      <c r="H39" s="9"/>
      <c r="I39" s="9"/>
      <c r="J39" s="9"/>
      <c r="K39" s="9"/>
      <c r="L39" s="9"/>
      <c r="M39" s="9"/>
      <c r="N39" s="9"/>
    </row>
    <row r="40" spans="1:14" ht="15">
      <c r="A40" s="886"/>
      <c r="B40" s="9">
        <v>38</v>
      </c>
      <c r="C40" s="9"/>
      <c r="D40" s="9"/>
      <c r="E40" s="9"/>
      <c r="F40" s="9"/>
      <c r="G40" s="9"/>
      <c r="H40" s="9"/>
      <c r="I40" s="9"/>
      <c r="J40" s="9"/>
      <c r="K40" s="9"/>
      <c r="L40" s="9"/>
      <c r="M40" s="9"/>
      <c r="N40" s="9"/>
    </row>
    <row r="41" spans="1:14" ht="15">
      <c r="A41" s="892" t="s">
        <v>34</v>
      </c>
      <c r="B41" s="47">
        <v>39</v>
      </c>
      <c r="C41" s="48"/>
      <c r="D41" s="48"/>
      <c r="E41" s="48"/>
      <c r="F41" s="48"/>
      <c r="G41" s="48"/>
      <c r="H41" s="48"/>
      <c r="I41" s="48"/>
      <c r="J41" s="48"/>
      <c r="K41" s="48"/>
      <c r="L41" s="48"/>
      <c r="M41" s="48"/>
      <c r="N41" s="48"/>
    </row>
    <row r="42" spans="1:14" ht="15">
      <c r="A42" s="892"/>
      <c r="B42" s="48">
        <v>40</v>
      </c>
      <c r="C42" s="48"/>
      <c r="D42" s="48"/>
      <c r="E42" s="48"/>
      <c r="F42" s="48"/>
      <c r="G42" s="48"/>
      <c r="H42" s="48"/>
      <c r="I42" s="48"/>
      <c r="J42" s="48"/>
      <c r="K42" s="48"/>
      <c r="L42" s="48"/>
      <c r="M42" s="48"/>
      <c r="N42" s="48"/>
    </row>
    <row r="43" spans="1:14" ht="15">
      <c r="A43" s="892"/>
      <c r="B43" s="48">
        <v>41</v>
      </c>
      <c r="C43" s="48"/>
      <c r="D43" s="48"/>
      <c r="E43" s="48"/>
      <c r="F43" s="48"/>
      <c r="G43" s="48"/>
      <c r="H43" s="48"/>
      <c r="I43" s="48"/>
      <c r="J43" s="48"/>
      <c r="K43" s="48"/>
      <c r="L43" s="48"/>
      <c r="M43" s="48"/>
      <c r="N43" s="48"/>
    </row>
    <row r="44" spans="1:14" ht="15">
      <c r="A44" s="892"/>
      <c r="B44" s="49">
        <v>42</v>
      </c>
      <c r="C44" s="48"/>
      <c r="D44" s="48"/>
      <c r="E44" s="48"/>
      <c r="F44" s="48"/>
      <c r="G44" s="48"/>
      <c r="H44" s="48"/>
      <c r="I44" s="48"/>
      <c r="J44" s="48"/>
      <c r="K44" s="48"/>
      <c r="L44" s="48"/>
      <c r="M44" s="48"/>
      <c r="N44" s="48"/>
    </row>
    <row r="45" spans="1:14" ht="15">
      <c r="A45" s="893" t="s">
        <v>35</v>
      </c>
      <c r="B45" s="13">
        <v>43</v>
      </c>
      <c r="C45" s="13"/>
      <c r="D45" s="13"/>
      <c r="E45" s="13"/>
      <c r="F45" s="13"/>
      <c r="G45" s="13"/>
      <c r="H45" s="13"/>
      <c r="I45" s="13"/>
      <c r="J45" s="13"/>
      <c r="K45" s="13"/>
      <c r="L45" s="13"/>
      <c r="M45" s="13"/>
      <c r="N45" s="13"/>
    </row>
    <row r="46" spans="1:14" ht="15">
      <c r="A46" s="893"/>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O47"/>
  <sheetViews>
    <sheetView showGridLines="0" workbookViewId="0" topLeftCell="N25">
      <selection activeCell="Q34" sqref="Q34:V35"/>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89"/>
      <c r="Z1" s="589"/>
      <c r="AA1" s="590"/>
      <c r="AB1" s="591" t="s">
        <v>18</v>
      </c>
      <c r="AC1" s="592"/>
      <c r="AD1" s="593"/>
    </row>
    <row r="2" spans="1:30"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5"/>
      <c r="Z2" s="595"/>
      <c r="AA2" s="596"/>
      <c r="AB2" s="597" t="s">
        <v>405</v>
      </c>
      <c r="AC2" s="598"/>
      <c r="AD2" s="599"/>
    </row>
    <row r="3" spans="1:30"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1"/>
      <c r="Z3" s="601"/>
      <c r="AA3" s="602"/>
      <c r="AB3" s="597" t="s">
        <v>404</v>
      </c>
      <c r="AC3" s="598"/>
      <c r="AD3" s="599"/>
    </row>
    <row r="4" spans="1:30" ht="21.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5"/>
      <c r="AB4" s="574" t="s">
        <v>176</v>
      </c>
      <c r="AC4" s="575"/>
      <c r="AD4" s="57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46" t="s">
        <v>294</v>
      </c>
      <c r="B7" s="547"/>
      <c r="C7" s="552" t="s">
        <v>46</v>
      </c>
      <c r="D7" s="531" t="s">
        <v>71</v>
      </c>
      <c r="E7" s="555"/>
      <c r="F7" s="555"/>
      <c r="G7" s="555"/>
      <c r="H7" s="532"/>
      <c r="I7" s="577">
        <v>44809</v>
      </c>
      <c r="J7" s="578"/>
      <c r="K7" s="531" t="s">
        <v>67</v>
      </c>
      <c r="L7" s="532"/>
      <c r="M7" s="583" t="s">
        <v>70</v>
      </c>
      <c r="N7" s="584"/>
      <c r="O7" s="564"/>
      <c r="P7" s="565"/>
      <c r="Q7" s="56"/>
      <c r="R7" s="56"/>
      <c r="S7" s="56"/>
      <c r="T7" s="56"/>
      <c r="U7" s="56"/>
      <c r="V7" s="56"/>
      <c r="W7" s="56"/>
      <c r="X7" s="56"/>
      <c r="Y7" s="56"/>
      <c r="Z7" s="57"/>
      <c r="AA7" s="56"/>
      <c r="AB7" s="56"/>
      <c r="AC7" s="62"/>
      <c r="AD7" s="63"/>
    </row>
    <row r="8" spans="1:30" ht="15">
      <c r="A8" s="548"/>
      <c r="B8" s="549"/>
      <c r="C8" s="553"/>
      <c r="D8" s="533"/>
      <c r="E8" s="556"/>
      <c r="F8" s="556"/>
      <c r="G8" s="556"/>
      <c r="H8" s="534"/>
      <c r="I8" s="579"/>
      <c r="J8" s="580"/>
      <c r="K8" s="533"/>
      <c r="L8" s="534"/>
      <c r="M8" s="566" t="s">
        <v>68</v>
      </c>
      <c r="N8" s="567"/>
      <c r="O8" s="568"/>
      <c r="P8" s="569"/>
      <c r="Q8" s="56"/>
      <c r="R8" s="56"/>
      <c r="S8" s="56"/>
      <c r="T8" s="56"/>
      <c r="U8" s="56"/>
      <c r="V8" s="56"/>
      <c r="W8" s="56"/>
      <c r="X8" s="56"/>
      <c r="Y8" s="56"/>
      <c r="Z8" s="57"/>
      <c r="AA8" s="56"/>
      <c r="AB8" s="56"/>
      <c r="AC8" s="62"/>
      <c r="AD8" s="63"/>
    </row>
    <row r="9" spans="1:30" ht="15.75" thickBot="1">
      <c r="A9" s="550"/>
      <c r="B9" s="551"/>
      <c r="C9" s="554"/>
      <c r="D9" s="535"/>
      <c r="E9" s="557"/>
      <c r="F9" s="557"/>
      <c r="G9" s="557"/>
      <c r="H9" s="536"/>
      <c r="I9" s="581"/>
      <c r="J9" s="582"/>
      <c r="K9" s="535"/>
      <c r="L9" s="536"/>
      <c r="M9" s="570" t="s">
        <v>69</v>
      </c>
      <c r="N9" s="571"/>
      <c r="O9" s="572" t="s">
        <v>635</v>
      </c>
      <c r="P9" s="57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1" t="s">
        <v>0</v>
      </c>
      <c r="B11" s="532"/>
      <c r="C11" s="537" t="s">
        <v>412</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c r="A12" s="533"/>
      <c r="B12" s="534"/>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c r="A13" s="535"/>
      <c r="B13" s="536"/>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22" t="s">
        <v>77</v>
      </c>
      <c r="B15" s="523"/>
      <c r="C15" s="518" t="s">
        <v>413</v>
      </c>
      <c r="D15" s="519"/>
      <c r="E15" s="519"/>
      <c r="F15" s="519"/>
      <c r="G15" s="519"/>
      <c r="H15" s="519"/>
      <c r="I15" s="519"/>
      <c r="J15" s="519"/>
      <c r="K15" s="520"/>
      <c r="L15" s="558" t="s">
        <v>73</v>
      </c>
      <c r="M15" s="559"/>
      <c r="N15" s="559"/>
      <c r="O15" s="559"/>
      <c r="P15" s="559"/>
      <c r="Q15" s="560"/>
      <c r="R15" s="561" t="s">
        <v>415</v>
      </c>
      <c r="S15" s="562"/>
      <c r="T15" s="562"/>
      <c r="U15" s="562"/>
      <c r="V15" s="562"/>
      <c r="W15" s="562"/>
      <c r="X15" s="563"/>
      <c r="Y15" s="558" t="s">
        <v>72</v>
      </c>
      <c r="Z15" s="560"/>
      <c r="AA15" s="518" t="s">
        <v>417</v>
      </c>
      <c r="AB15" s="519"/>
      <c r="AC15" s="519"/>
      <c r="AD15" s="520"/>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22" t="s">
        <v>79</v>
      </c>
      <c r="B17" s="523"/>
      <c r="C17" s="524" t="s">
        <v>414</v>
      </c>
      <c r="D17" s="525"/>
      <c r="E17" s="525"/>
      <c r="F17" s="525"/>
      <c r="G17" s="525"/>
      <c r="H17" s="525"/>
      <c r="I17" s="525"/>
      <c r="J17" s="525"/>
      <c r="K17" s="525"/>
      <c r="L17" s="525"/>
      <c r="M17" s="525"/>
      <c r="N17" s="525"/>
      <c r="O17" s="525"/>
      <c r="P17" s="525"/>
      <c r="Q17" s="526"/>
      <c r="R17" s="509" t="s">
        <v>378</v>
      </c>
      <c r="S17" s="510"/>
      <c r="T17" s="510"/>
      <c r="U17" s="510"/>
      <c r="V17" s="511"/>
      <c r="W17" s="527">
        <v>0.16</v>
      </c>
      <c r="X17" s="528"/>
      <c r="Y17" s="510" t="s">
        <v>15</v>
      </c>
      <c r="Z17" s="510"/>
      <c r="AA17" s="510"/>
      <c r="AB17" s="511"/>
      <c r="AC17" s="529">
        <v>0.21</v>
      </c>
      <c r="AD17" s="5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09" t="s">
        <v>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1"/>
      <c r="AE19" s="86"/>
      <c r="AF19" s="86"/>
    </row>
    <row r="20" spans="1:32" ht="31.5" customHeight="1" thickBot="1">
      <c r="A20" s="85"/>
      <c r="B20" s="62"/>
      <c r="C20" s="512" t="s">
        <v>380</v>
      </c>
      <c r="D20" s="513"/>
      <c r="E20" s="513"/>
      <c r="F20" s="513"/>
      <c r="G20" s="513"/>
      <c r="H20" s="513"/>
      <c r="I20" s="513"/>
      <c r="J20" s="513"/>
      <c r="K20" s="513"/>
      <c r="L20" s="513"/>
      <c r="M20" s="513"/>
      <c r="N20" s="513"/>
      <c r="O20" s="513"/>
      <c r="P20" s="514"/>
      <c r="Q20" s="515" t="s">
        <v>381</v>
      </c>
      <c r="R20" s="516"/>
      <c r="S20" s="516"/>
      <c r="T20" s="516"/>
      <c r="U20" s="516"/>
      <c r="V20" s="516"/>
      <c r="W20" s="516"/>
      <c r="X20" s="516"/>
      <c r="Y20" s="516"/>
      <c r="Z20" s="516"/>
      <c r="AA20" s="516"/>
      <c r="AB20" s="516"/>
      <c r="AC20" s="516"/>
      <c r="AD20" s="517"/>
      <c r="AE20" s="86"/>
      <c r="AF20" s="86"/>
    </row>
    <row r="21" spans="1:33"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226"/>
      <c r="AG21" s="97"/>
    </row>
    <row r="22" spans="1:33" ht="31.5" customHeight="1">
      <c r="A22" s="442" t="s">
        <v>382</v>
      </c>
      <c r="B22" s="447"/>
      <c r="C22" s="341">
        <f>+SPI!A13</f>
        <v>730135274</v>
      </c>
      <c r="D22" s="342"/>
      <c r="E22" s="342">
        <v>-9000000</v>
      </c>
      <c r="F22" s="195"/>
      <c r="G22" s="195"/>
      <c r="H22" s="195">
        <v>-1</v>
      </c>
      <c r="I22" s="195"/>
      <c r="J22" s="195"/>
      <c r="K22" s="195"/>
      <c r="L22" s="195"/>
      <c r="M22" s="195"/>
      <c r="N22" s="195"/>
      <c r="O22" s="195">
        <f>SUM(C22:N22)</f>
        <v>721135273</v>
      </c>
      <c r="P22" s="198"/>
      <c r="Q22" s="197">
        <v>1198841051</v>
      </c>
      <c r="R22" s="195">
        <v>48178599</v>
      </c>
      <c r="S22" s="195">
        <v>11330000</v>
      </c>
      <c r="T22" s="195">
        <v>924682000</v>
      </c>
      <c r="U22" s="195">
        <f>150294000-48178599</f>
        <v>102115401</v>
      </c>
      <c r="V22" s="195">
        <v>70560000</v>
      </c>
      <c r="W22" s="195">
        <v>45816430</v>
      </c>
      <c r="X22" s="195"/>
      <c r="Y22" s="195"/>
      <c r="Z22" s="195">
        <v>22442167</v>
      </c>
      <c r="AA22" s="195">
        <f>67146500</f>
        <v>67146500</v>
      </c>
      <c r="AB22" s="195"/>
      <c r="AC22" s="195">
        <f>SUM(Q22:AB22)</f>
        <v>2491112148</v>
      </c>
      <c r="AD22" s="202"/>
      <c r="AE22" s="4"/>
      <c r="AF22" s="223"/>
      <c r="AG22" s="97"/>
    </row>
    <row r="23" spans="1:32" ht="31.5" customHeight="1">
      <c r="A23" s="443" t="s">
        <v>383</v>
      </c>
      <c r="B23" s="450"/>
      <c r="C23" s="238">
        <f>+SPI!A13</f>
        <v>730135274</v>
      </c>
      <c r="D23" s="237"/>
      <c r="E23" s="237">
        <v>-9000000</v>
      </c>
      <c r="F23" s="191">
        <f>+SPI!I13</f>
        <v>0</v>
      </c>
      <c r="G23" s="191"/>
      <c r="H23" s="237">
        <f>+SPI!N13</f>
        <v>0</v>
      </c>
      <c r="I23" s="191">
        <f>+'SPI corr'!O13</f>
        <v>0</v>
      </c>
      <c r="J23" s="409">
        <v>-1</v>
      </c>
      <c r="K23" s="191"/>
      <c r="L23" s="191"/>
      <c r="M23" s="191"/>
      <c r="N23" s="191"/>
      <c r="O23" s="191">
        <f>SUM(C23:N23)</f>
        <v>721135273</v>
      </c>
      <c r="P23" s="212">
        <f>+O23/O22</f>
        <v>1</v>
      </c>
      <c r="Q23" s="192">
        <v>941933351</v>
      </c>
      <c r="R23" s="237">
        <f>976222464-Q23</f>
        <v>34289113</v>
      </c>
      <c r="S23" s="237">
        <v>-15339000</v>
      </c>
      <c r="T23" s="191">
        <f>+SPI!I4</f>
        <v>0</v>
      </c>
      <c r="U23" s="191">
        <f>+SPI!K4</f>
        <v>982826787</v>
      </c>
      <c r="V23" s="237">
        <f>+SPI!M4</f>
        <v>42003220</v>
      </c>
      <c r="W23" s="191">
        <f>+'SPI corr'!O4</f>
        <v>32755085</v>
      </c>
      <c r="X23" s="191">
        <f>+'SPI corr'!Q4</f>
        <v>153466301</v>
      </c>
      <c r="Y23" s="191"/>
      <c r="Z23" s="191"/>
      <c r="AA23" s="191"/>
      <c r="AB23" s="191"/>
      <c r="AC23" s="195">
        <f>SUM(Q23:AB23)</f>
        <v>2171934857</v>
      </c>
      <c r="AD23" s="349">
        <f>+AC23/AC22</f>
        <v>0.8718735761229165</v>
      </c>
      <c r="AE23" s="4"/>
      <c r="AF23" s="4"/>
    </row>
    <row r="24" spans="1:32" ht="31.5" customHeight="1">
      <c r="A24" s="443" t="s">
        <v>384</v>
      </c>
      <c r="B24" s="450"/>
      <c r="C24" s="238"/>
      <c r="D24" s="237">
        <v>5719066</v>
      </c>
      <c r="E24" s="237"/>
      <c r="F24" s="237">
        <v>311967643</v>
      </c>
      <c r="G24" s="237">
        <v>403448564</v>
      </c>
      <c r="H24" s="237"/>
      <c r="I24" s="237"/>
      <c r="J24" s="237"/>
      <c r="K24" s="237"/>
      <c r="L24" s="237"/>
      <c r="M24" s="237"/>
      <c r="N24" s="237"/>
      <c r="O24" s="191">
        <f>SUM(C24:N24)</f>
        <v>721135273</v>
      </c>
      <c r="P24" s="196"/>
      <c r="Q24" s="238"/>
      <c r="R24" s="237">
        <v>56061548</v>
      </c>
      <c r="S24" s="237">
        <v>148934371</v>
      </c>
      <c r="T24" s="237">
        <v>114645258</v>
      </c>
      <c r="U24" s="237">
        <v>185599258</v>
      </c>
      <c r="V24" s="237">
        <v>1126473758</v>
      </c>
      <c r="W24" s="237">
        <v>196211891</v>
      </c>
      <c r="X24" s="237">
        <v>99355091</v>
      </c>
      <c r="Y24" s="237">
        <v>186362387</v>
      </c>
      <c r="Z24" s="237">
        <v>93520220</v>
      </c>
      <c r="AA24" s="237">
        <v>108489092</v>
      </c>
      <c r="AB24" s="237">
        <v>175459274</v>
      </c>
      <c r="AC24" s="195">
        <f>SUM(Q24:AB24)</f>
        <v>2491112148</v>
      </c>
      <c r="AD24" s="349"/>
      <c r="AE24" s="4"/>
      <c r="AF24" s="4"/>
    </row>
    <row r="25" spans="1:32" ht="31.5" customHeight="1" thickBot="1">
      <c r="A25" s="498" t="s">
        <v>385</v>
      </c>
      <c r="B25" s="499"/>
      <c r="C25" s="343">
        <f>+SPI!D13</f>
        <v>3219066</v>
      </c>
      <c r="D25" s="309">
        <f>+SPI!F13</f>
        <v>0</v>
      </c>
      <c r="E25" s="309">
        <f>+SPI!H13</f>
        <v>290657824</v>
      </c>
      <c r="F25" s="194">
        <f>+SPI!J13</f>
        <v>23974418</v>
      </c>
      <c r="G25" s="194">
        <f>+SPI!L13</f>
        <v>238947800</v>
      </c>
      <c r="H25" s="309">
        <f>+SPI!N13</f>
        <v>0</v>
      </c>
      <c r="I25" s="194">
        <f>+'SPI corr'!P13</f>
        <v>0</v>
      </c>
      <c r="J25" s="194">
        <f>+'SPI corr'!R13</f>
        <v>0</v>
      </c>
      <c r="K25" s="194"/>
      <c r="L25" s="194"/>
      <c r="M25" s="194"/>
      <c r="N25" s="194"/>
      <c r="O25" s="194">
        <f>SUM(C25:N25)</f>
        <v>556799108</v>
      </c>
      <c r="P25" s="199">
        <f>+O25/O24</f>
        <v>0.7721146487310987</v>
      </c>
      <c r="Q25" s="193"/>
      <c r="R25" s="309">
        <v>49316559</v>
      </c>
      <c r="S25" s="309">
        <v>123958239</v>
      </c>
      <c r="T25" s="194">
        <f>+SPI!J4</f>
        <v>87300794</v>
      </c>
      <c r="U25" s="194">
        <f>+SPI!L4</f>
        <v>87300794</v>
      </c>
      <c r="V25" s="309">
        <f>+SPI!N4</f>
        <v>805927410</v>
      </c>
      <c r="W25" s="194">
        <f>+'SPI corr'!P4</f>
        <v>349758483</v>
      </c>
      <c r="X25" s="194">
        <f>+'SPI corr'!R4</f>
        <v>85942982</v>
      </c>
      <c r="Y25" s="194"/>
      <c r="Z25" s="194"/>
      <c r="AA25" s="194"/>
      <c r="AB25" s="194"/>
      <c r="AC25" s="194">
        <f>SUM(Q25:AB25)</f>
        <v>1589505261</v>
      </c>
      <c r="AD25" s="350">
        <f>+AC25/AC24</f>
        <v>0.6380705349922287</v>
      </c>
      <c r="AE25" s="4"/>
      <c r="AF25" s="4"/>
    </row>
    <row r="26" spans="1:30" ht="31.5" customHeight="1" thickBot="1">
      <c r="A26" s="61"/>
      <c r="B26" s="56"/>
      <c r="C26" s="37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0" t="s">
        <v>76</v>
      </c>
      <c r="B27" s="501"/>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3"/>
    </row>
    <row r="28" spans="1:30" ht="15" customHeight="1">
      <c r="A28" s="504" t="s">
        <v>190</v>
      </c>
      <c r="B28" s="506" t="s">
        <v>6</v>
      </c>
      <c r="C28" s="507"/>
      <c r="D28" s="450" t="s">
        <v>402</v>
      </c>
      <c r="E28" s="451"/>
      <c r="F28" s="451"/>
      <c r="G28" s="451"/>
      <c r="H28" s="451"/>
      <c r="I28" s="451"/>
      <c r="J28" s="451"/>
      <c r="K28" s="451"/>
      <c r="L28" s="451"/>
      <c r="M28" s="451"/>
      <c r="N28" s="451"/>
      <c r="O28" s="508"/>
      <c r="P28" s="494" t="s">
        <v>8</v>
      </c>
      <c r="Q28" s="494" t="s">
        <v>84</v>
      </c>
      <c r="R28" s="494"/>
      <c r="S28" s="494"/>
      <c r="T28" s="494"/>
      <c r="U28" s="494"/>
      <c r="V28" s="494"/>
      <c r="W28" s="494"/>
      <c r="X28" s="494"/>
      <c r="Y28" s="494"/>
      <c r="Z28" s="494"/>
      <c r="AA28" s="494"/>
      <c r="AB28" s="494"/>
      <c r="AC28" s="494"/>
      <c r="AD28" s="496"/>
    </row>
    <row r="29" spans="1:30" ht="27" customHeight="1">
      <c r="A29" s="505"/>
      <c r="B29" s="462"/>
      <c r="C29" s="497"/>
      <c r="D29" s="214" t="s">
        <v>39</v>
      </c>
      <c r="E29" s="214" t="s">
        <v>40</v>
      </c>
      <c r="F29" s="214" t="s">
        <v>41</v>
      </c>
      <c r="G29" s="214" t="s">
        <v>42</v>
      </c>
      <c r="H29" s="214" t="s">
        <v>43</v>
      </c>
      <c r="I29" s="214" t="s">
        <v>44</v>
      </c>
      <c r="J29" s="214" t="s">
        <v>45</v>
      </c>
      <c r="K29" s="214" t="s">
        <v>46</v>
      </c>
      <c r="L29" s="214" t="s">
        <v>47</v>
      </c>
      <c r="M29" s="214" t="s">
        <v>48</v>
      </c>
      <c r="N29" s="214" t="s">
        <v>49</v>
      </c>
      <c r="O29" s="214" t="s">
        <v>50</v>
      </c>
      <c r="P29" s="508"/>
      <c r="Q29" s="494"/>
      <c r="R29" s="494"/>
      <c r="S29" s="494"/>
      <c r="T29" s="494"/>
      <c r="U29" s="494"/>
      <c r="V29" s="494"/>
      <c r="W29" s="494"/>
      <c r="X29" s="494"/>
      <c r="Y29" s="494"/>
      <c r="Z29" s="494"/>
      <c r="AA29" s="494"/>
      <c r="AB29" s="494"/>
      <c r="AC29" s="494"/>
      <c r="AD29" s="496"/>
    </row>
    <row r="30" spans="1:30" ht="61.5" customHeight="1" thickBot="1">
      <c r="A30" s="218" t="str">
        <f>C17</f>
        <v>Avanzar en el 80% en las políticas de Gobierno Digital y Seguridad Digital contenidas en la Dimensión Gestión con valores para Resultados</v>
      </c>
      <c r="B30" s="487" t="s">
        <v>411</v>
      </c>
      <c r="C30" s="488"/>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489"/>
      <c r="R30" s="489"/>
      <c r="S30" s="489"/>
      <c r="T30" s="489"/>
      <c r="U30" s="489"/>
      <c r="V30" s="489"/>
      <c r="W30" s="489"/>
      <c r="X30" s="489"/>
      <c r="Y30" s="489"/>
      <c r="Z30" s="489"/>
      <c r="AA30" s="489"/>
      <c r="AB30" s="489"/>
      <c r="AC30" s="489"/>
      <c r="AD30" s="490"/>
    </row>
    <row r="31" spans="1:30" ht="45" customHeight="1">
      <c r="A31" s="491" t="s">
        <v>293</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3"/>
    </row>
    <row r="32" spans="1:41" ht="22.5" customHeight="1">
      <c r="A32" s="443" t="s">
        <v>191</v>
      </c>
      <c r="B32" s="494" t="s">
        <v>62</v>
      </c>
      <c r="C32" s="494" t="s">
        <v>6</v>
      </c>
      <c r="D32" s="494" t="s">
        <v>60</v>
      </c>
      <c r="E32" s="494"/>
      <c r="F32" s="494"/>
      <c r="G32" s="494"/>
      <c r="H32" s="494"/>
      <c r="I32" s="494"/>
      <c r="J32" s="494"/>
      <c r="K32" s="494"/>
      <c r="L32" s="494"/>
      <c r="M32" s="494"/>
      <c r="N32" s="494"/>
      <c r="O32" s="494"/>
      <c r="P32" s="494"/>
      <c r="Q32" s="494" t="s">
        <v>85</v>
      </c>
      <c r="R32" s="494"/>
      <c r="S32" s="494"/>
      <c r="T32" s="494"/>
      <c r="U32" s="494"/>
      <c r="V32" s="494"/>
      <c r="W32" s="494"/>
      <c r="X32" s="494"/>
      <c r="Y32" s="494"/>
      <c r="Z32" s="494"/>
      <c r="AA32" s="494"/>
      <c r="AB32" s="494"/>
      <c r="AC32" s="494"/>
      <c r="AD32" s="496"/>
      <c r="AG32" s="90"/>
      <c r="AH32" s="90"/>
      <c r="AI32" s="90"/>
      <c r="AJ32" s="90"/>
      <c r="AK32" s="90"/>
      <c r="AL32" s="90"/>
      <c r="AM32" s="90"/>
      <c r="AN32" s="90"/>
      <c r="AO32" s="90"/>
    </row>
    <row r="33" spans="1:41" ht="22.5" customHeight="1">
      <c r="A33" s="443"/>
      <c r="B33" s="494"/>
      <c r="C33" s="495"/>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462" t="s">
        <v>80</v>
      </c>
      <c r="R33" s="463"/>
      <c r="S33" s="463"/>
      <c r="T33" s="463"/>
      <c r="U33" s="463"/>
      <c r="V33" s="497"/>
      <c r="W33" s="462" t="s">
        <v>81</v>
      </c>
      <c r="X33" s="463"/>
      <c r="Y33" s="463"/>
      <c r="Z33" s="497"/>
      <c r="AA33" s="462" t="s">
        <v>82</v>
      </c>
      <c r="AB33" s="463"/>
      <c r="AC33" s="463"/>
      <c r="AD33" s="464"/>
      <c r="AG33" s="90"/>
      <c r="AH33" s="90"/>
      <c r="AI33" s="90"/>
      <c r="AJ33" s="90"/>
      <c r="AK33" s="90"/>
      <c r="AL33" s="90"/>
      <c r="AM33" s="90"/>
      <c r="AN33" s="90"/>
      <c r="AO33" s="90"/>
    </row>
    <row r="34" spans="1:41" ht="111" customHeight="1">
      <c r="A34" s="465" t="str">
        <f>A30</f>
        <v>Avanzar en el 80% en las políticas de Gobierno Digital y Seguridad Digital contenidas en la Dimensión Gestión con valores para Resultados</v>
      </c>
      <c r="B34" s="467">
        <f>+AC17</f>
        <v>0.21</v>
      </c>
      <c r="C34" s="93" t="s">
        <v>9</v>
      </c>
      <c r="D34" s="351">
        <f>((D38*($B$38/$B$34))+(D40*($B$40/$B$34))+(D42*($B$42/$B$34)))*$P$34</f>
        <v>0.0128</v>
      </c>
      <c r="E34" s="351">
        <f aca="true" t="shared" si="0" ref="E34:O34">((E38*($B$38/$B$34))+(E40*($B$40/$B$34))+(E42*($B$42/$B$34)))*$P$34</f>
        <v>0.0128</v>
      </c>
      <c r="F34" s="351">
        <f t="shared" si="0"/>
        <v>0.0144</v>
      </c>
      <c r="G34" s="351">
        <f t="shared" si="0"/>
        <v>0.0128</v>
      </c>
      <c r="H34" s="177">
        <f t="shared" si="0"/>
        <v>0.0128</v>
      </c>
      <c r="I34" s="177">
        <f t="shared" si="0"/>
        <v>0.0144</v>
      </c>
      <c r="J34" s="177">
        <f t="shared" si="0"/>
        <v>0.0128</v>
      </c>
      <c r="K34" s="177">
        <f t="shared" si="0"/>
        <v>0.0128</v>
      </c>
      <c r="L34" s="177">
        <f t="shared" si="0"/>
        <v>0.0144</v>
      </c>
      <c r="M34" s="177">
        <f t="shared" si="0"/>
        <v>0.0128</v>
      </c>
      <c r="N34" s="177">
        <f t="shared" si="0"/>
        <v>0.0128</v>
      </c>
      <c r="O34" s="177">
        <f t="shared" si="0"/>
        <v>0.0144</v>
      </c>
      <c r="P34" s="177">
        <v>0.16</v>
      </c>
      <c r="Q34" s="469" t="s">
        <v>845</v>
      </c>
      <c r="R34" s="470"/>
      <c r="S34" s="470"/>
      <c r="T34" s="470"/>
      <c r="U34" s="470"/>
      <c r="V34" s="471"/>
      <c r="W34" s="475" t="s">
        <v>846</v>
      </c>
      <c r="X34" s="476"/>
      <c r="Y34" s="476"/>
      <c r="Z34" s="477"/>
      <c r="AA34" s="481" t="s">
        <v>847</v>
      </c>
      <c r="AB34" s="482"/>
      <c r="AC34" s="482"/>
      <c r="AD34" s="483"/>
      <c r="AG34" s="90"/>
      <c r="AH34" s="90"/>
      <c r="AI34" s="90"/>
      <c r="AJ34" s="90"/>
      <c r="AK34" s="90"/>
      <c r="AL34" s="90"/>
      <c r="AM34" s="90"/>
      <c r="AN34" s="90"/>
      <c r="AO34" s="90"/>
    </row>
    <row r="35" spans="1:41" ht="111" customHeight="1" thickBot="1">
      <c r="A35" s="466"/>
      <c r="B35" s="468"/>
      <c r="C35" s="94" t="s">
        <v>10</v>
      </c>
      <c r="D35" s="352">
        <f>((D39*($B$38/$B$34))+(D41*($B$40/$B$34))+(D43*($B$42/$B$34)))*$P$34</f>
        <v>0.011885714285714286</v>
      </c>
      <c r="E35" s="352">
        <f aca="true" t="shared" si="1" ref="E35:K35">((E39*($B$38/$B$34))+(E41*($B$40/$B$34))+(E43*($B$42/$B$34)))*$P$34</f>
        <v>0.010209523809523809</v>
      </c>
      <c r="F35" s="352">
        <f t="shared" si="1"/>
        <v>0.0144</v>
      </c>
      <c r="G35" s="348">
        <f t="shared" si="1"/>
        <v>0.014095238095238095</v>
      </c>
      <c r="H35" s="348">
        <f t="shared" si="1"/>
        <v>0.014095238095238095</v>
      </c>
      <c r="I35" s="348">
        <f t="shared" si="1"/>
        <v>0.0144</v>
      </c>
      <c r="J35" s="348">
        <f t="shared" si="1"/>
        <v>0.0128</v>
      </c>
      <c r="K35" s="348">
        <f t="shared" si="1"/>
        <v>0.0128</v>
      </c>
      <c r="L35" s="96"/>
      <c r="M35" s="96"/>
      <c r="N35" s="96"/>
      <c r="O35" s="96"/>
      <c r="P35" s="178">
        <f>SUM(D35:O35)</f>
        <v>0.10468571428571428</v>
      </c>
      <c r="Q35" s="472"/>
      <c r="R35" s="473"/>
      <c r="S35" s="473"/>
      <c r="T35" s="473"/>
      <c r="U35" s="473"/>
      <c r="V35" s="474"/>
      <c r="W35" s="478"/>
      <c r="X35" s="479"/>
      <c r="Y35" s="479"/>
      <c r="Z35" s="480"/>
      <c r="AA35" s="484"/>
      <c r="AB35" s="485"/>
      <c r="AC35" s="485"/>
      <c r="AD35" s="486"/>
      <c r="AE35" s="50"/>
      <c r="AF35" s="97"/>
      <c r="AG35" s="90"/>
      <c r="AH35" s="90"/>
      <c r="AI35" s="90"/>
      <c r="AJ35" s="90"/>
      <c r="AK35" s="90"/>
      <c r="AL35" s="90"/>
      <c r="AM35" s="90"/>
      <c r="AN35" s="90"/>
      <c r="AO35" s="90"/>
    </row>
    <row r="36" spans="1:41" ht="25.5" customHeight="1">
      <c r="A36" s="442" t="s">
        <v>192</v>
      </c>
      <c r="B36" s="444" t="s">
        <v>61</v>
      </c>
      <c r="C36" s="446" t="s">
        <v>11</v>
      </c>
      <c r="D36" s="446"/>
      <c r="E36" s="446"/>
      <c r="F36" s="446"/>
      <c r="G36" s="446"/>
      <c r="H36" s="446"/>
      <c r="I36" s="446"/>
      <c r="J36" s="446"/>
      <c r="K36" s="446"/>
      <c r="L36" s="446"/>
      <c r="M36" s="446"/>
      <c r="N36" s="446"/>
      <c r="O36" s="446"/>
      <c r="P36" s="446"/>
      <c r="Q36" s="447" t="s">
        <v>78</v>
      </c>
      <c r="R36" s="448"/>
      <c r="S36" s="448"/>
      <c r="T36" s="448"/>
      <c r="U36" s="448"/>
      <c r="V36" s="448"/>
      <c r="W36" s="448"/>
      <c r="X36" s="448"/>
      <c r="Y36" s="448"/>
      <c r="Z36" s="448"/>
      <c r="AA36" s="448"/>
      <c r="AB36" s="448"/>
      <c r="AC36" s="448"/>
      <c r="AD36" s="449"/>
      <c r="AG36" s="90"/>
      <c r="AH36" s="90"/>
      <c r="AI36" s="90"/>
      <c r="AJ36" s="90"/>
      <c r="AK36" s="90"/>
      <c r="AL36" s="90"/>
      <c r="AM36" s="90"/>
      <c r="AN36" s="90"/>
      <c r="AO36" s="90"/>
    </row>
    <row r="37" spans="1:41" ht="25.5" customHeight="1">
      <c r="A37" s="443"/>
      <c r="B37" s="445"/>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450" t="s">
        <v>83</v>
      </c>
      <c r="R37" s="451"/>
      <c r="S37" s="451"/>
      <c r="T37" s="451"/>
      <c r="U37" s="451"/>
      <c r="V37" s="451"/>
      <c r="W37" s="451"/>
      <c r="X37" s="451"/>
      <c r="Y37" s="451"/>
      <c r="Z37" s="451"/>
      <c r="AA37" s="451"/>
      <c r="AB37" s="451"/>
      <c r="AC37" s="451"/>
      <c r="AD37" s="452"/>
      <c r="AG37" s="98"/>
      <c r="AH37" s="98"/>
      <c r="AI37" s="98"/>
      <c r="AJ37" s="98"/>
      <c r="AK37" s="98"/>
      <c r="AL37" s="98"/>
      <c r="AM37" s="98"/>
      <c r="AN37" s="98"/>
      <c r="AO37" s="98"/>
    </row>
    <row r="38" spans="1:41" ht="72.75" customHeight="1">
      <c r="A38" s="453" t="s">
        <v>425</v>
      </c>
      <c r="B38" s="455">
        <v>0.04</v>
      </c>
      <c r="C38" s="93" t="s">
        <v>9</v>
      </c>
      <c r="D38" s="99">
        <v>0.08</v>
      </c>
      <c r="E38" s="99">
        <v>0.08</v>
      </c>
      <c r="F38" s="99">
        <v>0.09</v>
      </c>
      <c r="G38" s="99">
        <v>0.08</v>
      </c>
      <c r="H38" s="99">
        <v>0.08</v>
      </c>
      <c r="I38" s="99">
        <v>0.09</v>
      </c>
      <c r="J38" s="99">
        <v>0.08</v>
      </c>
      <c r="K38" s="99">
        <v>0.08</v>
      </c>
      <c r="L38" s="99">
        <v>0.09</v>
      </c>
      <c r="M38" s="99">
        <v>0.08</v>
      </c>
      <c r="N38" s="99">
        <v>0.08</v>
      </c>
      <c r="O38" s="99">
        <v>0.09</v>
      </c>
      <c r="P38" s="100">
        <f aca="true" t="shared" si="2" ref="P38:P43">SUM(D38:O38)</f>
        <v>0.9999999999999998</v>
      </c>
      <c r="Q38" s="456" t="s">
        <v>848</v>
      </c>
      <c r="R38" s="457"/>
      <c r="S38" s="457"/>
      <c r="T38" s="457"/>
      <c r="U38" s="457"/>
      <c r="V38" s="457"/>
      <c r="W38" s="457"/>
      <c r="X38" s="457"/>
      <c r="Y38" s="457"/>
      <c r="Z38" s="457"/>
      <c r="AA38" s="457"/>
      <c r="AB38" s="457"/>
      <c r="AC38" s="457"/>
      <c r="AD38" s="458"/>
      <c r="AE38" s="101"/>
      <c r="AG38" s="102"/>
      <c r="AH38" s="102"/>
      <c r="AI38" s="102"/>
      <c r="AJ38" s="102"/>
      <c r="AK38" s="102"/>
      <c r="AL38" s="102"/>
      <c r="AM38" s="102"/>
      <c r="AN38" s="102"/>
      <c r="AO38" s="102"/>
    </row>
    <row r="39" spans="1:31" ht="72.75" customHeight="1">
      <c r="A39" s="454"/>
      <c r="B39" s="427"/>
      <c r="C39" s="103" t="s">
        <v>10</v>
      </c>
      <c r="D39" s="104">
        <v>0.05</v>
      </c>
      <c r="E39" s="104">
        <v>0.08</v>
      </c>
      <c r="F39" s="104">
        <v>0.09</v>
      </c>
      <c r="G39" s="104">
        <v>0.08</v>
      </c>
      <c r="H39" s="104">
        <v>0.08</v>
      </c>
      <c r="I39" s="104">
        <v>0.09</v>
      </c>
      <c r="J39" s="104">
        <v>0.08</v>
      </c>
      <c r="K39" s="104">
        <v>0.08</v>
      </c>
      <c r="L39" s="104"/>
      <c r="M39" s="104"/>
      <c r="N39" s="104"/>
      <c r="O39" s="104"/>
      <c r="P39" s="105">
        <f t="shared" si="2"/>
        <v>0.6299999999999999</v>
      </c>
      <c r="Q39" s="459"/>
      <c r="R39" s="460"/>
      <c r="S39" s="460"/>
      <c r="T39" s="460"/>
      <c r="U39" s="460"/>
      <c r="V39" s="460"/>
      <c r="W39" s="460"/>
      <c r="X39" s="460"/>
      <c r="Y39" s="460"/>
      <c r="Z39" s="460"/>
      <c r="AA39" s="460"/>
      <c r="AB39" s="460"/>
      <c r="AC39" s="460"/>
      <c r="AD39" s="461"/>
      <c r="AE39" s="101"/>
    </row>
    <row r="40" spans="1:31" ht="72.75" customHeight="1">
      <c r="A40" s="424" t="s">
        <v>426</v>
      </c>
      <c r="B40" s="426">
        <v>0.12</v>
      </c>
      <c r="C40" s="106" t="s">
        <v>9</v>
      </c>
      <c r="D40" s="107">
        <v>0.08</v>
      </c>
      <c r="E40" s="107">
        <v>0.08</v>
      </c>
      <c r="F40" s="107">
        <v>0.09</v>
      </c>
      <c r="G40" s="107">
        <v>0.08</v>
      </c>
      <c r="H40" s="107">
        <v>0.08</v>
      </c>
      <c r="I40" s="107">
        <v>0.09</v>
      </c>
      <c r="J40" s="107">
        <v>0.08</v>
      </c>
      <c r="K40" s="107">
        <v>0.08</v>
      </c>
      <c r="L40" s="107">
        <v>0.09</v>
      </c>
      <c r="M40" s="107">
        <v>0.08</v>
      </c>
      <c r="N40" s="107">
        <v>0.08</v>
      </c>
      <c r="O40" s="107">
        <v>0.09</v>
      </c>
      <c r="P40" s="105">
        <f t="shared" si="2"/>
        <v>0.9999999999999998</v>
      </c>
      <c r="Q40" s="428" t="s">
        <v>849</v>
      </c>
      <c r="R40" s="429"/>
      <c r="S40" s="429"/>
      <c r="T40" s="429"/>
      <c r="U40" s="429"/>
      <c r="V40" s="429"/>
      <c r="W40" s="429"/>
      <c r="X40" s="429"/>
      <c r="Y40" s="429"/>
      <c r="Z40" s="429"/>
      <c r="AA40" s="429"/>
      <c r="AB40" s="429"/>
      <c r="AC40" s="429"/>
      <c r="AD40" s="430"/>
      <c r="AE40" s="101"/>
    </row>
    <row r="41" spans="1:31" ht="72.75" customHeight="1">
      <c r="A41" s="425"/>
      <c r="B41" s="427"/>
      <c r="C41" s="103" t="s">
        <v>10</v>
      </c>
      <c r="D41" s="104">
        <v>0.08</v>
      </c>
      <c r="E41" s="104">
        <v>0.06</v>
      </c>
      <c r="F41" s="104">
        <v>0.09</v>
      </c>
      <c r="G41" s="104">
        <v>0.09</v>
      </c>
      <c r="H41" s="104">
        <v>0.09</v>
      </c>
      <c r="I41" s="104">
        <v>0.09</v>
      </c>
      <c r="J41" s="104">
        <v>0.08</v>
      </c>
      <c r="K41" s="104">
        <v>0.08</v>
      </c>
      <c r="L41" s="108"/>
      <c r="M41" s="108"/>
      <c r="N41" s="108"/>
      <c r="O41" s="108"/>
      <c r="P41" s="105">
        <f t="shared" si="2"/>
        <v>0.6599999999999999</v>
      </c>
      <c r="Q41" s="431"/>
      <c r="R41" s="432"/>
      <c r="S41" s="432"/>
      <c r="T41" s="432"/>
      <c r="U41" s="432"/>
      <c r="V41" s="432"/>
      <c r="W41" s="432"/>
      <c r="X41" s="432"/>
      <c r="Y41" s="432"/>
      <c r="Z41" s="432"/>
      <c r="AA41" s="432"/>
      <c r="AB41" s="432"/>
      <c r="AC41" s="432"/>
      <c r="AD41" s="433"/>
      <c r="AE41" s="101"/>
    </row>
    <row r="42" spans="1:31" ht="72.75" customHeight="1">
      <c r="A42" s="434" t="s">
        <v>427</v>
      </c>
      <c r="B42" s="426">
        <v>0.05</v>
      </c>
      <c r="C42" s="106" t="s">
        <v>9</v>
      </c>
      <c r="D42" s="107">
        <v>0.08</v>
      </c>
      <c r="E42" s="107">
        <v>0.08</v>
      </c>
      <c r="F42" s="107">
        <v>0.09</v>
      </c>
      <c r="G42" s="107">
        <v>0.08</v>
      </c>
      <c r="H42" s="107">
        <v>0.08</v>
      </c>
      <c r="I42" s="107">
        <v>0.09</v>
      </c>
      <c r="J42" s="107">
        <v>0.08</v>
      </c>
      <c r="K42" s="107">
        <v>0.08</v>
      </c>
      <c r="L42" s="107">
        <v>0.09</v>
      </c>
      <c r="M42" s="107">
        <v>0.08</v>
      </c>
      <c r="N42" s="107">
        <v>0.08</v>
      </c>
      <c r="O42" s="107">
        <v>0.09</v>
      </c>
      <c r="P42" s="105">
        <f t="shared" si="2"/>
        <v>0.9999999999999998</v>
      </c>
      <c r="Q42" s="436" t="s">
        <v>850</v>
      </c>
      <c r="R42" s="437"/>
      <c r="S42" s="437"/>
      <c r="T42" s="437"/>
      <c r="U42" s="437"/>
      <c r="V42" s="437"/>
      <c r="W42" s="437"/>
      <c r="X42" s="437"/>
      <c r="Y42" s="437"/>
      <c r="Z42" s="437"/>
      <c r="AA42" s="437"/>
      <c r="AB42" s="437"/>
      <c r="AC42" s="437"/>
      <c r="AD42" s="438"/>
      <c r="AE42" s="101"/>
    </row>
    <row r="43" spans="1:31" ht="72.75" customHeight="1">
      <c r="A43" s="435"/>
      <c r="B43" s="427"/>
      <c r="C43" s="103" t="s">
        <v>10</v>
      </c>
      <c r="D43" s="104">
        <v>0.08</v>
      </c>
      <c r="E43" s="104">
        <v>0.06</v>
      </c>
      <c r="F43" s="104">
        <v>0.09</v>
      </c>
      <c r="G43" s="104">
        <v>0.09</v>
      </c>
      <c r="H43" s="104">
        <v>0.09</v>
      </c>
      <c r="I43" s="104">
        <v>0.09</v>
      </c>
      <c r="J43" s="104">
        <v>0.08</v>
      </c>
      <c r="K43" s="104">
        <v>0.08</v>
      </c>
      <c r="L43" s="108"/>
      <c r="M43" s="108"/>
      <c r="N43" s="108"/>
      <c r="O43" s="108"/>
      <c r="P43" s="105">
        <f t="shared" si="2"/>
        <v>0.6599999999999999</v>
      </c>
      <c r="Q43" s="439"/>
      <c r="R43" s="440"/>
      <c r="S43" s="440"/>
      <c r="T43" s="440"/>
      <c r="U43" s="440"/>
      <c r="V43" s="440"/>
      <c r="W43" s="440"/>
      <c r="X43" s="440"/>
      <c r="Y43" s="440"/>
      <c r="Z43" s="440"/>
      <c r="AA43" s="440"/>
      <c r="AB43" s="440"/>
      <c r="AC43" s="440"/>
      <c r="AD43" s="441"/>
      <c r="AE43" s="101"/>
    </row>
    <row r="44" ht="15">
      <c r="A44" s="52" t="s">
        <v>295</v>
      </c>
    </row>
    <row r="47" ht="15">
      <c r="P47" s="235"/>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'Meta 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W34 Q34 Q38: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O48"/>
  <sheetViews>
    <sheetView showGridLines="0" tabSelected="1" zoomScale="91" zoomScaleNormal="91" workbookViewId="0" topLeftCell="K20">
      <selection activeCell="Q34" sqref="Q34:V35"/>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89"/>
      <c r="Z1" s="589"/>
      <c r="AA1" s="590"/>
      <c r="AB1" s="591" t="s">
        <v>18</v>
      </c>
      <c r="AC1" s="592"/>
      <c r="AD1" s="593"/>
    </row>
    <row r="2" spans="1:30"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5"/>
      <c r="Z2" s="595"/>
      <c r="AA2" s="596"/>
      <c r="AB2" s="597" t="s">
        <v>405</v>
      </c>
      <c r="AC2" s="598"/>
      <c r="AD2" s="599"/>
    </row>
    <row r="3" spans="1:30"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1"/>
      <c r="Z3" s="601"/>
      <c r="AA3" s="602"/>
      <c r="AB3" s="597" t="s">
        <v>404</v>
      </c>
      <c r="AC3" s="598"/>
      <c r="AD3" s="599"/>
    </row>
    <row r="4" spans="1:30" ht="21.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5"/>
      <c r="AB4" s="574" t="s">
        <v>176</v>
      </c>
      <c r="AC4" s="575"/>
      <c r="AD4" s="57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546" t="s">
        <v>294</v>
      </c>
      <c r="B7" s="547"/>
      <c r="C7" s="552" t="s">
        <v>46</v>
      </c>
      <c r="D7" s="531" t="s">
        <v>71</v>
      </c>
      <c r="E7" s="555"/>
      <c r="F7" s="555"/>
      <c r="G7" s="555"/>
      <c r="H7" s="532"/>
      <c r="I7" s="577">
        <v>44809</v>
      </c>
      <c r="J7" s="578"/>
      <c r="K7" s="531" t="s">
        <v>67</v>
      </c>
      <c r="L7" s="532"/>
      <c r="M7" s="583" t="s">
        <v>70</v>
      </c>
      <c r="N7" s="584"/>
      <c r="O7" s="564"/>
      <c r="P7" s="565"/>
      <c r="Q7" s="56"/>
      <c r="R7" s="56"/>
      <c r="S7" s="56"/>
      <c r="T7" s="56"/>
      <c r="U7" s="56"/>
      <c r="V7" s="56"/>
      <c r="W7" s="56"/>
      <c r="X7" s="56"/>
      <c r="Y7" s="56"/>
      <c r="Z7" s="57"/>
      <c r="AA7" s="56"/>
      <c r="AB7" s="56"/>
      <c r="AC7" s="62"/>
      <c r="AD7" s="63"/>
    </row>
    <row r="8" spans="1:30" ht="15" customHeight="1">
      <c r="A8" s="548"/>
      <c r="B8" s="549"/>
      <c r="C8" s="553"/>
      <c r="D8" s="533"/>
      <c r="E8" s="556"/>
      <c r="F8" s="556"/>
      <c r="G8" s="556"/>
      <c r="H8" s="534"/>
      <c r="I8" s="579"/>
      <c r="J8" s="580"/>
      <c r="K8" s="533"/>
      <c r="L8" s="534"/>
      <c r="M8" s="566" t="s">
        <v>68</v>
      </c>
      <c r="N8" s="567"/>
      <c r="O8" s="568"/>
      <c r="P8" s="569"/>
      <c r="Q8" s="56"/>
      <c r="R8" s="56"/>
      <c r="S8" s="56"/>
      <c r="T8" s="56"/>
      <c r="U8" s="56"/>
      <c r="V8" s="56"/>
      <c r="W8" s="56"/>
      <c r="X8" s="56"/>
      <c r="Y8" s="56"/>
      <c r="Z8" s="57"/>
      <c r="AA8" s="56"/>
      <c r="AB8" s="56"/>
      <c r="AC8" s="62"/>
      <c r="AD8" s="63"/>
    </row>
    <row r="9" spans="1:30" ht="15.75" customHeight="1" thickBot="1">
      <c r="A9" s="550"/>
      <c r="B9" s="551"/>
      <c r="C9" s="554"/>
      <c r="D9" s="535"/>
      <c r="E9" s="557"/>
      <c r="F9" s="557"/>
      <c r="G9" s="557"/>
      <c r="H9" s="536"/>
      <c r="I9" s="581"/>
      <c r="J9" s="582"/>
      <c r="K9" s="535"/>
      <c r="L9" s="536"/>
      <c r="M9" s="570" t="s">
        <v>69</v>
      </c>
      <c r="N9" s="571"/>
      <c r="O9" s="572" t="s">
        <v>635</v>
      </c>
      <c r="P9" s="57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1" t="s">
        <v>0</v>
      </c>
      <c r="B11" s="532"/>
      <c r="C11" s="537" t="s">
        <v>412</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c r="A12" s="533"/>
      <c r="B12" s="534"/>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c r="A13" s="535"/>
      <c r="B13" s="536"/>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22" t="s">
        <v>77</v>
      </c>
      <c r="B15" s="523"/>
      <c r="C15" s="518" t="s">
        <v>413</v>
      </c>
      <c r="D15" s="519"/>
      <c r="E15" s="519"/>
      <c r="F15" s="519"/>
      <c r="G15" s="519"/>
      <c r="H15" s="519"/>
      <c r="I15" s="519"/>
      <c r="J15" s="519"/>
      <c r="K15" s="520"/>
      <c r="L15" s="558" t="s">
        <v>73</v>
      </c>
      <c r="M15" s="559"/>
      <c r="N15" s="559"/>
      <c r="O15" s="559"/>
      <c r="P15" s="559"/>
      <c r="Q15" s="560"/>
      <c r="R15" s="561" t="s">
        <v>415</v>
      </c>
      <c r="S15" s="562"/>
      <c r="T15" s="562"/>
      <c r="U15" s="562"/>
      <c r="V15" s="562"/>
      <c r="W15" s="562"/>
      <c r="X15" s="563"/>
      <c r="Y15" s="558" t="s">
        <v>72</v>
      </c>
      <c r="Z15" s="560"/>
      <c r="AA15" s="518" t="s">
        <v>417</v>
      </c>
      <c r="AB15" s="519"/>
      <c r="AC15" s="519"/>
      <c r="AD15" s="520"/>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22" t="s">
        <v>79</v>
      </c>
      <c r="B17" s="523"/>
      <c r="C17" s="524" t="s">
        <v>416</v>
      </c>
      <c r="D17" s="525"/>
      <c r="E17" s="525"/>
      <c r="F17" s="525"/>
      <c r="G17" s="525"/>
      <c r="H17" s="525"/>
      <c r="I17" s="525"/>
      <c r="J17" s="525"/>
      <c r="K17" s="525"/>
      <c r="L17" s="525"/>
      <c r="M17" s="525"/>
      <c r="N17" s="525"/>
      <c r="O17" s="525"/>
      <c r="P17" s="525"/>
      <c r="Q17" s="526"/>
      <c r="R17" s="509" t="s">
        <v>378</v>
      </c>
      <c r="S17" s="510"/>
      <c r="T17" s="510"/>
      <c r="U17" s="510"/>
      <c r="V17" s="511"/>
      <c r="W17" s="527">
        <v>1</v>
      </c>
      <c r="X17" s="528"/>
      <c r="Y17" s="510" t="s">
        <v>15</v>
      </c>
      <c r="Z17" s="510"/>
      <c r="AA17" s="510"/>
      <c r="AB17" s="511"/>
      <c r="AC17" s="529">
        <v>0.58</v>
      </c>
      <c r="AD17" s="5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09" t="s">
        <v>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1"/>
      <c r="AE19" s="86"/>
      <c r="AF19" s="86"/>
    </row>
    <row r="20" spans="1:32" ht="31.5" customHeight="1" thickBot="1">
      <c r="A20" s="85"/>
      <c r="B20" s="62"/>
      <c r="C20" s="512" t="s">
        <v>380</v>
      </c>
      <c r="D20" s="513"/>
      <c r="E20" s="513"/>
      <c r="F20" s="513"/>
      <c r="G20" s="513"/>
      <c r="H20" s="513"/>
      <c r="I20" s="513"/>
      <c r="J20" s="513"/>
      <c r="K20" s="513"/>
      <c r="L20" s="513"/>
      <c r="M20" s="513"/>
      <c r="N20" s="513"/>
      <c r="O20" s="513"/>
      <c r="P20" s="514"/>
      <c r="Q20" s="515" t="s">
        <v>381</v>
      </c>
      <c r="R20" s="516"/>
      <c r="S20" s="516"/>
      <c r="T20" s="516"/>
      <c r="U20" s="516"/>
      <c r="V20" s="516"/>
      <c r="W20" s="516"/>
      <c r="X20" s="516"/>
      <c r="Y20" s="516"/>
      <c r="Z20" s="516"/>
      <c r="AA20" s="516"/>
      <c r="AB20" s="516"/>
      <c r="AC20" s="516"/>
      <c r="AD20" s="517"/>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442" t="s">
        <v>382</v>
      </c>
      <c r="B22" s="447"/>
      <c r="C22" s="197">
        <f>+SPI!A14</f>
        <v>37857500</v>
      </c>
      <c r="D22" s="195">
        <v>-15600000</v>
      </c>
      <c r="E22" s="195">
        <v>-575000</v>
      </c>
      <c r="F22" s="195"/>
      <c r="G22" s="195"/>
      <c r="H22" s="195">
        <v>-8000000</v>
      </c>
      <c r="I22" s="195"/>
      <c r="J22" s="195"/>
      <c r="K22" s="195"/>
      <c r="L22" s="195"/>
      <c r="M22" s="195"/>
      <c r="N22" s="195"/>
      <c r="O22" s="195">
        <f>SUM(C22:N22)</f>
        <v>13682500</v>
      </c>
      <c r="P22" s="198"/>
      <c r="Q22" s="197">
        <v>6552771836</v>
      </c>
      <c r="R22" s="195"/>
      <c r="S22" s="195">
        <v>6000000</v>
      </c>
      <c r="T22" s="195">
        <v>72100000</v>
      </c>
      <c r="U22" s="195"/>
      <c r="V22" s="195">
        <v>35232333</v>
      </c>
      <c r="W22" s="195"/>
      <c r="X22" s="195"/>
      <c r="Y22" s="195">
        <v>35200000</v>
      </c>
      <c r="Z22" s="195"/>
      <c r="AA22" s="195"/>
      <c r="AB22" s="195"/>
      <c r="AC22" s="195">
        <f>SUM(Q22:AB22)</f>
        <v>6701304169</v>
      </c>
      <c r="AD22" s="202"/>
      <c r="AE22" s="4"/>
      <c r="AF22" s="223"/>
      <c r="AG22" s="97"/>
    </row>
    <row r="23" spans="1:32" ht="31.5" customHeight="1">
      <c r="A23" s="443" t="s">
        <v>383</v>
      </c>
      <c r="B23" s="450"/>
      <c r="C23" s="238">
        <f>+SPI!A14</f>
        <v>37857500</v>
      </c>
      <c r="D23" s="237">
        <f>-SPI!E14</f>
        <v>-15600000</v>
      </c>
      <c r="E23" s="237">
        <f>-SPI!G14</f>
        <v>-575000</v>
      </c>
      <c r="F23" s="191">
        <v>-8000000</v>
      </c>
      <c r="G23" s="191">
        <f>+SPI!K14</f>
        <v>0</v>
      </c>
      <c r="H23" s="191">
        <f>+SPI!N14</f>
        <v>0</v>
      </c>
      <c r="I23" s="191">
        <f>+'SPI corr'!O14</f>
        <v>0</v>
      </c>
      <c r="J23" s="191"/>
      <c r="K23" s="191"/>
      <c r="L23" s="191"/>
      <c r="M23" s="191"/>
      <c r="N23" s="191"/>
      <c r="O23" s="195">
        <f>SUM(C23:N23)</f>
        <v>13682500</v>
      </c>
      <c r="P23" s="353">
        <f>+O23/O22</f>
        <v>1</v>
      </c>
      <c r="Q23" s="192">
        <v>6522682969</v>
      </c>
      <c r="R23" s="237">
        <f>6522682969-Q23</f>
        <v>0</v>
      </c>
      <c r="S23" s="237">
        <v>-60931137</v>
      </c>
      <c r="T23" s="191">
        <f>+SPI!I5</f>
        <v>-49392000</v>
      </c>
      <c r="U23" s="191">
        <f>+SPI!K5</f>
        <v>0</v>
      </c>
      <c r="V23" s="237">
        <f>+SPI!M5</f>
        <v>15166667</v>
      </c>
      <c r="W23" s="191">
        <f>+'SPI corr'!O5</f>
        <v>165950000</v>
      </c>
      <c r="X23" s="191">
        <f>+'SPI corr'!Q5</f>
        <v>65570667</v>
      </c>
      <c r="Y23" s="191"/>
      <c r="Z23" s="191"/>
      <c r="AA23" s="191"/>
      <c r="AB23" s="191"/>
      <c r="AC23" s="195">
        <f>SUM(Q23:AB23)</f>
        <v>6659047166</v>
      </c>
      <c r="AD23" s="200">
        <f>+AC23/AC22</f>
        <v>0.9936942120616642</v>
      </c>
      <c r="AE23" s="4"/>
      <c r="AF23" s="4"/>
    </row>
    <row r="24" spans="1:32" ht="31.5" customHeight="1">
      <c r="A24" s="443" t="s">
        <v>384</v>
      </c>
      <c r="B24" s="450"/>
      <c r="C24" s="238"/>
      <c r="D24" s="237">
        <v>13682500</v>
      </c>
      <c r="E24" s="237"/>
      <c r="F24" s="191"/>
      <c r="G24" s="191"/>
      <c r="H24" s="237"/>
      <c r="I24" s="191"/>
      <c r="J24" s="191"/>
      <c r="K24" s="191"/>
      <c r="L24" s="191"/>
      <c r="M24" s="191"/>
      <c r="N24" s="191"/>
      <c r="O24" s="195">
        <f>SUM(C24:N24)</f>
        <v>13682500</v>
      </c>
      <c r="P24" s="196"/>
      <c r="Q24" s="192"/>
      <c r="R24" s="191">
        <v>451539636</v>
      </c>
      <c r="S24" s="191">
        <v>574317400</v>
      </c>
      <c r="T24" s="191">
        <v>581317400</v>
      </c>
      <c r="U24" s="191">
        <v>579917400</v>
      </c>
      <c r="V24" s="237">
        <v>580917400</v>
      </c>
      <c r="W24" s="191">
        <v>573417400</v>
      </c>
      <c r="X24" s="191">
        <v>595539733</v>
      </c>
      <c r="Y24" s="191">
        <v>564307400</v>
      </c>
      <c r="Z24" s="191">
        <v>562223400</v>
      </c>
      <c r="AA24" s="191">
        <v>555652600</v>
      </c>
      <c r="AB24" s="191">
        <v>1082154400</v>
      </c>
      <c r="AC24" s="195">
        <f>SUM(Q24:AB24)</f>
        <v>6701304169</v>
      </c>
      <c r="AD24" s="200"/>
      <c r="AE24" s="4"/>
      <c r="AF24" s="4"/>
    </row>
    <row r="25" spans="1:32" ht="31.5" customHeight="1" thickBot="1">
      <c r="A25" s="498" t="s">
        <v>385</v>
      </c>
      <c r="B25" s="499"/>
      <c r="C25" s="343">
        <f>+SPI!D14</f>
        <v>13682500</v>
      </c>
      <c r="D25" s="309">
        <f>+SPI!F14</f>
        <v>0</v>
      </c>
      <c r="E25" s="309">
        <f>+SPI!H14</f>
        <v>0</v>
      </c>
      <c r="F25" s="194">
        <f>+SPI!J14</f>
        <v>0</v>
      </c>
      <c r="G25" s="194">
        <f>+SPI!L14</f>
        <v>0</v>
      </c>
      <c r="H25" s="309">
        <f>+SPI!N14</f>
        <v>0</v>
      </c>
      <c r="I25" s="194">
        <f>+'SPI corr'!P14</f>
        <v>0</v>
      </c>
      <c r="J25" s="194"/>
      <c r="K25" s="194"/>
      <c r="L25" s="194"/>
      <c r="M25" s="194"/>
      <c r="N25" s="194"/>
      <c r="O25" s="195">
        <f>SUM(C25:N25)</f>
        <v>13682500</v>
      </c>
      <c r="P25" s="199">
        <f>+O25/O24</f>
        <v>1</v>
      </c>
      <c r="Q25" s="193"/>
      <c r="R25" s="309">
        <v>360942869</v>
      </c>
      <c r="S25" s="309">
        <v>582852699</v>
      </c>
      <c r="T25" s="194">
        <f>+SPI!J5</f>
        <v>555745400</v>
      </c>
      <c r="U25" s="194">
        <f>+SPI!L5</f>
        <v>559281894</v>
      </c>
      <c r="V25" s="309">
        <f>+'SPI corr'!N5</f>
        <v>549744325</v>
      </c>
      <c r="W25" s="194">
        <f>+'SPI corr'!P5</f>
        <v>552362463</v>
      </c>
      <c r="X25" s="194">
        <f>+'SPI corr'!R5</f>
        <v>545328046</v>
      </c>
      <c r="Y25" s="194"/>
      <c r="Z25" s="194"/>
      <c r="AA25" s="194"/>
      <c r="AB25" s="194"/>
      <c r="AC25" s="194">
        <f>SUM(Q25:AB25)</f>
        <v>3706257696</v>
      </c>
      <c r="AD25" s="201">
        <f>+AC25/AC24</f>
        <v>0.5530651351635432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0" t="s">
        <v>76</v>
      </c>
      <c r="B27" s="501"/>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3"/>
    </row>
    <row r="28" spans="1:30" ht="15" customHeight="1">
      <c r="A28" s="504" t="s">
        <v>190</v>
      </c>
      <c r="B28" s="506" t="s">
        <v>6</v>
      </c>
      <c r="C28" s="507"/>
      <c r="D28" s="450" t="s">
        <v>402</v>
      </c>
      <c r="E28" s="451"/>
      <c r="F28" s="451"/>
      <c r="G28" s="451"/>
      <c r="H28" s="451"/>
      <c r="I28" s="451"/>
      <c r="J28" s="451"/>
      <c r="K28" s="451"/>
      <c r="L28" s="451"/>
      <c r="M28" s="451"/>
      <c r="N28" s="451"/>
      <c r="O28" s="508"/>
      <c r="P28" s="494" t="s">
        <v>8</v>
      </c>
      <c r="Q28" s="494" t="s">
        <v>84</v>
      </c>
      <c r="R28" s="494"/>
      <c r="S28" s="494"/>
      <c r="T28" s="494"/>
      <c r="U28" s="494"/>
      <c r="V28" s="494"/>
      <c r="W28" s="494"/>
      <c r="X28" s="494"/>
      <c r="Y28" s="494"/>
      <c r="Z28" s="494"/>
      <c r="AA28" s="494"/>
      <c r="AB28" s="494"/>
      <c r="AC28" s="494"/>
      <c r="AD28" s="496"/>
    </row>
    <row r="29" spans="1:30" ht="27" customHeight="1">
      <c r="A29" s="505"/>
      <c r="B29" s="462"/>
      <c r="C29" s="497"/>
      <c r="D29" s="219" t="s">
        <v>39</v>
      </c>
      <c r="E29" s="219" t="s">
        <v>40</v>
      </c>
      <c r="F29" s="219" t="s">
        <v>41</v>
      </c>
      <c r="G29" s="219" t="s">
        <v>42</v>
      </c>
      <c r="H29" s="219" t="s">
        <v>43</v>
      </c>
      <c r="I29" s="219" t="s">
        <v>44</v>
      </c>
      <c r="J29" s="219" t="s">
        <v>45</v>
      </c>
      <c r="K29" s="219" t="s">
        <v>46</v>
      </c>
      <c r="L29" s="219" t="s">
        <v>47</v>
      </c>
      <c r="M29" s="219" t="s">
        <v>48</v>
      </c>
      <c r="N29" s="219" t="s">
        <v>49</v>
      </c>
      <c r="O29" s="219" t="s">
        <v>50</v>
      </c>
      <c r="P29" s="508"/>
      <c r="Q29" s="494"/>
      <c r="R29" s="494"/>
      <c r="S29" s="494"/>
      <c r="T29" s="494"/>
      <c r="U29" s="494"/>
      <c r="V29" s="494"/>
      <c r="W29" s="494"/>
      <c r="X29" s="494"/>
      <c r="Y29" s="494"/>
      <c r="Z29" s="494"/>
      <c r="AA29" s="494"/>
      <c r="AB29" s="494"/>
      <c r="AC29" s="494"/>
      <c r="AD29" s="496"/>
    </row>
    <row r="30" spans="1:30" ht="61.5" customHeight="1" thickBot="1">
      <c r="A30" s="218" t="str">
        <f>C17</f>
        <v>Ejecutar el 100%  las actividades programadas para una correcta gestión administrativa y organizacional</v>
      </c>
      <c r="B30" s="487" t="s">
        <v>411</v>
      </c>
      <c r="C30" s="488"/>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489"/>
      <c r="R30" s="489"/>
      <c r="S30" s="489"/>
      <c r="T30" s="489"/>
      <c r="U30" s="489"/>
      <c r="V30" s="489"/>
      <c r="W30" s="489"/>
      <c r="X30" s="489"/>
      <c r="Y30" s="489"/>
      <c r="Z30" s="489"/>
      <c r="AA30" s="489"/>
      <c r="AB30" s="489"/>
      <c r="AC30" s="489"/>
      <c r="AD30" s="490"/>
    </row>
    <row r="31" spans="1:30" ht="45" customHeight="1">
      <c r="A31" s="491" t="s">
        <v>293</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3"/>
    </row>
    <row r="32" spans="1:41" ht="22.5" customHeight="1">
      <c r="A32" s="443" t="s">
        <v>191</v>
      </c>
      <c r="B32" s="494" t="s">
        <v>62</v>
      </c>
      <c r="C32" s="494" t="s">
        <v>6</v>
      </c>
      <c r="D32" s="494" t="s">
        <v>60</v>
      </c>
      <c r="E32" s="494"/>
      <c r="F32" s="494"/>
      <c r="G32" s="494"/>
      <c r="H32" s="494"/>
      <c r="I32" s="494"/>
      <c r="J32" s="494"/>
      <c r="K32" s="494"/>
      <c r="L32" s="494"/>
      <c r="M32" s="494"/>
      <c r="N32" s="494"/>
      <c r="O32" s="494"/>
      <c r="P32" s="494"/>
      <c r="Q32" s="494" t="s">
        <v>85</v>
      </c>
      <c r="R32" s="494"/>
      <c r="S32" s="494"/>
      <c r="T32" s="494"/>
      <c r="U32" s="494"/>
      <c r="V32" s="494"/>
      <c r="W32" s="494"/>
      <c r="X32" s="494"/>
      <c r="Y32" s="494"/>
      <c r="Z32" s="494"/>
      <c r="AA32" s="494"/>
      <c r="AB32" s="494"/>
      <c r="AC32" s="494"/>
      <c r="AD32" s="496"/>
      <c r="AG32" s="90"/>
      <c r="AH32" s="90"/>
      <c r="AI32" s="90"/>
      <c r="AJ32" s="90"/>
      <c r="AK32" s="90"/>
      <c r="AL32" s="90"/>
      <c r="AM32" s="90"/>
      <c r="AN32" s="90"/>
      <c r="AO32" s="90"/>
    </row>
    <row r="33" spans="1:41" ht="22.5" customHeight="1">
      <c r="A33" s="443"/>
      <c r="B33" s="494"/>
      <c r="C33" s="495"/>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462" t="s">
        <v>80</v>
      </c>
      <c r="R33" s="463"/>
      <c r="S33" s="463"/>
      <c r="T33" s="463"/>
      <c r="U33" s="463"/>
      <c r="V33" s="497"/>
      <c r="W33" s="462" t="s">
        <v>81</v>
      </c>
      <c r="X33" s="463"/>
      <c r="Y33" s="463"/>
      <c r="Z33" s="497"/>
      <c r="AA33" s="462" t="s">
        <v>82</v>
      </c>
      <c r="AB33" s="463"/>
      <c r="AC33" s="463"/>
      <c r="AD33" s="464"/>
      <c r="AG33" s="90"/>
      <c r="AH33" s="90"/>
      <c r="AI33" s="90"/>
      <c r="AJ33" s="90"/>
      <c r="AK33" s="90"/>
      <c r="AL33" s="90"/>
      <c r="AM33" s="90"/>
      <c r="AN33" s="90"/>
      <c r="AO33" s="90"/>
    </row>
    <row r="34" spans="1:41" ht="60.75" customHeight="1">
      <c r="A34" s="465" t="str">
        <f>A30</f>
        <v>Ejecutar el 100%  las actividades programadas para una correcta gestión administrativa y organizacional</v>
      </c>
      <c r="B34" s="606">
        <f>+AC17</f>
        <v>0.58</v>
      </c>
      <c r="C34" s="93" t="s">
        <v>9</v>
      </c>
      <c r="D34" s="177">
        <f>+(D38*($B$38/$B$34))+(D40*($B$40/$B$34))+(D42*($B$42/$B$34))+(D44*($B$44/$B$34))+(D46*($B$46/$B$34))</f>
        <v>0.162</v>
      </c>
      <c r="E34" s="177">
        <f aca="true" t="shared" si="0" ref="E34:O34">+(E38*($B$38/$B$34))+(E40*($B$40/$B$34))+(E42*($B$42/$B$34))+(E44*($B$44/$B$34))+(E46*($B$46/$B$34))</f>
        <v>0.058</v>
      </c>
      <c r="F34" s="177">
        <f t="shared" si="0"/>
        <v>0.07800000000000001</v>
      </c>
      <c r="G34" s="177">
        <f t="shared" si="0"/>
        <v>0.082</v>
      </c>
      <c r="H34" s="177">
        <f t="shared" si="0"/>
        <v>0.082</v>
      </c>
      <c r="I34" s="177">
        <f t="shared" si="0"/>
        <v>0.07800000000000001</v>
      </c>
      <c r="J34" s="177">
        <f t="shared" si="0"/>
        <v>0.07800000000000001</v>
      </c>
      <c r="K34" s="177">
        <f>+(K38*($B$38/$B$34))+(K40*($B$40/$B$34))+(K42*($B$42/$B$34))+(K44*($B$44/$B$34))+(K46*($B$46/$B$34))</f>
        <v>0.07600000000000001</v>
      </c>
      <c r="L34" s="177">
        <f t="shared" si="0"/>
        <v>0.07600000000000001</v>
      </c>
      <c r="M34" s="177">
        <f t="shared" si="0"/>
        <v>0.082</v>
      </c>
      <c r="N34" s="177">
        <f t="shared" si="0"/>
        <v>0.084</v>
      </c>
      <c r="O34" s="177">
        <f t="shared" si="0"/>
        <v>0.064</v>
      </c>
      <c r="P34" s="177">
        <f>SUM(D34:O34)</f>
        <v>1.0000000000000002</v>
      </c>
      <c r="Q34" s="469" t="s">
        <v>894</v>
      </c>
      <c r="R34" s="470"/>
      <c r="S34" s="470"/>
      <c r="T34" s="470"/>
      <c r="U34" s="470"/>
      <c r="V34" s="471"/>
      <c r="W34" s="608"/>
      <c r="X34" s="609"/>
      <c r="Y34" s="609"/>
      <c r="Z34" s="610"/>
      <c r="AA34" s="469" t="s">
        <v>806</v>
      </c>
      <c r="AB34" s="470"/>
      <c r="AC34" s="470"/>
      <c r="AD34" s="614"/>
      <c r="AG34" s="90"/>
      <c r="AH34" s="90"/>
      <c r="AI34" s="90"/>
      <c r="AJ34" s="90"/>
      <c r="AK34" s="90"/>
      <c r="AL34" s="90"/>
      <c r="AM34" s="90"/>
      <c r="AN34" s="90"/>
      <c r="AO34" s="90"/>
    </row>
    <row r="35" spans="1:41" ht="60.75" customHeight="1" thickBot="1">
      <c r="A35" s="466"/>
      <c r="B35" s="607"/>
      <c r="C35" s="94" t="s">
        <v>10</v>
      </c>
      <c r="D35" s="273">
        <f>+(D39*($B$38/$B$34))+(D41*($B$40/$B$34))+(D43*($B$42/$B$34))+(D45*($B$44/$B$34))+(D47*($B$46/$B$34))</f>
        <v>0.162</v>
      </c>
      <c r="E35" s="273">
        <f aca="true" t="shared" si="1" ref="E35:K35">+(E39*($B$38/$B$34))+(E41*($B$40/$B$34))+(E43*($B$42/$B$34))+(E45*($B$44/$B$34))+(E47*($B$46/$B$34))</f>
        <v>0.058</v>
      </c>
      <c r="F35" s="273">
        <f t="shared" si="1"/>
        <v>0.07800000000000001</v>
      </c>
      <c r="G35" s="273">
        <f t="shared" si="1"/>
        <v>0.082</v>
      </c>
      <c r="H35" s="273">
        <f t="shared" si="1"/>
        <v>0.082</v>
      </c>
      <c r="I35" s="273">
        <f t="shared" si="1"/>
        <v>0.07800000000000001</v>
      </c>
      <c r="J35" s="273">
        <f t="shared" si="1"/>
        <v>0.07800000000000001</v>
      </c>
      <c r="K35" s="273">
        <f t="shared" si="1"/>
        <v>0.07600000000000001</v>
      </c>
      <c r="L35" s="96"/>
      <c r="M35" s="96"/>
      <c r="N35" s="96"/>
      <c r="O35" s="96"/>
      <c r="P35" s="178">
        <f>SUM(D35:O35)</f>
        <v>0.6940000000000002</v>
      </c>
      <c r="Q35" s="472"/>
      <c r="R35" s="473"/>
      <c r="S35" s="473"/>
      <c r="T35" s="473"/>
      <c r="U35" s="473"/>
      <c r="V35" s="474"/>
      <c r="W35" s="611"/>
      <c r="X35" s="612"/>
      <c r="Y35" s="612"/>
      <c r="Z35" s="613"/>
      <c r="AA35" s="472"/>
      <c r="AB35" s="473"/>
      <c r="AC35" s="473"/>
      <c r="AD35" s="615"/>
      <c r="AE35" s="50"/>
      <c r="AF35" s="97"/>
      <c r="AG35" s="90"/>
      <c r="AH35" s="90"/>
      <c r="AI35" s="90"/>
      <c r="AJ35" s="90"/>
      <c r="AK35" s="90"/>
      <c r="AL35" s="90"/>
      <c r="AM35" s="90"/>
      <c r="AN35" s="90"/>
      <c r="AO35" s="90"/>
    </row>
    <row r="36" spans="1:41" ht="25.5" customHeight="1">
      <c r="A36" s="442" t="s">
        <v>192</v>
      </c>
      <c r="B36" s="444" t="s">
        <v>61</v>
      </c>
      <c r="C36" s="446" t="s">
        <v>11</v>
      </c>
      <c r="D36" s="446"/>
      <c r="E36" s="446"/>
      <c r="F36" s="446"/>
      <c r="G36" s="446"/>
      <c r="H36" s="446"/>
      <c r="I36" s="446"/>
      <c r="J36" s="446"/>
      <c r="K36" s="446"/>
      <c r="L36" s="446"/>
      <c r="M36" s="446"/>
      <c r="N36" s="446"/>
      <c r="O36" s="446"/>
      <c r="P36" s="446"/>
      <c r="Q36" s="447" t="s">
        <v>78</v>
      </c>
      <c r="R36" s="448"/>
      <c r="S36" s="448"/>
      <c r="T36" s="448"/>
      <c r="U36" s="448"/>
      <c r="V36" s="448"/>
      <c r="W36" s="448"/>
      <c r="X36" s="448"/>
      <c r="Y36" s="448"/>
      <c r="Z36" s="448"/>
      <c r="AA36" s="448"/>
      <c r="AB36" s="448"/>
      <c r="AC36" s="448"/>
      <c r="AD36" s="449"/>
      <c r="AG36" s="90"/>
      <c r="AH36" s="90"/>
      <c r="AI36" s="90"/>
      <c r="AJ36" s="90"/>
      <c r="AK36" s="90"/>
      <c r="AL36" s="90"/>
      <c r="AM36" s="90"/>
      <c r="AN36" s="90"/>
      <c r="AO36" s="90"/>
    </row>
    <row r="37" spans="1:41" ht="25.5" customHeight="1">
      <c r="A37" s="443"/>
      <c r="B37" s="445"/>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450" t="s">
        <v>83</v>
      </c>
      <c r="R37" s="451"/>
      <c r="S37" s="451"/>
      <c r="T37" s="451"/>
      <c r="U37" s="451"/>
      <c r="V37" s="451"/>
      <c r="W37" s="451"/>
      <c r="X37" s="451"/>
      <c r="Y37" s="451"/>
      <c r="Z37" s="451"/>
      <c r="AA37" s="451"/>
      <c r="AB37" s="451"/>
      <c r="AC37" s="451"/>
      <c r="AD37" s="452"/>
      <c r="AG37" s="98"/>
      <c r="AH37" s="98"/>
      <c r="AI37" s="98"/>
      <c r="AJ37" s="98"/>
      <c r="AK37" s="98"/>
      <c r="AL37" s="98"/>
      <c r="AM37" s="98"/>
      <c r="AN37" s="98"/>
      <c r="AO37" s="98"/>
    </row>
    <row r="38" spans="1:41" ht="61.5" customHeight="1">
      <c r="A38" s="616" t="s">
        <v>420</v>
      </c>
      <c r="B38" s="618">
        <v>0.11599999999999999</v>
      </c>
      <c r="C38" s="93" t="s">
        <v>9</v>
      </c>
      <c r="D38" s="99">
        <v>0.12</v>
      </c>
      <c r="E38" s="99">
        <v>0.08</v>
      </c>
      <c r="F38" s="99">
        <v>0.08</v>
      </c>
      <c r="G38" s="99">
        <v>0.08</v>
      </c>
      <c r="H38" s="99">
        <v>0.08</v>
      </c>
      <c r="I38" s="99">
        <v>0.08</v>
      </c>
      <c r="J38" s="99">
        <v>0.08</v>
      </c>
      <c r="K38" s="99">
        <v>0.08</v>
      </c>
      <c r="L38" s="99">
        <v>0.08</v>
      </c>
      <c r="M38" s="99">
        <v>0.08</v>
      </c>
      <c r="N38" s="99">
        <v>0.08</v>
      </c>
      <c r="O38" s="99">
        <v>0.08</v>
      </c>
      <c r="P38" s="100">
        <f aca="true" t="shared" si="2" ref="P38:P47">SUM(D38:O38)</f>
        <v>0.9999999999999998</v>
      </c>
      <c r="Q38" s="620" t="s">
        <v>807</v>
      </c>
      <c r="R38" s="621"/>
      <c r="S38" s="621"/>
      <c r="T38" s="621"/>
      <c r="U38" s="621"/>
      <c r="V38" s="621"/>
      <c r="W38" s="621"/>
      <c r="X38" s="621"/>
      <c r="Y38" s="621"/>
      <c r="Z38" s="621"/>
      <c r="AA38" s="621"/>
      <c r="AB38" s="621"/>
      <c r="AC38" s="621"/>
      <c r="AD38" s="622"/>
      <c r="AE38" s="101"/>
      <c r="AG38" s="102"/>
      <c r="AH38" s="102"/>
      <c r="AI38" s="102"/>
      <c r="AJ38" s="102"/>
      <c r="AK38" s="102"/>
      <c r="AL38" s="102"/>
      <c r="AM38" s="102"/>
      <c r="AN38" s="102"/>
      <c r="AO38" s="102"/>
    </row>
    <row r="39" spans="1:31" ht="61.5" customHeight="1">
      <c r="A39" s="617"/>
      <c r="B39" s="619"/>
      <c r="C39" s="103" t="s">
        <v>10</v>
      </c>
      <c r="D39" s="104">
        <v>0.12</v>
      </c>
      <c r="E39" s="104">
        <v>0.08</v>
      </c>
      <c r="F39" s="104">
        <v>0.08</v>
      </c>
      <c r="G39" s="104">
        <v>0.08</v>
      </c>
      <c r="H39" s="104">
        <v>0.08</v>
      </c>
      <c r="I39" s="104">
        <v>0.08</v>
      </c>
      <c r="J39" s="104">
        <v>0.08</v>
      </c>
      <c r="K39" s="104">
        <v>0.08</v>
      </c>
      <c r="L39" s="104"/>
      <c r="M39" s="104"/>
      <c r="N39" s="104"/>
      <c r="O39" s="104"/>
      <c r="P39" s="105">
        <f t="shared" si="2"/>
        <v>0.6799999999999999</v>
      </c>
      <c r="Q39" s="623"/>
      <c r="R39" s="624"/>
      <c r="S39" s="624"/>
      <c r="T39" s="624"/>
      <c r="U39" s="624"/>
      <c r="V39" s="624"/>
      <c r="W39" s="624"/>
      <c r="X39" s="624"/>
      <c r="Y39" s="624"/>
      <c r="Z39" s="624"/>
      <c r="AA39" s="624"/>
      <c r="AB39" s="624"/>
      <c r="AC39" s="624"/>
      <c r="AD39" s="625"/>
      <c r="AE39" s="101"/>
    </row>
    <row r="40" spans="1:31" ht="61.5" customHeight="1">
      <c r="A40" s="626" t="s">
        <v>421</v>
      </c>
      <c r="B40" s="627">
        <v>0.11599999999999999</v>
      </c>
      <c r="C40" s="106" t="s">
        <v>9</v>
      </c>
      <c r="D40" s="224">
        <v>0.6</v>
      </c>
      <c r="E40" s="224">
        <v>0.05</v>
      </c>
      <c r="F40" s="224">
        <v>0.05</v>
      </c>
      <c r="G40" s="224">
        <v>0.05</v>
      </c>
      <c r="H40" s="224">
        <v>0.05</v>
      </c>
      <c r="I40" s="224">
        <v>0.02</v>
      </c>
      <c r="J40" s="224">
        <v>0.02</v>
      </c>
      <c r="K40" s="224">
        <v>0.01</v>
      </c>
      <c r="L40" s="224">
        <v>0.01</v>
      </c>
      <c r="M40" s="224">
        <v>0.04</v>
      </c>
      <c r="N40" s="224">
        <v>0.05</v>
      </c>
      <c r="O40" s="224">
        <v>0.05</v>
      </c>
      <c r="P40" s="105">
        <f t="shared" si="2"/>
        <v>1.0000000000000002</v>
      </c>
      <c r="Q40" s="628" t="s">
        <v>808</v>
      </c>
      <c r="R40" s="621"/>
      <c r="S40" s="621"/>
      <c r="T40" s="621"/>
      <c r="U40" s="621"/>
      <c r="V40" s="621"/>
      <c r="W40" s="621"/>
      <c r="X40" s="621"/>
      <c r="Y40" s="621"/>
      <c r="Z40" s="621"/>
      <c r="AA40" s="621"/>
      <c r="AB40" s="621"/>
      <c r="AC40" s="621"/>
      <c r="AD40" s="622"/>
      <c r="AE40" s="101"/>
    </row>
    <row r="41" spans="1:31" ht="61.5" customHeight="1">
      <c r="A41" s="626"/>
      <c r="B41" s="619"/>
      <c r="C41" s="103" t="s">
        <v>10</v>
      </c>
      <c r="D41" s="104">
        <v>0.6</v>
      </c>
      <c r="E41" s="104">
        <v>0.05</v>
      </c>
      <c r="F41" s="104">
        <v>0.05</v>
      </c>
      <c r="G41" s="104">
        <v>0.05</v>
      </c>
      <c r="H41" s="104">
        <v>0.05</v>
      </c>
      <c r="I41" s="104">
        <v>0.02</v>
      </c>
      <c r="J41" s="104">
        <v>0.02</v>
      </c>
      <c r="K41" s="104">
        <v>0.01</v>
      </c>
      <c r="L41" s="108"/>
      <c r="M41" s="108"/>
      <c r="N41" s="108"/>
      <c r="O41" s="108"/>
      <c r="P41" s="105">
        <f t="shared" si="2"/>
        <v>0.8500000000000002</v>
      </c>
      <c r="Q41" s="623"/>
      <c r="R41" s="624"/>
      <c r="S41" s="624"/>
      <c r="T41" s="624"/>
      <c r="U41" s="624"/>
      <c r="V41" s="624"/>
      <c r="W41" s="624"/>
      <c r="X41" s="624"/>
      <c r="Y41" s="624"/>
      <c r="Z41" s="624"/>
      <c r="AA41" s="624"/>
      <c r="AB41" s="624"/>
      <c r="AC41" s="624"/>
      <c r="AD41" s="625"/>
      <c r="AE41" s="101"/>
    </row>
    <row r="42" spans="1:31" ht="61.5" customHeight="1">
      <c r="A42" s="642" t="s">
        <v>422</v>
      </c>
      <c r="B42" s="627">
        <v>0.11599999999999999</v>
      </c>
      <c r="C42" s="106" t="s">
        <v>9</v>
      </c>
      <c r="D42" s="225">
        <v>0.02</v>
      </c>
      <c r="E42" s="225">
        <v>0.03</v>
      </c>
      <c r="F42" s="225">
        <v>0.1</v>
      </c>
      <c r="G42" s="225">
        <v>0.1</v>
      </c>
      <c r="H42" s="225">
        <v>0.1</v>
      </c>
      <c r="I42" s="225">
        <v>0.1</v>
      </c>
      <c r="J42" s="225">
        <v>0.1</v>
      </c>
      <c r="K42" s="225">
        <v>0.1</v>
      </c>
      <c r="L42" s="225">
        <v>0.1</v>
      </c>
      <c r="M42" s="225">
        <v>0.1</v>
      </c>
      <c r="N42" s="225">
        <v>0.1</v>
      </c>
      <c r="O42" s="225">
        <v>0.05</v>
      </c>
      <c r="P42" s="105">
        <f>SUM(D42:O42)</f>
        <v>0.9999999999999999</v>
      </c>
      <c r="Q42" s="644" t="s">
        <v>809</v>
      </c>
      <c r="R42" s="645"/>
      <c r="S42" s="645"/>
      <c r="T42" s="645"/>
      <c r="U42" s="645"/>
      <c r="V42" s="645"/>
      <c r="W42" s="645"/>
      <c r="X42" s="645"/>
      <c r="Y42" s="645"/>
      <c r="Z42" s="645"/>
      <c r="AA42" s="645"/>
      <c r="AB42" s="645"/>
      <c r="AC42" s="645"/>
      <c r="AD42" s="646"/>
      <c r="AE42" s="101"/>
    </row>
    <row r="43" spans="1:31" ht="61.5" customHeight="1">
      <c r="A43" s="643"/>
      <c r="B43" s="619"/>
      <c r="C43" s="103" t="s">
        <v>10</v>
      </c>
      <c r="D43" s="104">
        <v>0.02</v>
      </c>
      <c r="E43" s="104">
        <v>0.03</v>
      </c>
      <c r="F43" s="104">
        <v>0.1</v>
      </c>
      <c r="G43" s="109">
        <v>0.1</v>
      </c>
      <c r="H43" s="104">
        <v>0.1</v>
      </c>
      <c r="I43" s="104">
        <v>0.1</v>
      </c>
      <c r="J43" s="104">
        <v>0.1</v>
      </c>
      <c r="K43" s="104">
        <v>0.1</v>
      </c>
      <c r="L43" s="108"/>
      <c r="M43" s="108"/>
      <c r="N43" s="108"/>
      <c r="O43" s="108"/>
      <c r="P43" s="105">
        <f>SUM(D43:O43)</f>
        <v>0.6499999999999999</v>
      </c>
      <c r="Q43" s="647"/>
      <c r="R43" s="648"/>
      <c r="S43" s="648"/>
      <c r="T43" s="648"/>
      <c r="U43" s="648"/>
      <c r="V43" s="648"/>
      <c r="W43" s="648"/>
      <c r="X43" s="648"/>
      <c r="Y43" s="648"/>
      <c r="Z43" s="648"/>
      <c r="AA43" s="648"/>
      <c r="AB43" s="648"/>
      <c r="AC43" s="648"/>
      <c r="AD43" s="649"/>
      <c r="AE43" s="101"/>
    </row>
    <row r="44" spans="1:31" ht="61.5" customHeight="1">
      <c r="A44" s="629" t="s">
        <v>423</v>
      </c>
      <c r="B44" s="627">
        <v>0.11599999999999999</v>
      </c>
      <c r="C44" s="106" t="s">
        <v>9</v>
      </c>
      <c r="D44" s="225">
        <v>0.05</v>
      </c>
      <c r="E44" s="225">
        <v>0.05</v>
      </c>
      <c r="F44" s="225">
        <v>0.07</v>
      </c>
      <c r="G44" s="225">
        <v>0.09</v>
      </c>
      <c r="H44" s="225">
        <v>0.09</v>
      </c>
      <c r="I44" s="225">
        <v>0.1</v>
      </c>
      <c r="J44" s="225">
        <v>0.1</v>
      </c>
      <c r="K44" s="225">
        <v>0.1</v>
      </c>
      <c r="L44" s="225">
        <v>0.1</v>
      </c>
      <c r="M44" s="225">
        <v>0.1</v>
      </c>
      <c r="N44" s="225">
        <v>0.1</v>
      </c>
      <c r="O44" s="225">
        <v>0.05</v>
      </c>
      <c r="P44" s="105">
        <f t="shared" si="2"/>
        <v>0.9999999999999999</v>
      </c>
      <c r="Q44" s="628" t="s">
        <v>810</v>
      </c>
      <c r="R44" s="621"/>
      <c r="S44" s="621"/>
      <c r="T44" s="621"/>
      <c r="U44" s="621"/>
      <c r="V44" s="621"/>
      <c r="W44" s="621"/>
      <c r="X44" s="621"/>
      <c r="Y44" s="621"/>
      <c r="Z44" s="621"/>
      <c r="AA44" s="621"/>
      <c r="AB44" s="621"/>
      <c r="AC44" s="621"/>
      <c r="AD44" s="622"/>
      <c r="AE44" s="101"/>
    </row>
    <row r="45" spans="1:31" ht="61.5" customHeight="1">
      <c r="A45" s="630"/>
      <c r="B45" s="619"/>
      <c r="C45" s="103" t="s">
        <v>10</v>
      </c>
      <c r="D45" s="104">
        <v>0.05</v>
      </c>
      <c r="E45" s="104">
        <v>0.05</v>
      </c>
      <c r="F45" s="104">
        <v>0.07</v>
      </c>
      <c r="G45" s="109">
        <v>0.09</v>
      </c>
      <c r="H45" s="104">
        <v>0.09</v>
      </c>
      <c r="I45" s="104">
        <v>0.1</v>
      </c>
      <c r="J45" s="104">
        <v>0.1</v>
      </c>
      <c r="K45" s="104">
        <v>0.1</v>
      </c>
      <c r="L45" s="108"/>
      <c r="M45" s="108"/>
      <c r="N45" s="108"/>
      <c r="O45" s="108"/>
      <c r="P45" s="105">
        <f t="shared" si="2"/>
        <v>0.6499999999999999</v>
      </c>
      <c r="Q45" s="631"/>
      <c r="R45" s="632"/>
      <c r="S45" s="632"/>
      <c r="T45" s="632"/>
      <c r="U45" s="632"/>
      <c r="V45" s="632"/>
      <c r="W45" s="632"/>
      <c r="X45" s="632"/>
      <c r="Y45" s="632"/>
      <c r="Z45" s="632"/>
      <c r="AA45" s="632"/>
      <c r="AB45" s="632"/>
      <c r="AC45" s="632"/>
      <c r="AD45" s="633"/>
      <c r="AE45" s="101"/>
    </row>
    <row r="46" spans="1:31" ht="61.5" customHeight="1">
      <c r="A46" s="626" t="s">
        <v>424</v>
      </c>
      <c r="B46" s="627">
        <v>0.11599999999999999</v>
      </c>
      <c r="C46" s="106" t="s">
        <v>9</v>
      </c>
      <c r="D46" s="225">
        <v>0.02</v>
      </c>
      <c r="E46" s="225">
        <v>0.08</v>
      </c>
      <c r="F46" s="225">
        <v>0.09</v>
      </c>
      <c r="G46" s="225">
        <v>0.09</v>
      </c>
      <c r="H46" s="225">
        <v>0.09</v>
      </c>
      <c r="I46" s="225">
        <v>0.09</v>
      </c>
      <c r="J46" s="225">
        <v>0.09</v>
      </c>
      <c r="K46" s="225">
        <v>0.09</v>
      </c>
      <c r="L46" s="225">
        <v>0.09</v>
      </c>
      <c r="M46" s="225">
        <v>0.09</v>
      </c>
      <c r="N46" s="225">
        <v>0.09</v>
      </c>
      <c r="O46" s="225">
        <v>0.09</v>
      </c>
      <c r="P46" s="105">
        <f t="shared" si="2"/>
        <v>0.9999999999999998</v>
      </c>
      <c r="Q46" s="636" t="s">
        <v>844</v>
      </c>
      <c r="R46" s="637"/>
      <c r="S46" s="637"/>
      <c r="T46" s="637"/>
      <c r="U46" s="637"/>
      <c r="V46" s="637"/>
      <c r="W46" s="637"/>
      <c r="X46" s="637"/>
      <c r="Y46" s="637"/>
      <c r="Z46" s="637"/>
      <c r="AA46" s="637"/>
      <c r="AB46" s="637"/>
      <c r="AC46" s="637"/>
      <c r="AD46" s="638"/>
      <c r="AE46" s="101"/>
    </row>
    <row r="47" spans="1:31" ht="61.5" customHeight="1" thickBot="1">
      <c r="A47" s="634"/>
      <c r="B47" s="635"/>
      <c r="C47" s="94" t="s">
        <v>10</v>
      </c>
      <c r="D47" s="110">
        <v>0.02</v>
      </c>
      <c r="E47" s="110">
        <v>0.08</v>
      </c>
      <c r="F47" s="110">
        <v>0.09</v>
      </c>
      <c r="G47" s="110">
        <v>0.09</v>
      </c>
      <c r="H47" s="110">
        <v>0.09</v>
      </c>
      <c r="I47" s="110">
        <v>0.09</v>
      </c>
      <c r="J47" s="110">
        <v>0.09</v>
      </c>
      <c r="K47" s="110">
        <v>0.09</v>
      </c>
      <c r="L47" s="111"/>
      <c r="M47" s="111"/>
      <c r="N47" s="111"/>
      <c r="O47" s="111"/>
      <c r="P47" s="112">
        <f t="shared" si="2"/>
        <v>0.6399999999999999</v>
      </c>
      <c r="Q47" s="639"/>
      <c r="R47" s="640"/>
      <c r="S47" s="640"/>
      <c r="T47" s="640"/>
      <c r="U47" s="640"/>
      <c r="V47" s="640"/>
      <c r="W47" s="640"/>
      <c r="X47" s="640"/>
      <c r="Y47" s="640"/>
      <c r="Z47" s="640"/>
      <c r="AA47" s="640"/>
      <c r="AB47" s="640"/>
      <c r="AC47" s="640"/>
      <c r="AD47" s="641"/>
      <c r="AE47" s="101"/>
    </row>
    <row r="48" ht="15">
      <c r="A48" s="52" t="s">
        <v>295</v>
      </c>
    </row>
  </sheetData>
  <sheetProtection/>
  <mergeCells count="83">
    <mergeCell ref="A46:A47"/>
    <mergeCell ref="B46:B47"/>
    <mergeCell ref="Q46:AD47"/>
    <mergeCell ref="A42:A43"/>
    <mergeCell ref="B42:B43"/>
    <mergeCell ref="Q42:AD43"/>
    <mergeCell ref="A40:A41"/>
    <mergeCell ref="B40:B41"/>
    <mergeCell ref="Q40:AD41"/>
    <mergeCell ref="A44:A45"/>
    <mergeCell ref="B44:B45"/>
    <mergeCell ref="Q44:AD45"/>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4 W34 AA34 R38:AD45 Q38:Q46">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 2'!$C$21:$N$21</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O44"/>
  <sheetViews>
    <sheetView showGridLines="0" zoomScale="106" zoomScaleNormal="106" workbookViewId="0" topLeftCell="R18">
      <selection activeCell="T46" sqref="T46"/>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89"/>
      <c r="Z1" s="589"/>
      <c r="AA1" s="590"/>
      <c r="AB1" s="591" t="s">
        <v>18</v>
      </c>
      <c r="AC1" s="592"/>
      <c r="AD1" s="593"/>
    </row>
    <row r="2" spans="1:30"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5"/>
      <c r="Z2" s="595"/>
      <c r="AA2" s="596"/>
      <c r="AB2" s="597" t="s">
        <v>405</v>
      </c>
      <c r="AC2" s="598"/>
      <c r="AD2" s="599"/>
    </row>
    <row r="3" spans="1:30"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1"/>
      <c r="Z3" s="601"/>
      <c r="AA3" s="602"/>
      <c r="AB3" s="597" t="s">
        <v>404</v>
      </c>
      <c r="AC3" s="598"/>
      <c r="AD3" s="599"/>
    </row>
    <row r="4" spans="1:30" ht="21.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5"/>
      <c r="AB4" s="574" t="s">
        <v>176</v>
      </c>
      <c r="AC4" s="575"/>
      <c r="AD4" s="57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546" t="s">
        <v>294</v>
      </c>
      <c r="B7" s="547"/>
      <c r="C7" s="552" t="s">
        <v>46</v>
      </c>
      <c r="D7" s="531" t="s">
        <v>71</v>
      </c>
      <c r="E7" s="555"/>
      <c r="F7" s="555"/>
      <c r="G7" s="555"/>
      <c r="H7" s="532"/>
      <c r="I7" s="577">
        <v>44809</v>
      </c>
      <c r="J7" s="578"/>
      <c r="K7" s="531" t="s">
        <v>67</v>
      </c>
      <c r="L7" s="532"/>
      <c r="M7" s="583" t="s">
        <v>70</v>
      </c>
      <c r="N7" s="584"/>
      <c r="O7" s="564"/>
      <c r="P7" s="565"/>
      <c r="Q7" s="56"/>
      <c r="R7" s="56"/>
      <c r="S7" s="56"/>
      <c r="T7" s="56"/>
      <c r="U7" s="56"/>
      <c r="V7" s="56"/>
      <c r="W7" s="56"/>
      <c r="X7" s="56"/>
      <c r="Y7" s="56"/>
      <c r="Z7" s="57"/>
      <c r="AA7" s="56"/>
      <c r="AB7" s="56"/>
      <c r="AC7" s="62"/>
      <c r="AD7" s="63"/>
    </row>
    <row r="8" spans="1:30" ht="15" customHeight="1">
      <c r="A8" s="548"/>
      <c r="B8" s="549"/>
      <c r="C8" s="553"/>
      <c r="D8" s="533"/>
      <c r="E8" s="556"/>
      <c r="F8" s="556"/>
      <c r="G8" s="556"/>
      <c r="H8" s="534"/>
      <c r="I8" s="579"/>
      <c r="J8" s="580"/>
      <c r="K8" s="533"/>
      <c r="L8" s="534"/>
      <c r="M8" s="566" t="s">
        <v>68</v>
      </c>
      <c r="N8" s="567"/>
      <c r="O8" s="568"/>
      <c r="P8" s="569"/>
      <c r="Q8" s="56"/>
      <c r="R8" s="56"/>
      <c r="S8" s="56"/>
      <c r="T8" s="56"/>
      <c r="U8" s="56"/>
      <c r="V8" s="56"/>
      <c r="W8" s="56"/>
      <c r="X8" s="56"/>
      <c r="Y8" s="56"/>
      <c r="Z8" s="57"/>
      <c r="AA8" s="56"/>
      <c r="AB8" s="56"/>
      <c r="AC8" s="62"/>
      <c r="AD8" s="63"/>
    </row>
    <row r="9" spans="1:30" ht="15.75" customHeight="1" thickBot="1">
      <c r="A9" s="550"/>
      <c r="B9" s="551"/>
      <c r="C9" s="554"/>
      <c r="D9" s="535"/>
      <c r="E9" s="557"/>
      <c r="F9" s="557"/>
      <c r="G9" s="557"/>
      <c r="H9" s="536"/>
      <c r="I9" s="581"/>
      <c r="J9" s="582"/>
      <c r="K9" s="535"/>
      <c r="L9" s="536"/>
      <c r="M9" s="570" t="s">
        <v>69</v>
      </c>
      <c r="N9" s="571"/>
      <c r="O9" s="572" t="s">
        <v>635</v>
      </c>
      <c r="P9" s="57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1" t="s">
        <v>0</v>
      </c>
      <c r="B11" s="532"/>
      <c r="C11" s="537" t="s">
        <v>412</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c r="A12" s="533"/>
      <c r="B12" s="534"/>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c r="A13" s="535"/>
      <c r="B13" s="536"/>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22" t="s">
        <v>77</v>
      </c>
      <c r="B15" s="523"/>
      <c r="C15" s="518" t="s">
        <v>413</v>
      </c>
      <c r="D15" s="519"/>
      <c r="E15" s="519"/>
      <c r="F15" s="519"/>
      <c r="G15" s="519"/>
      <c r="H15" s="519"/>
      <c r="I15" s="519"/>
      <c r="J15" s="519"/>
      <c r="K15" s="520"/>
      <c r="L15" s="558" t="s">
        <v>73</v>
      </c>
      <c r="M15" s="559"/>
      <c r="N15" s="559"/>
      <c r="O15" s="559"/>
      <c r="P15" s="559"/>
      <c r="Q15" s="560"/>
      <c r="R15" s="561" t="s">
        <v>415</v>
      </c>
      <c r="S15" s="562"/>
      <c r="T15" s="562"/>
      <c r="U15" s="562"/>
      <c r="V15" s="562"/>
      <c r="W15" s="562"/>
      <c r="X15" s="563"/>
      <c r="Y15" s="558" t="s">
        <v>72</v>
      </c>
      <c r="Z15" s="560"/>
      <c r="AA15" s="518" t="s">
        <v>417</v>
      </c>
      <c r="AB15" s="519"/>
      <c r="AC15" s="519"/>
      <c r="AD15" s="520"/>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22" t="s">
        <v>79</v>
      </c>
      <c r="B17" s="523"/>
      <c r="C17" s="524" t="s">
        <v>418</v>
      </c>
      <c r="D17" s="525"/>
      <c r="E17" s="525"/>
      <c r="F17" s="525"/>
      <c r="G17" s="525"/>
      <c r="H17" s="525"/>
      <c r="I17" s="525"/>
      <c r="J17" s="525"/>
      <c r="K17" s="525"/>
      <c r="L17" s="525"/>
      <c r="M17" s="525"/>
      <c r="N17" s="525"/>
      <c r="O17" s="525"/>
      <c r="P17" s="525"/>
      <c r="Q17" s="526"/>
      <c r="R17" s="509" t="s">
        <v>378</v>
      </c>
      <c r="S17" s="510"/>
      <c r="T17" s="510"/>
      <c r="U17" s="510"/>
      <c r="V17" s="511"/>
      <c r="W17" s="527">
        <v>1</v>
      </c>
      <c r="X17" s="528"/>
      <c r="Y17" s="510" t="s">
        <v>15</v>
      </c>
      <c r="Z17" s="510"/>
      <c r="AA17" s="510"/>
      <c r="AB17" s="511"/>
      <c r="AC17" s="529">
        <v>0.12</v>
      </c>
      <c r="AD17" s="5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09" t="s">
        <v>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1"/>
      <c r="AE19" s="86"/>
      <c r="AF19" s="86"/>
    </row>
    <row r="20" spans="1:32" ht="31.5" customHeight="1" thickBot="1">
      <c r="A20" s="85"/>
      <c r="B20" s="62"/>
      <c r="C20" s="512" t="s">
        <v>380</v>
      </c>
      <c r="D20" s="513"/>
      <c r="E20" s="513"/>
      <c r="F20" s="513"/>
      <c r="G20" s="513"/>
      <c r="H20" s="513"/>
      <c r="I20" s="513"/>
      <c r="J20" s="513"/>
      <c r="K20" s="513"/>
      <c r="L20" s="513"/>
      <c r="M20" s="513"/>
      <c r="N20" s="513"/>
      <c r="O20" s="513"/>
      <c r="P20" s="514"/>
      <c r="Q20" s="515" t="s">
        <v>381</v>
      </c>
      <c r="R20" s="516"/>
      <c r="S20" s="516"/>
      <c r="T20" s="516"/>
      <c r="U20" s="516"/>
      <c r="V20" s="516"/>
      <c r="W20" s="516"/>
      <c r="X20" s="516"/>
      <c r="Y20" s="516"/>
      <c r="Z20" s="516"/>
      <c r="AA20" s="516"/>
      <c r="AB20" s="516"/>
      <c r="AC20" s="516"/>
      <c r="AD20" s="517"/>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442" t="s">
        <v>382</v>
      </c>
      <c r="B22" s="447"/>
      <c r="C22" s="197"/>
      <c r="D22" s="195"/>
      <c r="E22" s="195"/>
      <c r="F22" s="195"/>
      <c r="G22" s="195"/>
      <c r="H22" s="195"/>
      <c r="I22" s="195"/>
      <c r="J22" s="195"/>
      <c r="K22" s="195"/>
      <c r="L22" s="195"/>
      <c r="M22" s="195"/>
      <c r="N22" s="195"/>
      <c r="O22" s="195">
        <f>SUM(C22:N22)</f>
        <v>0</v>
      </c>
      <c r="P22" s="198"/>
      <c r="Q22" s="197">
        <v>1373622666</v>
      </c>
      <c r="R22" s="195"/>
      <c r="S22" s="195"/>
      <c r="T22" s="195"/>
      <c r="U22" s="195"/>
      <c r="V22" s="195"/>
      <c r="W22" s="195"/>
      <c r="X22" s="195"/>
      <c r="Y22" s="195"/>
      <c r="Z22" s="195"/>
      <c r="AA22" s="195"/>
      <c r="AB22" s="195"/>
      <c r="AC22" s="195">
        <f>SUM(Q22:AB22)</f>
        <v>1373622666</v>
      </c>
      <c r="AD22" s="202"/>
      <c r="AE22" s="4"/>
      <c r="AF22" s="223"/>
      <c r="AG22" s="97"/>
    </row>
    <row r="23" spans="1:32" ht="31.5" customHeight="1">
      <c r="A23" s="443" t="s">
        <v>383</v>
      </c>
      <c r="B23" s="450"/>
      <c r="C23" s="192"/>
      <c r="D23" s="191"/>
      <c r="E23" s="191"/>
      <c r="F23" s="191"/>
      <c r="G23" s="191"/>
      <c r="H23" s="191"/>
      <c r="I23" s="191"/>
      <c r="J23" s="191"/>
      <c r="K23" s="191"/>
      <c r="L23" s="191"/>
      <c r="M23" s="191"/>
      <c r="N23" s="191"/>
      <c r="O23" s="191">
        <f>SUM(C23:N23)</f>
        <v>0</v>
      </c>
      <c r="P23" s="212" t="str">
        <f>_xlfn.IFERROR(O23/(SUMIF(C23:N23,"&gt;0",C22:N22))," ")</f>
        <v> </v>
      </c>
      <c r="Q23" s="192">
        <v>1373622666</v>
      </c>
      <c r="R23" s="237">
        <f>1373622666-Q23</f>
        <v>0</v>
      </c>
      <c r="S23" s="237">
        <v>-20101167</v>
      </c>
      <c r="T23" s="191">
        <f>+SPI!I6</f>
        <v>0</v>
      </c>
      <c r="U23" s="191">
        <f>+SPI!K6</f>
        <v>20166667</v>
      </c>
      <c r="V23" s="237">
        <f>+SPI!M6</f>
        <v>-15166667</v>
      </c>
      <c r="W23" s="191"/>
      <c r="X23" s="191">
        <f>+'SPI corr'!Q6</f>
        <v>0</v>
      </c>
      <c r="Y23" s="191"/>
      <c r="Z23" s="191"/>
      <c r="AA23" s="191"/>
      <c r="AB23" s="191"/>
      <c r="AC23" s="195">
        <f>SUM(Q23:AB23)</f>
        <v>1358521499</v>
      </c>
      <c r="AD23" s="200">
        <f>+AC23/AC22</f>
        <v>0.9890063207503886</v>
      </c>
      <c r="AE23" s="4"/>
      <c r="AF23" s="4"/>
    </row>
    <row r="24" spans="1:32" ht="31.5" customHeight="1">
      <c r="A24" s="443" t="s">
        <v>384</v>
      </c>
      <c r="B24" s="450"/>
      <c r="C24" s="192"/>
      <c r="D24" s="191"/>
      <c r="E24" s="191"/>
      <c r="F24" s="191"/>
      <c r="G24" s="191"/>
      <c r="H24" s="191"/>
      <c r="I24" s="191"/>
      <c r="J24" s="191"/>
      <c r="K24" s="191"/>
      <c r="L24" s="191"/>
      <c r="M24" s="191"/>
      <c r="N24" s="191"/>
      <c r="O24" s="191">
        <f>SUM(C24:N24)</f>
        <v>0</v>
      </c>
      <c r="P24" s="196"/>
      <c r="Q24" s="192"/>
      <c r="R24" s="191">
        <v>94432666</v>
      </c>
      <c r="S24" s="191">
        <v>116290000</v>
      </c>
      <c r="T24" s="191">
        <v>116290000</v>
      </c>
      <c r="U24" s="191">
        <v>116290000</v>
      </c>
      <c r="V24" s="237">
        <v>116290000</v>
      </c>
      <c r="W24" s="191">
        <v>116290000</v>
      </c>
      <c r="X24" s="191">
        <v>116290000</v>
      </c>
      <c r="Y24" s="191">
        <v>116290000</v>
      </c>
      <c r="Z24" s="191">
        <v>116290000</v>
      </c>
      <c r="AA24" s="191">
        <v>116290000</v>
      </c>
      <c r="AB24" s="191">
        <v>232580000</v>
      </c>
      <c r="AC24" s="195">
        <f>SUM(Q24:AB24)</f>
        <v>1373622666</v>
      </c>
      <c r="AD24" s="200"/>
      <c r="AE24" s="4"/>
      <c r="AF24" s="4"/>
    </row>
    <row r="25" spans="1:32" ht="31.5" customHeight="1" thickBot="1">
      <c r="A25" s="498" t="s">
        <v>385</v>
      </c>
      <c r="B25" s="499"/>
      <c r="C25" s="193"/>
      <c r="D25" s="194"/>
      <c r="E25" s="309"/>
      <c r="F25" s="194"/>
      <c r="G25" s="194"/>
      <c r="H25" s="194"/>
      <c r="I25" s="194"/>
      <c r="J25" s="194"/>
      <c r="K25" s="194"/>
      <c r="L25" s="194"/>
      <c r="M25" s="194"/>
      <c r="N25" s="194"/>
      <c r="O25" s="194">
        <f>SUM(C25:N25)</f>
        <v>0</v>
      </c>
      <c r="P25" s="199" t="str">
        <f>_xlfn.IFERROR(O25/(SUMIF(C25:N25,"&gt;0",C24:N24))," ")</f>
        <v> </v>
      </c>
      <c r="Q25" s="193"/>
      <c r="R25" s="309">
        <v>74577632</v>
      </c>
      <c r="S25" s="309">
        <v>116290000</v>
      </c>
      <c r="T25" s="194">
        <f>+SPI!J6</f>
        <v>116290000</v>
      </c>
      <c r="U25" s="194">
        <f>+SPI!L6</f>
        <v>113388833</v>
      </c>
      <c r="V25" s="309">
        <f>+SPI!N6</f>
        <v>112942500</v>
      </c>
      <c r="W25" s="194">
        <f>+'SPI corr'!P6</f>
        <v>116290000</v>
      </c>
      <c r="X25" s="194">
        <f>+'SPI corr'!R6</f>
        <v>116290000</v>
      </c>
      <c r="Y25" s="194"/>
      <c r="Z25" s="194"/>
      <c r="AA25" s="194"/>
      <c r="AB25" s="194"/>
      <c r="AC25" s="194">
        <f>SUM(Q25:AB25)</f>
        <v>766068965</v>
      </c>
      <c r="AD25" s="201">
        <f>+AC25/AC24</f>
        <v>0.5576997118362926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0" t="s">
        <v>76</v>
      </c>
      <c r="B27" s="501"/>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3"/>
    </row>
    <row r="28" spans="1:30" ht="15" customHeight="1">
      <c r="A28" s="504" t="s">
        <v>190</v>
      </c>
      <c r="B28" s="506" t="s">
        <v>6</v>
      </c>
      <c r="C28" s="507"/>
      <c r="D28" s="450" t="s">
        <v>402</v>
      </c>
      <c r="E28" s="451"/>
      <c r="F28" s="451"/>
      <c r="G28" s="451"/>
      <c r="H28" s="451"/>
      <c r="I28" s="451"/>
      <c r="J28" s="451"/>
      <c r="K28" s="451"/>
      <c r="L28" s="451"/>
      <c r="M28" s="451"/>
      <c r="N28" s="451"/>
      <c r="O28" s="508"/>
      <c r="P28" s="494" t="s">
        <v>8</v>
      </c>
      <c r="Q28" s="494" t="s">
        <v>84</v>
      </c>
      <c r="R28" s="494"/>
      <c r="S28" s="494"/>
      <c r="T28" s="494"/>
      <c r="U28" s="494"/>
      <c r="V28" s="494"/>
      <c r="W28" s="494"/>
      <c r="X28" s="494"/>
      <c r="Y28" s="494"/>
      <c r="Z28" s="494"/>
      <c r="AA28" s="494"/>
      <c r="AB28" s="494"/>
      <c r="AC28" s="494"/>
      <c r="AD28" s="496"/>
    </row>
    <row r="29" spans="1:30" ht="27" customHeight="1">
      <c r="A29" s="505"/>
      <c r="B29" s="462"/>
      <c r="C29" s="497"/>
      <c r="D29" s="219" t="s">
        <v>39</v>
      </c>
      <c r="E29" s="219" t="s">
        <v>40</v>
      </c>
      <c r="F29" s="219" t="s">
        <v>41</v>
      </c>
      <c r="G29" s="219" t="s">
        <v>42</v>
      </c>
      <c r="H29" s="219" t="s">
        <v>43</v>
      </c>
      <c r="I29" s="219" t="s">
        <v>44</v>
      </c>
      <c r="J29" s="219" t="s">
        <v>45</v>
      </c>
      <c r="K29" s="219" t="s">
        <v>46</v>
      </c>
      <c r="L29" s="219" t="s">
        <v>47</v>
      </c>
      <c r="M29" s="219" t="s">
        <v>48</v>
      </c>
      <c r="N29" s="219" t="s">
        <v>49</v>
      </c>
      <c r="O29" s="219" t="s">
        <v>50</v>
      </c>
      <c r="P29" s="508"/>
      <c r="Q29" s="494"/>
      <c r="R29" s="494"/>
      <c r="S29" s="494"/>
      <c r="T29" s="494"/>
      <c r="U29" s="494"/>
      <c r="V29" s="494"/>
      <c r="W29" s="494"/>
      <c r="X29" s="494"/>
      <c r="Y29" s="494"/>
      <c r="Z29" s="494"/>
      <c r="AA29" s="494"/>
      <c r="AB29" s="494"/>
      <c r="AC29" s="494"/>
      <c r="AD29" s="496"/>
    </row>
    <row r="30" spans="1:30" ht="61.5" customHeight="1" thickBot="1">
      <c r="A30" s="218" t="str">
        <f>C17</f>
        <v>Soportar al 100% la implementación de las políticas del Modelo Integrado de Planeación y Gestión</v>
      </c>
      <c r="B30" s="487" t="s">
        <v>411</v>
      </c>
      <c r="C30" s="488"/>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489"/>
      <c r="R30" s="489"/>
      <c r="S30" s="489"/>
      <c r="T30" s="489"/>
      <c r="U30" s="489"/>
      <c r="V30" s="489"/>
      <c r="W30" s="489"/>
      <c r="X30" s="489"/>
      <c r="Y30" s="489"/>
      <c r="Z30" s="489"/>
      <c r="AA30" s="489"/>
      <c r="AB30" s="489"/>
      <c r="AC30" s="489"/>
      <c r="AD30" s="490"/>
    </row>
    <row r="31" spans="1:30" ht="45" customHeight="1">
      <c r="A31" s="491" t="s">
        <v>293</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3"/>
    </row>
    <row r="32" spans="1:41" ht="22.5" customHeight="1">
      <c r="A32" s="443" t="s">
        <v>191</v>
      </c>
      <c r="B32" s="494" t="s">
        <v>62</v>
      </c>
      <c r="C32" s="494" t="s">
        <v>6</v>
      </c>
      <c r="D32" s="494" t="s">
        <v>60</v>
      </c>
      <c r="E32" s="494"/>
      <c r="F32" s="494"/>
      <c r="G32" s="494"/>
      <c r="H32" s="494"/>
      <c r="I32" s="494"/>
      <c r="J32" s="494"/>
      <c r="K32" s="494"/>
      <c r="L32" s="494"/>
      <c r="M32" s="494"/>
      <c r="N32" s="494"/>
      <c r="O32" s="494"/>
      <c r="P32" s="494"/>
      <c r="Q32" s="494" t="s">
        <v>85</v>
      </c>
      <c r="R32" s="494"/>
      <c r="S32" s="494"/>
      <c r="T32" s="494"/>
      <c r="U32" s="494"/>
      <c r="V32" s="494"/>
      <c r="W32" s="494"/>
      <c r="X32" s="494"/>
      <c r="Y32" s="494"/>
      <c r="Z32" s="494"/>
      <c r="AA32" s="494"/>
      <c r="AB32" s="494"/>
      <c r="AC32" s="494"/>
      <c r="AD32" s="496"/>
      <c r="AG32" s="90"/>
      <c r="AH32" s="90"/>
      <c r="AI32" s="90"/>
      <c r="AJ32" s="90"/>
      <c r="AK32" s="90"/>
      <c r="AL32" s="90"/>
      <c r="AM32" s="90"/>
      <c r="AN32" s="90"/>
      <c r="AO32" s="90"/>
    </row>
    <row r="33" spans="1:41" ht="22.5" customHeight="1">
      <c r="A33" s="443"/>
      <c r="B33" s="494"/>
      <c r="C33" s="495"/>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462" t="s">
        <v>80</v>
      </c>
      <c r="R33" s="463"/>
      <c r="S33" s="463"/>
      <c r="T33" s="463"/>
      <c r="U33" s="463"/>
      <c r="V33" s="497"/>
      <c r="W33" s="462" t="s">
        <v>81</v>
      </c>
      <c r="X33" s="463"/>
      <c r="Y33" s="463"/>
      <c r="Z33" s="497"/>
      <c r="AA33" s="462" t="s">
        <v>82</v>
      </c>
      <c r="AB33" s="463"/>
      <c r="AC33" s="463"/>
      <c r="AD33" s="464"/>
      <c r="AG33" s="90"/>
      <c r="AH33" s="90"/>
      <c r="AI33" s="90"/>
      <c r="AJ33" s="90"/>
      <c r="AK33" s="90"/>
      <c r="AL33" s="90"/>
      <c r="AM33" s="90"/>
      <c r="AN33" s="90"/>
      <c r="AO33" s="90"/>
    </row>
    <row r="34" spans="1:41" ht="48.75" customHeight="1">
      <c r="A34" s="465" t="str">
        <f>A30</f>
        <v>Soportar al 100% la implementación de las políticas del Modelo Integrado de Planeación y Gestión</v>
      </c>
      <c r="B34" s="606">
        <f>+AC17</f>
        <v>0.12</v>
      </c>
      <c r="C34" s="93" t="s">
        <v>9</v>
      </c>
      <c r="D34" s="177">
        <f>+(D38*($B$38/$B$34))+(D40*($B$40/$B$34))+(D42*($B$42/$B$34))</f>
        <v>0.05666666666666667</v>
      </c>
      <c r="E34" s="177">
        <f aca="true" t="shared" si="0" ref="E34:O34">+(E38*($B$38/$B$34))+(E40*($B$40/$B$34))+(E42*($B$42/$B$34))</f>
        <v>0.1</v>
      </c>
      <c r="F34" s="177">
        <f t="shared" si="0"/>
        <v>0.08</v>
      </c>
      <c r="G34" s="177">
        <f t="shared" si="0"/>
        <v>0.09083333333333335</v>
      </c>
      <c r="H34" s="177">
        <f t="shared" si="0"/>
        <v>0.07666666666666666</v>
      </c>
      <c r="I34" s="177">
        <f t="shared" si="0"/>
        <v>0.07666666666666666</v>
      </c>
      <c r="J34" s="177">
        <f t="shared" si="0"/>
        <v>0.08916666666666667</v>
      </c>
      <c r="K34" s="177">
        <f>+(K38*($B$38/$B$34))+(K40*($B$40/$B$34))+(K42*($B$42/$B$34))</f>
        <v>0.09833333333333333</v>
      </c>
      <c r="L34" s="177">
        <f t="shared" si="0"/>
        <v>0.08</v>
      </c>
      <c r="M34" s="177">
        <f t="shared" si="0"/>
        <v>0.0875</v>
      </c>
      <c r="N34" s="177">
        <f t="shared" si="0"/>
        <v>0.08</v>
      </c>
      <c r="O34" s="177">
        <f t="shared" si="0"/>
        <v>0.08416666666666667</v>
      </c>
      <c r="P34" s="177">
        <f>SUM(D34:O34)</f>
        <v>1</v>
      </c>
      <c r="Q34" s="650" t="s">
        <v>794</v>
      </c>
      <c r="R34" s="651"/>
      <c r="S34" s="651"/>
      <c r="T34" s="651"/>
      <c r="U34" s="651"/>
      <c r="V34" s="652"/>
      <c r="W34" s="650"/>
      <c r="X34" s="651"/>
      <c r="Y34" s="651"/>
      <c r="Z34" s="652"/>
      <c r="AA34" s="650" t="s">
        <v>795</v>
      </c>
      <c r="AB34" s="651"/>
      <c r="AC34" s="651"/>
      <c r="AD34" s="656"/>
      <c r="AG34" s="90"/>
      <c r="AH34" s="90"/>
      <c r="AI34" s="90"/>
      <c r="AJ34" s="90"/>
      <c r="AK34" s="90"/>
      <c r="AL34" s="90"/>
      <c r="AM34" s="90"/>
      <c r="AN34" s="90"/>
      <c r="AO34" s="90"/>
    </row>
    <row r="35" spans="1:41" ht="48.75" customHeight="1" thickBot="1">
      <c r="A35" s="466"/>
      <c r="B35" s="607"/>
      <c r="C35" s="94" t="s">
        <v>10</v>
      </c>
      <c r="D35" s="273">
        <f>+(D39*($B$38/$B$34))+(D41*($B$40/$B$34))+(D43*($B$42/$B$34))</f>
        <v>0.05666666666666667</v>
      </c>
      <c r="E35" s="273">
        <f aca="true" t="shared" si="1" ref="E35:K35">+(E39*($B$38/$B$34))+(E41*($B$40/$B$34))+(E43*($B$42/$B$34))</f>
        <v>0.1</v>
      </c>
      <c r="F35" s="273">
        <f t="shared" si="1"/>
        <v>0.08</v>
      </c>
      <c r="G35" s="273">
        <f t="shared" si="1"/>
        <v>0.09083333333333335</v>
      </c>
      <c r="H35" s="273">
        <f t="shared" si="1"/>
        <v>0.07666666666666666</v>
      </c>
      <c r="I35" s="273">
        <f t="shared" si="1"/>
        <v>0.07166666666666666</v>
      </c>
      <c r="J35" s="273">
        <f t="shared" si="1"/>
        <v>0.09416666666666668</v>
      </c>
      <c r="K35" s="273">
        <f t="shared" si="1"/>
        <v>0.09833333333333333</v>
      </c>
      <c r="L35" s="96"/>
      <c r="M35" s="96"/>
      <c r="N35" s="96"/>
      <c r="O35" s="96"/>
      <c r="P35" s="178">
        <f>SUM(D35:O35)</f>
        <v>0.6683333333333334</v>
      </c>
      <c r="Q35" s="653"/>
      <c r="R35" s="654"/>
      <c r="S35" s="654"/>
      <c r="T35" s="654"/>
      <c r="U35" s="654"/>
      <c r="V35" s="655"/>
      <c r="W35" s="653"/>
      <c r="X35" s="654"/>
      <c r="Y35" s="654"/>
      <c r="Z35" s="655"/>
      <c r="AA35" s="653"/>
      <c r="AB35" s="654"/>
      <c r="AC35" s="654"/>
      <c r="AD35" s="657"/>
      <c r="AE35" s="50"/>
      <c r="AF35" s="97"/>
      <c r="AG35" s="90"/>
      <c r="AH35" s="90"/>
      <c r="AI35" s="90"/>
      <c r="AJ35" s="90"/>
      <c r="AK35" s="90"/>
      <c r="AL35" s="90"/>
      <c r="AM35" s="90"/>
      <c r="AN35" s="90"/>
      <c r="AO35" s="90"/>
    </row>
    <row r="36" spans="1:41" ht="25.5" customHeight="1">
      <c r="A36" s="442" t="s">
        <v>192</v>
      </c>
      <c r="B36" s="444" t="s">
        <v>61</v>
      </c>
      <c r="C36" s="446" t="s">
        <v>11</v>
      </c>
      <c r="D36" s="446"/>
      <c r="E36" s="446"/>
      <c r="F36" s="446"/>
      <c r="G36" s="446"/>
      <c r="H36" s="446"/>
      <c r="I36" s="446"/>
      <c r="J36" s="446"/>
      <c r="K36" s="446"/>
      <c r="L36" s="446"/>
      <c r="M36" s="446"/>
      <c r="N36" s="446"/>
      <c r="O36" s="446"/>
      <c r="P36" s="446"/>
      <c r="Q36" s="658" t="s">
        <v>78</v>
      </c>
      <c r="R36" s="448"/>
      <c r="S36" s="448"/>
      <c r="T36" s="448"/>
      <c r="U36" s="448"/>
      <c r="V36" s="448"/>
      <c r="W36" s="448"/>
      <c r="X36" s="448"/>
      <c r="Y36" s="448"/>
      <c r="Z36" s="448"/>
      <c r="AA36" s="448"/>
      <c r="AB36" s="448"/>
      <c r="AC36" s="448"/>
      <c r="AD36" s="449"/>
      <c r="AG36" s="90"/>
      <c r="AH36" s="90"/>
      <c r="AI36" s="90"/>
      <c r="AJ36" s="90"/>
      <c r="AK36" s="90"/>
      <c r="AL36" s="90"/>
      <c r="AM36" s="90"/>
      <c r="AN36" s="90"/>
      <c r="AO36" s="90"/>
    </row>
    <row r="37" spans="1:41" ht="25.5" customHeight="1">
      <c r="A37" s="443"/>
      <c r="B37" s="445"/>
      <c r="C37" s="339" t="s">
        <v>12</v>
      </c>
      <c r="D37" s="339" t="s">
        <v>36</v>
      </c>
      <c r="E37" s="339" t="s">
        <v>37</v>
      </c>
      <c r="F37" s="339" t="s">
        <v>38</v>
      </c>
      <c r="G37" s="339" t="s">
        <v>51</v>
      </c>
      <c r="H37" s="339" t="s">
        <v>52</v>
      </c>
      <c r="I37" s="339" t="s">
        <v>53</v>
      </c>
      <c r="J37" s="339" t="s">
        <v>54</v>
      </c>
      <c r="K37" s="339" t="s">
        <v>55</v>
      </c>
      <c r="L37" s="339" t="s">
        <v>56</v>
      </c>
      <c r="M37" s="339" t="s">
        <v>57</v>
      </c>
      <c r="N37" s="339" t="s">
        <v>58</v>
      </c>
      <c r="O37" s="339" t="s">
        <v>59</v>
      </c>
      <c r="P37" s="339" t="s">
        <v>63</v>
      </c>
      <c r="Q37" s="496" t="s">
        <v>83</v>
      </c>
      <c r="R37" s="451"/>
      <c r="S37" s="451"/>
      <c r="T37" s="451"/>
      <c r="U37" s="451"/>
      <c r="V37" s="451"/>
      <c r="W37" s="451"/>
      <c r="X37" s="451"/>
      <c r="Y37" s="451"/>
      <c r="Z37" s="451"/>
      <c r="AA37" s="451"/>
      <c r="AB37" s="451"/>
      <c r="AC37" s="451"/>
      <c r="AD37" s="452"/>
      <c r="AG37" s="98"/>
      <c r="AH37" s="98"/>
      <c r="AI37" s="98"/>
      <c r="AJ37" s="98"/>
      <c r="AK37" s="98"/>
      <c r="AL37" s="98"/>
      <c r="AM37" s="98"/>
      <c r="AN37" s="98"/>
      <c r="AO37" s="98"/>
    </row>
    <row r="38" spans="1:41" ht="69" customHeight="1">
      <c r="A38" s="453" t="s">
        <v>428</v>
      </c>
      <c r="B38" s="455">
        <v>0.05</v>
      </c>
      <c r="C38" s="93" t="s">
        <v>9</v>
      </c>
      <c r="D38" s="239">
        <v>0.03</v>
      </c>
      <c r="E38" s="239">
        <v>0.08</v>
      </c>
      <c r="F38" s="239">
        <v>0.1</v>
      </c>
      <c r="G38" s="239">
        <v>0.1</v>
      </c>
      <c r="H38" s="239">
        <v>0.08</v>
      </c>
      <c r="I38" s="239">
        <v>0.08</v>
      </c>
      <c r="J38" s="239">
        <v>0.1</v>
      </c>
      <c r="K38" s="239">
        <v>0.1</v>
      </c>
      <c r="L38" s="239">
        <v>0.08</v>
      </c>
      <c r="M38" s="239">
        <v>0.08</v>
      </c>
      <c r="N38" s="239">
        <v>0.08</v>
      </c>
      <c r="O38" s="239">
        <v>0.09</v>
      </c>
      <c r="P38" s="177">
        <f aca="true" t="shared" si="2" ref="P38:P43">SUM(D38:O38)</f>
        <v>0.9999999999999999</v>
      </c>
      <c r="Q38" s="636" t="s">
        <v>796</v>
      </c>
      <c r="R38" s="637"/>
      <c r="S38" s="637"/>
      <c r="T38" s="637"/>
      <c r="U38" s="637"/>
      <c r="V38" s="637"/>
      <c r="W38" s="637"/>
      <c r="X38" s="637"/>
      <c r="Y38" s="637"/>
      <c r="Z38" s="637"/>
      <c r="AA38" s="637"/>
      <c r="AB38" s="637"/>
      <c r="AC38" s="637"/>
      <c r="AD38" s="638"/>
      <c r="AE38" s="101"/>
      <c r="AG38" s="102"/>
      <c r="AH38" s="102"/>
      <c r="AI38" s="102"/>
      <c r="AJ38" s="102"/>
      <c r="AK38" s="102"/>
      <c r="AL38" s="102"/>
      <c r="AM38" s="102"/>
      <c r="AN38" s="102"/>
      <c r="AO38" s="102"/>
    </row>
    <row r="39" spans="1:31" ht="69" customHeight="1">
      <c r="A39" s="454"/>
      <c r="B39" s="427"/>
      <c r="C39" s="103" t="s">
        <v>10</v>
      </c>
      <c r="D39" s="104">
        <v>0.03</v>
      </c>
      <c r="E39" s="104">
        <v>0.08</v>
      </c>
      <c r="F39" s="104">
        <v>0.1</v>
      </c>
      <c r="G39" s="104">
        <v>0.1</v>
      </c>
      <c r="H39" s="104">
        <v>0.08</v>
      </c>
      <c r="I39" s="104">
        <v>0.08</v>
      </c>
      <c r="J39" s="104">
        <v>0.1</v>
      </c>
      <c r="K39" s="104">
        <v>0.1</v>
      </c>
      <c r="L39" s="104"/>
      <c r="M39" s="104"/>
      <c r="N39" s="104"/>
      <c r="O39" s="104"/>
      <c r="P39" s="105">
        <f t="shared" si="2"/>
        <v>0.67</v>
      </c>
      <c r="Q39" s="659"/>
      <c r="R39" s="660"/>
      <c r="S39" s="660"/>
      <c r="T39" s="660"/>
      <c r="U39" s="660"/>
      <c r="V39" s="660"/>
      <c r="W39" s="660"/>
      <c r="X39" s="660"/>
      <c r="Y39" s="660"/>
      <c r="Z39" s="660"/>
      <c r="AA39" s="660"/>
      <c r="AB39" s="660"/>
      <c r="AC39" s="660"/>
      <c r="AD39" s="661"/>
      <c r="AE39" s="101"/>
    </row>
    <row r="40" spans="1:31" ht="84" customHeight="1">
      <c r="A40" s="454" t="s">
        <v>448</v>
      </c>
      <c r="B40" s="426">
        <v>0.02</v>
      </c>
      <c r="C40" s="106" t="s">
        <v>9</v>
      </c>
      <c r="D40" s="107">
        <v>0.04</v>
      </c>
      <c r="E40" s="107">
        <v>0.2</v>
      </c>
      <c r="F40" s="107">
        <v>0.03</v>
      </c>
      <c r="G40" s="107">
        <v>0.07</v>
      </c>
      <c r="H40" s="107">
        <v>0.06</v>
      </c>
      <c r="I40" s="107">
        <v>0.06</v>
      </c>
      <c r="J40" s="107">
        <v>0.06</v>
      </c>
      <c r="K40" s="107">
        <v>0.14</v>
      </c>
      <c r="L40" s="107">
        <v>0.08</v>
      </c>
      <c r="M40" s="107">
        <v>0.1</v>
      </c>
      <c r="N40" s="107">
        <v>0.08</v>
      </c>
      <c r="O40" s="107">
        <v>0.08</v>
      </c>
      <c r="P40" s="105">
        <f t="shared" si="2"/>
        <v>0.9999999999999999</v>
      </c>
      <c r="Q40" s="662" t="s">
        <v>880</v>
      </c>
      <c r="R40" s="663"/>
      <c r="S40" s="663"/>
      <c r="T40" s="663"/>
      <c r="U40" s="663"/>
      <c r="V40" s="663"/>
      <c r="W40" s="663"/>
      <c r="X40" s="663"/>
      <c r="Y40" s="663"/>
      <c r="Z40" s="663"/>
      <c r="AA40" s="663"/>
      <c r="AB40" s="663"/>
      <c r="AC40" s="663"/>
      <c r="AD40" s="664"/>
      <c r="AE40" s="101"/>
    </row>
    <row r="41" spans="1:31" ht="69" customHeight="1">
      <c r="A41" s="454"/>
      <c r="B41" s="427"/>
      <c r="C41" s="103" t="s">
        <v>10</v>
      </c>
      <c r="D41" s="104">
        <v>0.04</v>
      </c>
      <c r="E41" s="104">
        <v>0.2</v>
      </c>
      <c r="F41" s="104">
        <v>0.03</v>
      </c>
      <c r="G41" s="104">
        <v>0.07</v>
      </c>
      <c r="H41" s="104">
        <v>0.06</v>
      </c>
      <c r="I41" s="104">
        <v>0.03</v>
      </c>
      <c r="J41" s="104">
        <v>0.09</v>
      </c>
      <c r="K41" s="104">
        <v>0.14</v>
      </c>
      <c r="L41" s="108"/>
      <c r="M41" s="108"/>
      <c r="N41" s="108"/>
      <c r="O41" s="108"/>
      <c r="P41" s="105">
        <f t="shared" si="2"/>
        <v>0.66</v>
      </c>
      <c r="Q41" s="665"/>
      <c r="R41" s="666"/>
      <c r="S41" s="666"/>
      <c r="T41" s="666"/>
      <c r="U41" s="666"/>
      <c r="V41" s="666"/>
      <c r="W41" s="666"/>
      <c r="X41" s="666"/>
      <c r="Y41" s="666"/>
      <c r="Z41" s="666"/>
      <c r="AA41" s="666"/>
      <c r="AB41" s="666"/>
      <c r="AC41" s="666"/>
      <c r="AD41" s="667"/>
      <c r="AE41" s="101"/>
    </row>
    <row r="42" spans="1:31" ht="69" customHeight="1">
      <c r="A42" s="668" t="s">
        <v>447</v>
      </c>
      <c r="B42" s="426">
        <v>0.05</v>
      </c>
      <c r="C42" s="106" t="s">
        <v>9</v>
      </c>
      <c r="D42" s="107">
        <v>0.09</v>
      </c>
      <c r="E42" s="107">
        <v>0.08</v>
      </c>
      <c r="F42" s="107">
        <v>0.08</v>
      </c>
      <c r="G42" s="107">
        <v>0.09</v>
      </c>
      <c r="H42" s="107">
        <v>0.08</v>
      </c>
      <c r="I42" s="107">
        <v>0.08</v>
      </c>
      <c r="J42" s="107">
        <v>0.09</v>
      </c>
      <c r="K42" s="107">
        <v>0.08</v>
      </c>
      <c r="L42" s="107">
        <v>0.08</v>
      </c>
      <c r="M42" s="107">
        <v>0.09</v>
      </c>
      <c r="N42" s="107">
        <v>0.08</v>
      </c>
      <c r="O42" s="107">
        <v>0.08</v>
      </c>
      <c r="P42" s="105">
        <f t="shared" si="2"/>
        <v>0.9999999999999998</v>
      </c>
      <c r="Q42" s="436" t="s">
        <v>893</v>
      </c>
      <c r="R42" s="437"/>
      <c r="S42" s="437"/>
      <c r="T42" s="437"/>
      <c r="U42" s="437"/>
      <c r="V42" s="437"/>
      <c r="W42" s="437"/>
      <c r="X42" s="437"/>
      <c r="Y42" s="437"/>
      <c r="Z42" s="437"/>
      <c r="AA42" s="437"/>
      <c r="AB42" s="437"/>
      <c r="AC42" s="437"/>
      <c r="AD42" s="438"/>
      <c r="AE42" s="101"/>
    </row>
    <row r="43" spans="1:31" ht="69" customHeight="1" thickBot="1">
      <c r="A43" s="669"/>
      <c r="B43" s="670"/>
      <c r="C43" s="94" t="s">
        <v>10</v>
      </c>
      <c r="D43" s="110">
        <v>0.09</v>
      </c>
      <c r="E43" s="110">
        <v>0.08</v>
      </c>
      <c r="F43" s="110">
        <v>0.08</v>
      </c>
      <c r="G43" s="344">
        <v>0.09</v>
      </c>
      <c r="H43" s="110">
        <v>0.08</v>
      </c>
      <c r="I43" s="110">
        <v>0.08</v>
      </c>
      <c r="J43" s="110">
        <v>0.09</v>
      </c>
      <c r="K43" s="110">
        <v>0.08</v>
      </c>
      <c r="L43" s="111"/>
      <c r="M43" s="111"/>
      <c r="N43" s="111"/>
      <c r="O43" s="111"/>
      <c r="P43" s="112">
        <f t="shared" si="2"/>
        <v>0.6699999999999999</v>
      </c>
      <c r="Q43" s="671"/>
      <c r="R43" s="672"/>
      <c r="S43" s="672"/>
      <c r="T43" s="672"/>
      <c r="U43" s="672"/>
      <c r="V43" s="672"/>
      <c r="W43" s="672"/>
      <c r="X43" s="672"/>
      <c r="Y43" s="672"/>
      <c r="Z43" s="672"/>
      <c r="AA43" s="672"/>
      <c r="AB43" s="672"/>
      <c r="AC43" s="672"/>
      <c r="AD43" s="673"/>
      <c r="AE43" s="101"/>
    </row>
    <row r="44" ht="15">
      <c r="A44" s="52" t="s">
        <v>295</v>
      </c>
    </row>
  </sheetData>
  <sheetProtection/>
  <mergeCells count="7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'Meta 3'!$C$21:$N$21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39 Q42: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O51"/>
  <sheetViews>
    <sheetView showGridLines="0" zoomScale="131" zoomScaleNormal="131" workbookViewId="0" topLeftCell="I30">
      <selection activeCell="P35" sqref="P35"/>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585"/>
      <c r="B1" s="588" t="s">
        <v>16</v>
      </c>
      <c r="C1" s="589"/>
      <c r="D1" s="589"/>
      <c r="E1" s="589"/>
      <c r="F1" s="589"/>
      <c r="G1" s="589"/>
      <c r="H1" s="589"/>
      <c r="I1" s="589"/>
      <c r="J1" s="589"/>
      <c r="K1" s="589"/>
      <c r="L1" s="589"/>
      <c r="M1" s="589"/>
      <c r="N1" s="589"/>
      <c r="O1" s="589"/>
      <c r="P1" s="589"/>
      <c r="Q1" s="589"/>
      <c r="R1" s="589"/>
      <c r="S1" s="589"/>
      <c r="T1" s="589"/>
      <c r="U1" s="589"/>
      <c r="V1" s="589"/>
      <c r="W1" s="589"/>
      <c r="X1" s="589"/>
      <c r="Y1" s="589"/>
      <c r="Z1" s="589"/>
      <c r="AA1" s="590"/>
      <c r="AB1" s="591" t="s">
        <v>18</v>
      </c>
      <c r="AC1" s="592"/>
      <c r="AD1" s="593"/>
    </row>
    <row r="2" spans="1:30" ht="30.75" customHeight="1">
      <c r="A2" s="586"/>
      <c r="B2" s="594" t="s">
        <v>17</v>
      </c>
      <c r="C2" s="595"/>
      <c r="D2" s="595"/>
      <c r="E2" s="595"/>
      <c r="F2" s="595"/>
      <c r="G2" s="595"/>
      <c r="H2" s="595"/>
      <c r="I2" s="595"/>
      <c r="J2" s="595"/>
      <c r="K2" s="595"/>
      <c r="L2" s="595"/>
      <c r="M2" s="595"/>
      <c r="N2" s="595"/>
      <c r="O2" s="595"/>
      <c r="P2" s="595"/>
      <c r="Q2" s="595"/>
      <c r="R2" s="595"/>
      <c r="S2" s="595"/>
      <c r="T2" s="595"/>
      <c r="U2" s="595"/>
      <c r="V2" s="595"/>
      <c r="W2" s="595"/>
      <c r="X2" s="595"/>
      <c r="Y2" s="595"/>
      <c r="Z2" s="595"/>
      <c r="AA2" s="596"/>
      <c r="AB2" s="597" t="s">
        <v>405</v>
      </c>
      <c r="AC2" s="598"/>
      <c r="AD2" s="599"/>
    </row>
    <row r="3" spans="1:30" ht="24" customHeight="1">
      <c r="A3" s="586"/>
      <c r="B3" s="600" t="s">
        <v>296</v>
      </c>
      <c r="C3" s="601"/>
      <c r="D3" s="601"/>
      <c r="E3" s="601"/>
      <c r="F3" s="601"/>
      <c r="G3" s="601"/>
      <c r="H3" s="601"/>
      <c r="I3" s="601"/>
      <c r="J3" s="601"/>
      <c r="K3" s="601"/>
      <c r="L3" s="601"/>
      <c r="M3" s="601"/>
      <c r="N3" s="601"/>
      <c r="O3" s="601"/>
      <c r="P3" s="601"/>
      <c r="Q3" s="601"/>
      <c r="R3" s="601"/>
      <c r="S3" s="601"/>
      <c r="T3" s="601"/>
      <c r="U3" s="601"/>
      <c r="V3" s="601"/>
      <c r="W3" s="601"/>
      <c r="X3" s="601"/>
      <c r="Y3" s="601"/>
      <c r="Z3" s="601"/>
      <c r="AA3" s="602"/>
      <c r="AB3" s="597" t="s">
        <v>404</v>
      </c>
      <c r="AC3" s="598"/>
      <c r="AD3" s="599"/>
    </row>
    <row r="4" spans="1:30" ht="21.75" customHeight="1" thickBot="1">
      <c r="A4" s="587"/>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5"/>
      <c r="AB4" s="574" t="s">
        <v>176</v>
      </c>
      <c r="AC4" s="575"/>
      <c r="AD4" s="576"/>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546" t="s">
        <v>294</v>
      </c>
      <c r="B7" s="547"/>
      <c r="C7" s="552" t="s">
        <v>46</v>
      </c>
      <c r="D7" s="531" t="s">
        <v>71</v>
      </c>
      <c r="E7" s="555"/>
      <c r="F7" s="555"/>
      <c r="G7" s="555"/>
      <c r="H7" s="532"/>
      <c r="I7" s="577">
        <v>44809</v>
      </c>
      <c r="J7" s="578"/>
      <c r="K7" s="531" t="s">
        <v>67</v>
      </c>
      <c r="L7" s="532"/>
      <c r="M7" s="583" t="s">
        <v>70</v>
      </c>
      <c r="N7" s="584"/>
      <c r="O7" s="564"/>
      <c r="P7" s="565"/>
      <c r="Q7" s="56"/>
      <c r="R7" s="56"/>
      <c r="S7" s="56"/>
      <c r="T7" s="56"/>
      <c r="U7" s="56"/>
      <c r="V7" s="56"/>
      <c r="W7" s="56"/>
      <c r="X7" s="56"/>
      <c r="Y7" s="56"/>
      <c r="Z7" s="57"/>
      <c r="AA7" s="56"/>
      <c r="AB7" s="56"/>
      <c r="AC7" s="62"/>
      <c r="AD7" s="63"/>
    </row>
    <row r="8" spans="1:30" ht="15" customHeight="1">
      <c r="A8" s="548"/>
      <c r="B8" s="549"/>
      <c r="C8" s="553"/>
      <c r="D8" s="533"/>
      <c r="E8" s="556"/>
      <c r="F8" s="556"/>
      <c r="G8" s="556"/>
      <c r="H8" s="534"/>
      <c r="I8" s="579"/>
      <c r="J8" s="580"/>
      <c r="K8" s="533"/>
      <c r="L8" s="534"/>
      <c r="M8" s="566" t="s">
        <v>68</v>
      </c>
      <c r="N8" s="567"/>
      <c r="O8" s="568"/>
      <c r="P8" s="569"/>
      <c r="Q8" s="56"/>
      <c r="R8" s="56"/>
      <c r="S8" s="56"/>
      <c r="T8" s="56"/>
      <c r="U8" s="56"/>
      <c r="V8" s="56"/>
      <c r="W8" s="56"/>
      <c r="X8" s="56"/>
      <c r="Y8" s="56"/>
      <c r="Z8" s="57"/>
      <c r="AA8" s="56"/>
      <c r="AB8" s="56"/>
      <c r="AC8" s="62"/>
      <c r="AD8" s="63"/>
    </row>
    <row r="9" spans="1:30" ht="15.75" customHeight="1" thickBot="1">
      <c r="A9" s="550"/>
      <c r="B9" s="551"/>
      <c r="C9" s="554"/>
      <c r="D9" s="535"/>
      <c r="E9" s="557"/>
      <c r="F9" s="557"/>
      <c r="G9" s="557"/>
      <c r="H9" s="536"/>
      <c r="I9" s="581"/>
      <c r="J9" s="582"/>
      <c r="K9" s="535"/>
      <c r="L9" s="536"/>
      <c r="M9" s="570" t="s">
        <v>69</v>
      </c>
      <c r="N9" s="571"/>
      <c r="O9" s="572" t="s">
        <v>635</v>
      </c>
      <c r="P9" s="57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1" t="s">
        <v>0</v>
      </c>
      <c r="B11" s="532"/>
      <c r="C11" s="537" t="s">
        <v>412</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c r="A12" s="533"/>
      <c r="B12" s="534"/>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c r="A13" s="535"/>
      <c r="B13" s="536"/>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22" t="s">
        <v>77</v>
      </c>
      <c r="B15" s="523"/>
      <c r="C15" s="518" t="s">
        <v>413</v>
      </c>
      <c r="D15" s="519"/>
      <c r="E15" s="519"/>
      <c r="F15" s="519"/>
      <c r="G15" s="519"/>
      <c r="H15" s="519"/>
      <c r="I15" s="519"/>
      <c r="J15" s="519"/>
      <c r="K15" s="520"/>
      <c r="L15" s="558" t="s">
        <v>73</v>
      </c>
      <c r="M15" s="559"/>
      <c r="N15" s="559"/>
      <c r="O15" s="559"/>
      <c r="P15" s="559"/>
      <c r="Q15" s="560"/>
      <c r="R15" s="561" t="s">
        <v>415</v>
      </c>
      <c r="S15" s="562"/>
      <c r="T15" s="562"/>
      <c r="U15" s="562"/>
      <c r="V15" s="562"/>
      <c r="W15" s="562"/>
      <c r="X15" s="563"/>
      <c r="Y15" s="558" t="s">
        <v>72</v>
      </c>
      <c r="Z15" s="560"/>
      <c r="AA15" s="518" t="s">
        <v>417</v>
      </c>
      <c r="AB15" s="519"/>
      <c r="AC15" s="519"/>
      <c r="AD15" s="520"/>
    </row>
    <row r="16" spans="1:30" ht="9" customHeight="1" thickBot="1">
      <c r="A16" s="61"/>
      <c r="B16" s="56"/>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75"/>
      <c r="AD16" s="76"/>
    </row>
    <row r="17" spans="1:30" s="78" customFormat="1" ht="37.5" customHeight="1" thickBot="1">
      <c r="A17" s="522" t="s">
        <v>79</v>
      </c>
      <c r="B17" s="523"/>
      <c r="C17" s="524" t="s">
        <v>419</v>
      </c>
      <c r="D17" s="525"/>
      <c r="E17" s="525"/>
      <c r="F17" s="525"/>
      <c r="G17" s="525"/>
      <c r="H17" s="525"/>
      <c r="I17" s="525"/>
      <c r="J17" s="525"/>
      <c r="K17" s="525"/>
      <c r="L17" s="525"/>
      <c r="M17" s="525"/>
      <c r="N17" s="525"/>
      <c r="O17" s="525"/>
      <c r="P17" s="525"/>
      <c r="Q17" s="526"/>
      <c r="R17" s="509" t="s">
        <v>378</v>
      </c>
      <c r="S17" s="510"/>
      <c r="T17" s="510"/>
      <c r="U17" s="510"/>
      <c r="V17" s="511"/>
      <c r="W17" s="527">
        <v>0.6</v>
      </c>
      <c r="X17" s="528"/>
      <c r="Y17" s="510" t="s">
        <v>15</v>
      </c>
      <c r="Z17" s="510"/>
      <c r="AA17" s="510"/>
      <c r="AB17" s="511"/>
      <c r="AC17" s="529">
        <v>0.09</v>
      </c>
      <c r="AD17" s="5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09" t="s">
        <v>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1"/>
      <c r="AE19" s="86"/>
      <c r="AF19" s="86"/>
    </row>
    <row r="20" spans="1:32" ht="31.5" customHeight="1" thickBot="1">
      <c r="A20" s="85"/>
      <c r="B20" s="62"/>
      <c r="C20" s="512" t="s">
        <v>380</v>
      </c>
      <c r="D20" s="513"/>
      <c r="E20" s="513"/>
      <c r="F20" s="513"/>
      <c r="G20" s="513"/>
      <c r="H20" s="513"/>
      <c r="I20" s="513"/>
      <c r="J20" s="513"/>
      <c r="K20" s="513"/>
      <c r="L20" s="513"/>
      <c r="M20" s="513"/>
      <c r="N20" s="513"/>
      <c r="O20" s="513"/>
      <c r="P20" s="514"/>
      <c r="Q20" s="515" t="s">
        <v>381</v>
      </c>
      <c r="R20" s="516"/>
      <c r="S20" s="516"/>
      <c r="T20" s="516"/>
      <c r="U20" s="516"/>
      <c r="V20" s="516"/>
      <c r="W20" s="516"/>
      <c r="X20" s="516"/>
      <c r="Y20" s="516"/>
      <c r="Z20" s="516"/>
      <c r="AA20" s="516"/>
      <c r="AB20" s="516"/>
      <c r="AC20" s="516"/>
      <c r="AD20" s="517"/>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442" t="s">
        <v>382</v>
      </c>
      <c r="B22" s="447"/>
      <c r="C22" s="197">
        <f>+SPI!A16</f>
        <v>2200000</v>
      </c>
      <c r="D22" s="195"/>
      <c r="E22" s="195"/>
      <c r="F22" s="195"/>
      <c r="G22" s="195"/>
      <c r="H22" s="195">
        <v>-2200000</v>
      </c>
      <c r="I22" s="195"/>
      <c r="J22" s="195"/>
      <c r="K22" s="195"/>
      <c r="L22" s="195"/>
      <c r="M22" s="195"/>
      <c r="N22" s="195"/>
      <c r="O22" s="195">
        <f>SUM(C22:N22)</f>
        <v>0</v>
      </c>
      <c r="P22" s="198"/>
      <c r="Q22" s="197">
        <v>711955832</v>
      </c>
      <c r="R22" s="195">
        <v>172295301</v>
      </c>
      <c r="S22" s="195">
        <v>61000000</v>
      </c>
      <c r="T22" s="195">
        <v>16602000</v>
      </c>
      <c r="U22" s="195"/>
      <c r="V22" s="195">
        <v>62764884</v>
      </c>
      <c r="W22" s="195"/>
      <c r="X22" s="195"/>
      <c r="Y22" s="195"/>
      <c r="Z22" s="195"/>
      <c r="AA22" s="195"/>
      <c r="AB22" s="195"/>
      <c r="AC22" s="195">
        <f>SUM(Q22:AB22)</f>
        <v>1024618017</v>
      </c>
      <c r="AD22" s="202"/>
      <c r="AE22" s="4"/>
      <c r="AF22" s="223"/>
      <c r="AG22" s="97"/>
    </row>
    <row r="23" spans="1:32" ht="31.5" customHeight="1">
      <c r="A23" s="443" t="s">
        <v>383</v>
      </c>
      <c r="B23" s="450"/>
      <c r="C23" s="192">
        <v>2200000</v>
      </c>
      <c r="D23" s="191"/>
      <c r="E23" s="191"/>
      <c r="F23" s="191">
        <v>-2200000</v>
      </c>
      <c r="G23" s="191"/>
      <c r="H23" s="191"/>
      <c r="I23" s="191"/>
      <c r="J23" s="191"/>
      <c r="K23" s="191"/>
      <c r="L23" s="191"/>
      <c r="M23" s="191"/>
      <c r="N23" s="191"/>
      <c r="O23" s="191">
        <f>SUM(C23:N23)</f>
        <v>0</v>
      </c>
      <c r="P23" s="212">
        <v>1</v>
      </c>
      <c r="Q23" s="192">
        <v>683555832</v>
      </c>
      <c r="R23" s="237">
        <f>683555832-Q23</f>
        <v>0</v>
      </c>
      <c r="S23" s="237">
        <v>20550818</v>
      </c>
      <c r="T23" s="191">
        <f>+SPI!I7</f>
        <v>14856240</v>
      </c>
      <c r="U23" s="191">
        <f>+SPI!K7</f>
        <v>0</v>
      </c>
      <c r="V23" s="237">
        <f>+SPI!M7</f>
        <v>0</v>
      </c>
      <c r="W23" s="191">
        <f>+'SPI corr'!O7</f>
        <v>88339872</v>
      </c>
      <c r="X23" s="191">
        <f>+'SPI corr'!Q7</f>
        <v>8882055</v>
      </c>
      <c r="Y23" s="191"/>
      <c r="Z23" s="191"/>
      <c r="AA23" s="191"/>
      <c r="AB23" s="191"/>
      <c r="AC23" s="195">
        <f>SUM(Q23:AB23)</f>
        <v>816184817</v>
      </c>
      <c r="AD23" s="200">
        <f>+AC23/AC22</f>
        <v>0.7965747268330535</v>
      </c>
      <c r="AE23" s="4"/>
      <c r="AF23" s="4"/>
    </row>
    <row r="24" spans="1:32" ht="31.5" customHeight="1">
      <c r="A24" s="443" t="s">
        <v>384</v>
      </c>
      <c r="B24" s="450"/>
      <c r="C24" s="192"/>
      <c r="D24" s="191"/>
      <c r="E24" s="191"/>
      <c r="F24" s="191"/>
      <c r="G24" s="191"/>
      <c r="H24" s="191"/>
      <c r="I24" s="191"/>
      <c r="J24" s="191"/>
      <c r="K24" s="191"/>
      <c r="L24" s="191"/>
      <c r="M24" s="191"/>
      <c r="N24" s="191"/>
      <c r="O24" s="191">
        <f>SUM(C24:N24)</f>
        <v>0</v>
      </c>
      <c r="P24" s="196"/>
      <c r="Q24" s="192"/>
      <c r="R24" s="191">
        <v>52620832</v>
      </c>
      <c r="S24" s="191">
        <v>62285000</v>
      </c>
      <c r="T24" s="191">
        <v>62285000</v>
      </c>
      <c r="U24" s="191">
        <v>132285000</v>
      </c>
      <c r="V24" s="237">
        <v>62285000</v>
      </c>
      <c r="W24" s="191">
        <v>236682301</v>
      </c>
      <c r="X24" s="191">
        <v>73945814</v>
      </c>
      <c r="Y24" s="191">
        <v>68445814</v>
      </c>
      <c r="Z24" s="191">
        <v>68445814</v>
      </c>
      <c r="AA24" s="191">
        <v>78906628</v>
      </c>
      <c r="AB24" s="191">
        <v>126430814</v>
      </c>
      <c r="AC24" s="195">
        <f>SUM(Q24:AB24)</f>
        <v>1024618017</v>
      </c>
      <c r="AD24" s="200"/>
      <c r="AE24" s="4"/>
      <c r="AF24" s="4"/>
    </row>
    <row r="25" spans="1:32" ht="31.5" customHeight="1" thickBot="1">
      <c r="A25" s="498" t="s">
        <v>385</v>
      </c>
      <c r="B25" s="499"/>
      <c r="C25" s="193"/>
      <c r="D25" s="194"/>
      <c r="E25" s="194"/>
      <c r="F25" s="194"/>
      <c r="G25" s="194">
        <f>+SPI!L16</f>
        <v>0</v>
      </c>
      <c r="H25" s="194"/>
      <c r="I25" s="194"/>
      <c r="J25" s="194"/>
      <c r="K25" s="194"/>
      <c r="L25" s="194"/>
      <c r="M25" s="194"/>
      <c r="N25" s="194"/>
      <c r="O25" s="194">
        <f>SUM(C25:N25)</f>
        <v>0</v>
      </c>
      <c r="P25" s="199" t="str">
        <f>_xlfn.IFERROR(O25/(SUMIF(C25:N25,"&gt;0",C24:N24))," ")</f>
        <v> </v>
      </c>
      <c r="Q25" s="193"/>
      <c r="R25" s="309">
        <v>26927734</v>
      </c>
      <c r="S25" s="309">
        <v>59885000</v>
      </c>
      <c r="T25" s="194">
        <f>+SPI!J7</f>
        <v>55585000</v>
      </c>
      <c r="U25" s="194">
        <f>+SPI!L7</f>
        <v>64185000</v>
      </c>
      <c r="V25" s="309">
        <f>+SPI!N7</f>
        <v>55585000</v>
      </c>
      <c r="W25" s="194">
        <f>+'SPI corr'!P7</f>
        <v>78524976</v>
      </c>
      <c r="X25" s="194">
        <f>+'SPI corr'!R7</f>
        <v>111001461</v>
      </c>
      <c r="Y25" s="194"/>
      <c r="Z25" s="194"/>
      <c r="AA25" s="194"/>
      <c r="AB25" s="194"/>
      <c r="AC25" s="194">
        <f>SUM(Q25:AB25)</f>
        <v>451694171</v>
      </c>
      <c r="AD25" s="201">
        <f>+AC25/AC24</f>
        <v>0.44084152679895733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0" t="s">
        <v>76</v>
      </c>
      <c r="B27" s="501"/>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3"/>
    </row>
    <row r="28" spans="1:30" ht="15" customHeight="1">
      <c r="A28" s="504" t="s">
        <v>190</v>
      </c>
      <c r="B28" s="506" t="s">
        <v>6</v>
      </c>
      <c r="C28" s="507"/>
      <c r="D28" s="450" t="s">
        <v>402</v>
      </c>
      <c r="E28" s="451"/>
      <c r="F28" s="451"/>
      <c r="G28" s="451"/>
      <c r="H28" s="451"/>
      <c r="I28" s="451"/>
      <c r="J28" s="451"/>
      <c r="K28" s="451"/>
      <c r="L28" s="451"/>
      <c r="M28" s="451"/>
      <c r="N28" s="451"/>
      <c r="O28" s="508"/>
      <c r="P28" s="494" t="s">
        <v>8</v>
      </c>
      <c r="Q28" s="494" t="s">
        <v>84</v>
      </c>
      <c r="R28" s="494"/>
      <c r="S28" s="494"/>
      <c r="T28" s="494"/>
      <c r="U28" s="494"/>
      <c r="V28" s="494"/>
      <c r="W28" s="494"/>
      <c r="X28" s="494"/>
      <c r="Y28" s="494"/>
      <c r="Z28" s="494"/>
      <c r="AA28" s="494"/>
      <c r="AB28" s="494"/>
      <c r="AC28" s="494"/>
      <c r="AD28" s="496"/>
    </row>
    <row r="29" spans="1:30" ht="27" customHeight="1">
      <c r="A29" s="505"/>
      <c r="B29" s="462"/>
      <c r="C29" s="497"/>
      <c r="D29" s="219" t="s">
        <v>39</v>
      </c>
      <c r="E29" s="219" t="s">
        <v>40</v>
      </c>
      <c r="F29" s="219" t="s">
        <v>41</v>
      </c>
      <c r="G29" s="219" t="s">
        <v>42</v>
      </c>
      <c r="H29" s="219" t="s">
        <v>43</v>
      </c>
      <c r="I29" s="219" t="s">
        <v>44</v>
      </c>
      <c r="J29" s="219" t="s">
        <v>45</v>
      </c>
      <c r="K29" s="219" t="s">
        <v>46</v>
      </c>
      <c r="L29" s="219" t="s">
        <v>47</v>
      </c>
      <c r="M29" s="219" t="s">
        <v>48</v>
      </c>
      <c r="N29" s="219" t="s">
        <v>49</v>
      </c>
      <c r="O29" s="219" t="s">
        <v>50</v>
      </c>
      <c r="P29" s="508"/>
      <c r="Q29" s="494"/>
      <c r="R29" s="494"/>
      <c r="S29" s="494"/>
      <c r="T29" s="494"/>
      <c r="U29" s="494"/>
      <c r="V29" s="494"/>
      <c r="W29" s="494"/>
      <c r="X29" s="494"/>
      <c r="Y29" s="494"/>
      <c r="Z29" s="494"/>
      <c r="AA29" s="494"/>
      <c r="AB29" s="494"/>
      <c r="AC29" s="494"/>
      <c r="AD29" s="496"/>
    </row>
    <row r="30" spans="1:30" ht="61.5" customHeight="1" thickBot="1">
      <c r="A30" s="218" t="str">
        <f>C17</f>
        <v>Ejecutar al 90% la implementación de la Política de Gestión Documental institucional</v>
      </c>
      <c r="B30" s="487" t="s">
        <v>411</v>
      </c>
      <c r="C30" s="488"/>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489"/>
      <c r="R30" s="489"/>
      <c r="S30" s="489"/>
      <c r="T30" s="489"/>
      <c r="U30" s="489"/>
      <c r="V30" s="489"/>
      <c r="W30" s="489"/>
      <c r="X30" s="489"/>
      <c r="Y30" s="489"/>
      <c r="Z30" s="489"/>
      <c r="AA30" s="489"/>
      <c r="AB30" s="489"/>
      <c r="AC30" s="489"/>
      <c r="AD30" s="490"/>
    </row>
    <row r="31" spans="1:30" ht="45" customHeight="1">
      <c r="A31" s="491" t="s">
        <v>293</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3"/>
    </row>
    <row r="32" spans="1:41" ht="22.5" customHeight="1">
      <c r="A32" s="443" t="s">
        <v>191</v>
      </c>
      <c r="B32" s="494" t="s">
        <v>62</v>
      </c>
      <c r="C32" s="494" t="s">
        <v>6</v>
      </c>
      <c r="D32" s="494" t="s">
        <v>60</v>
      </c>
      <c r="E32" s="494"/>
      <c r="F32" s="494"/>
      <c r="G32" s="494"/>
      <c r="H32" s="494"/>
      <c r="I32" s="494"/>
      <c r="J32" s="494"/>
      <c r="K32" s="494"/>
      <c r="L32" s="494"/>
      <c r="M32" s="494"/>
      <c r="N32" s="494"/>
      <c r="O32" s="494"/>
      <c r="P32" s="494"/>
      <c r="Q32" s="494" t="s">
        <v>85</v>
      </c>
      <c r="R32" s="494"/>
      <c r="S32" s="494"/>
      <c r="T32" s="494"/>
      <c r="U32" s="494"/>
      <c r="V32" s="494"/>
      <c r="W32" s="494"/>
      <c r="X32" s="494"/>
      <c r="Y32" s="494"/>
      <c r="Z32" s="494"/>
      <c r="AA32" s="494"/>
      <c r="AB32" s="494"/>
      <c r="AC32" s="494"/>
      <c r="AD32" s="496"/>
      <c r="AG32" s="90"/>
      <c r="AH32" s="90"/>
      <c r="AI32" s="90"/>
      <c r="AJ32" s="90"/>
      <c r="AK32" s="90"/>
      <c r="AL32" s="90"/>
      <c r="AM32" s="90"/>
      <c r="AN32" s="90"/>
      <c r="AO32" s="90"/>
    </row>
    <row r="33" spans="1:41" ht="22.5" customHeight="1">
      <c r="A33" s="443"/>
      <c r="B33" s="494"/>
      <c r="C33" s="495"/>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462" t="s">
        <v>80</v>
      </c>
      <c r="R33" s="463"/>
      <c r="S33" s="463"/>
      <c r="T33" s="463"/>
      <c r="U33" s="463"/>
      <c r="V33" s="497"/>
      <c r="W33" s="462" t="s">
        <v>81</v>
      </c>
      <c r="X33" s="463"/>
      <c r="Y33" s="463"/>
      <c r="Z33" s="497"/>
      <c r="AA33" s="462" t="s">
        <v>82</v>
      </c>
      <c r="AB33" s="463"/>
      <c r="AC33" s="463"/>
      <c r="AD33" s="464"/>
      <c r="AG33" s="90"/>
      <c r="AH33" s="90"/>
      <c r="AI33" s="90"/>
      <c r="AJ33" s="90"/>
      <c r="AK33" s="90"/>
      <c r="AL33" s="90"/>
      <c r="AM33" s="90"/>
      <c r="AN33" s="90"/>
      <c r="AO33" s="90"/>
    </row>
    <row r="34" spans="1:41" ht="40.5" customHeight="1">
      <c r="A34" s="465" t="str">
        <f>A30</f>
        <v>Ejecutar al 90% la implementación de la Política de Gestión Documental institucional</v>
      </c>
      <c r="B34" s="606">
        <f>+AC17</f>
        <v>0.09</v>
      </c>
      <c r="C34" s="93" t="s">
        <v>9</v>
      </c>
      <c r="D34" s="177">
        <v>0.35</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 t="shared" si="0"/>
        <v>0.0275</v>
      </c>
      <c r="M34" s="177">
        <f t="shared" si="0"/>
        <v>0.025</v>
      </c>
      <c r="N34" s="177">
        <f t="shared" si="0"/>
        <v>0.022500000000000003</v>
      </c>
      <c r="O34" s="177">
        <f t="shared" si="0"/>
        <v>0.0125</v>
      </c>
      <c r="P34" s="177">
        <v>0.6</v>
      </c>
      <c r="Q34" s="680" t="s">
        <v>881</v>
      </c>
      <c r="R34" s="681"/>
      <c r="S34" s="681"/>
      <c r="T34" s="681"/>
      <c r="U34" s="681"/>
      <c r="V34" s="682"/>
      <c r="W34" s="650" t="s">
        <v>882</v>
      </c>
      <c r="X34" s="651"/>
      <c r="Y34" s="651"/>
      <c r="Z34" s="652"/>
      <c r="AA34" s="686" t="s">
        <v>883</v>
      </c>
      <c r="AB34" s="687"/>
      <c r="AC34" s="687"/>
      <c r="AD34" s="688"/>
      <c r="AG34" s="90"/>
      <c r="AH34" s="90"/>
      <c r="AI34" s="90"/>
      <c r="AJ34" s="90"/>
      <c r="AK34" s="90"/>
      <c r="AL34" s="90"/>
      <c r="AM34" s="90"/>
      <c r="AN34" s="90"/>
      <c r="AO34" s="90"/>
    </row>
    <row r="35" spans="1:41" ht="48" customHeight="1" thickBot="1">
      <c r="A35" s="466"/>
      <c r="B35" s="607"/>
      <c r="C35" s="94" t="s">
        <v>10</v>
      </c>
      <c r="D35" s="273">
        <v>0.35</v>
      </c>
      <c r="E35" s="273">
        <f>(((E39*($B$38/$B$34))+(E41*($B$40/$B$34))+(E43*($B$42/$B$34))+(E45*($B$44/$B$34))+(E47*($B$46/$B$34))))*($P$34-$D$34)</f>
        <v>0.0125</v>
      </c>
      <c r="F35" s="273">
        <f aca="true" t="shared" si="1" ref="F35:K35">(((F39*($B$38/$B$34))+(F41*($B$40/$B$34))+(F43*($B$42/$B$34))+(F45*($B$44/$B$34))+(F47*($B$46/$B$34))))*($P$34-$D$34)</f>
        <v>0.025</v>
      </c>
      <c r="G35" s="273">
        <f t="shared" si="1"/>
        <v>0.025</v>
      </c>
      <c r="H35" s="273">
        <f t="shared" si="1"/>
        <v>0.025</v>
      </c>
      <c r="I35" s="273">
        <f t="shared" si="1"/>
        <v>0.025</v>
      </c>
      <c r="J35" s="273">
        <f t="shared" si="1"/>
        <v>0.025</v>
      </c>
      <c r="K35" s="273">
        <f t="shared" si="1"/>
        <v>0.025</v>
      </c>
      <c r="L35" s="96"/>
      <c r="M35" s="96"/>
      <c r="N35" s="96"/>
      <c r="O35" s="96"/>
      <c r="P35" s="178">
        <f>SUM(D35:O35)</f>
        <v>0.5125000000000001</v>
      </c>
      <c r="Q35" s="683"/>
      <c r="R35" s="684"/>
      <c r="S35" s="684"/>
      <c r="T35" s="684"/>
      <c r="U35" s="684"/>
      <c r="V35" s="685"/>
      <c r="W35" s="653"/>
      <c r="X35" s="654"/>
      <c r="Y35" s="654"/>
      <c r="Z35" s="655"/>
      <c r="AA35" s="689"/>
      <c r="AB35" s="690"/>
      <c r="AC35" s="690"/>
      <c r="AD35" s="691"/>
      <c r="AE35" s="50"/>
      <c r="AF35" s="97"/>
      <c r="AG35" s="90"/>
      <c r="AH35" s="90"/>
      <c r="AI35" s="90"/>
      <c r="AJ35" s="90"/>
      <c r="AK35" s="90"/>
      <c r="AL35" s="90"/>
      <c r="AM35" s="90"/>
      <c r="AN35" s="90"/>
      <c r="AO35" s="90"/>
    </row>
    <row r="36" spans="1:41" ht="25.5" customHeight="1">
      <c r="A36" s="442" t="s">
        <v>192</v>
      </c>
      <c r="B36" s="444" t="s">
        <v>61</v>
      </c>
      <c r="C36" s="446" t="s">
        <v>11</v>
      </c>
      <c r="D36" s="446"/>
      <c r="E36" s="446"/>
      <c r="F36" s="446"/>
      <c r="G36" s="446"/>
      <c r="H36" s="446"/>
      <c r="I36" s="446"/>
      <c r="J36" s="446"/>
      <c r="K36" s="446"/>
      <c r="L36" s="446"/>
      <c r="M36" s="446"/>
      <c r="N36" s="446"/>
      <c r="O36" s="446"/>
      <c r="P36" s="446"/>
      <c r="Q36" s="447" t="s">
        <v>78</v>
      </c>
      <c r="R36" s="448"/>
      <c r="S36" s="448"/>
      <c r="T36" s="448"/>
      <c r="U36" s="448"/>
      <c r="V36" s="448"/>
      <c r="W36" s="448"/>
      <c r="X36" s="448"/>
      <c r="Y36" s="448"/>
      <c r="Z36" s="448"/>
      <c r="AA36" s="448"/>
      <c r="AB36" s="448"/>
      <c r="AC36" s="448"/>
      <c r="AD36" s="449"/>
      <c r="AG36" s="90"/>
      <c r="AH36" s="90"/>
      <c r="AI36" s="90"/>
      <c r="AJ36" s="90"/>
      <c r="AK36" s="90"/>
      <c r="AL36" s="90"/>
      <c r="AM36" s="90"/>
      <c r="AN36" s="90"/>
      <c r="AO36" s="90"/>
    </row>
    <row r="37" spans="1:41" ht="25.5" customHeight="1">
      <c r="A37" s="443"/>
      <c r="B37" s="445"/>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450" t="s">
        <v>83</v>
      </c>
      <c r="R37" s="451"/>
      <c r="S37" s="451"/>
      <c r="T37" s="451"/>
      <c r="U37" s="451"/>
      <c r="V37" s="451"/>
      <c r="W37" s="451"/>
      <c r="X37" s="451"/>
      <c r="Y37" s="451"/>
      <c r="Z37" s="451"/>
      <c r="AA37" s="451"/>
      <c r="AB37" s="451"/>
      <c r="AC37" s="451"/>
      <c r="AD37" s="452"/>
      <c r="AG37" s="98"/>
      <c r="AH37" s="98"/>
      <c r="AI37" s="98"/>
      <c r="AJ37" s="98"/>
      <c r="AK37" s="98"/>
      <c r="AL37" s="98"/>
      <c r="AM37" s="98"/>
      <c r="AN37" s="98"/>
      <c r="AO37" s="98"/>
    </row>
    <row r="38" spans="1:41" ht="28.5" customHeight="1">
      <c r="A38" s="692" t="s">
        <v>460</v>
      </c>
      <c r="B38" s="618">
        <v>0.018</v>
      </c>
      <c r="C38" s="93" t="s">
        <v>9</v>
      </c>
      <c r="D38" s="99">
        <v>0</v>
      </c>
      <c r="E38" s="99">
        <v>0.05</v>
      </c>
      <c r="F38" s="99">
        <v>0.1</v>
      </c>
      <c r="G38" s="99">
        <v>0.1</v>
      </c>
      <c r="H38" s="99">
        <v>0.1</v>
      </c>
      <c r="I38" s="99">
        <v>0.1</v>
      </c>
      <c r="J38" s="99">
        <v>0.1</v>
      </c>
      <c r="K38" s="99">
        <v>0.1</v>
      </c>
      <c r="L38" s="99">
        <v>0.1</v>
      </c>
      <c r="M38" s="99">
        <v>0.1</v>
      </c>
      <c r="N38" s="99">
        <v>0.1</v>
      </c>
      <c r="O38" s="99">
        <v>0.05</v>
      </c>
      <c r="P38" s="100">
        <f aca="true" t="shared" si="2" ref="P38:P47">SUM(D38:O38)</f>
        <v>0.9999999999999999</v>
      </c>
      <c r="Q38" s="674" t="s">
        <v>831</v>
      </c>
      <c r="R38" s="675"/>
      <c r="S38" s="675"/>
      <c r="T38" s="675"/>
      <c r="U38" s="675"/>
      <c r="V38" s="675"/>
      <c r="W38" s="675"/>
      <c r="X38" s="675"/>
      <c r="Y38" s="675"/>
      <c r="Z38" s="675"/>
      <c r="AA38" s="675"/>
      <c r="AB38" s="675"/>
      <c r="AC38" s="675"/>
      <c r="AD38" s="676"/>
      <c r="AE38" s="101"/>
      <c r="AG38" s="102"/>
      <c r="AH38" s="102"/>
      <c r="AI38" s="102"/>
      <c r="AJ38" s="102"/>
      <c r="AK38" s="102"/>
      <c r="AL38" s="102"/>
      <c r="AM38" s="102"/>
      <c r="AN38" s="102"/>
      <c r="AO38" s="102"/>
    </row>
    <row r="39" spans="1:31" ht="28.5" customHeight="1">
      <c r="A39" s="693"/>
      <c r="B39" s="619"/>
      <c r="C39" s="103" t="s">
        <v>10</v>
      </c>
      <c r="D39" s="104">
        <v>0</v>
      </c>
      <c r="E39" s="104">
        <v>0.05</v>
      </c>
      <c r="F39" s="104">
        <v>0.1</v>
      </c>
      <c r="G39" s="104">
        <v>0.1</v>
      </c>
      <c r="H39" s="104">
        <v>0.1</v>
      </c>
      <c r="I39" s="104">
        <v>0.1</v>
      </c>
      <c r="J39" s="104">
        <v>0.1</v>
      </c>
      <c r="K39" s="104">
        <v>0.1</v>
      </c>
      <c r="L39" s="104"/>
      <c r="M39" s="104"/>
      <c r="N39" s="104"/>
      <c r="O39" s="104"/>
      <c r="P39" s="105">
        <f t="shared" si="2"/>
        <v>0.6499999999999999</v>
      </c>
      <c r="Q39" s="694"/>
      <c r="R39" s="695"/>
      <c r="S39" s="695"/>
      <c r="T39" s="695"/>
      <c r="U39" s="695"/>
      <c r="V39" s="695"/>
      <c r="W39" s="695"/>
      <c r="X39" s="695"/>
      <c r="Y39" s="695"/>
      <c r="Z39" s="695"/>
      <c r="AA39" s="695"/>
      <c r="AB39" s="695"/>
      <c r="AC39" s="695"/>
      <c r="AD39" s="696"/>
      <c r="AE39" s="101"/>
    </row>
    <row r="40" spans="1:31" ht="28.5" customHeight="1">
      <c r="A40" s="693" t="s">
        <v>461</v>
      </c>
      <c r="B40" s="618">
        <v>0.018</v>
      </c>
      <c r="C40" s="106" t="s">
        <v>9</v>
      </c>
      <c r="D40" s="99">
        <v>0</v>
      </c>
      <c r="E40" s="99">
        <v>0.05</v>
      </c>
      <c r="F40" s="99">
        <v>0.1</v>
      </c>
      <c r="G40" s="99">
        <v>0.1</v>
      </c>
      <c r="H40" s="99">
        <v>0.1</v>
      </c>
      <c r="I40" s="99">
        <v>0.1</v>
      </c>
      <c r="J40" s="99">
        <v>0.1</v>
      </c>
      <c r="K40" s="99">
        <v>0.1</v>
      </c>
      <c r="L40" s="99">
        <v>0.15</v>
      </c>
      <c r="M40" s="99">
        <v>0.1</v>
      </c>
      <c r="N40" s="99">
        <v>0.05</v>
      </c>
      <c r="O40" s="99">
        <v>0.05</v>
      </c>
      <c r="P40" s="105">
        <f t="shared" si="2"/>
        <v>1</v>
      </c>
      <c r="Q40" s="674" t="s">
        <v>884</v>
      </c>
      <c r="R40" s="675"/>
      <c r="S40" s="675"/>
      <c r="T40" s="675"/>
      <c r="U40" s="675"/>
      <c r="V40" s="675"/>
      <c r="W40" s="675"/>
      <c r="X40" s="675"/>
      <c r="Y40" s="675"/>
      <c r="Z40" s="675"/>
      <c r="AA40" s="675"/>
      <c r="AB40" s="675"/>
      <c r="AC40" s="675"/>
      <c r="AD40" s="676"/>
      <c r="AE40" s="101"/>
    </row>
    <row r="41" spans="1:31" ht="28.5" customHeight="1">
      <c r="A41" s="693"/>
      <c r="B41" s="619"/>
      <c r="C41" s="103" t="s">
        <v>10</v>
      </c>
      <c r="D41" s="104">
        <v>0</v>
      </c>
      <c r="E41" s="104">
        <v>0.05</v>
      </c>
      <c r="F41" s="104">
        <v>0.1</v>
      </c>
      <c r="G41" s="104">
        <v>0.1</v>
      </c>
      <c r="H41" s="104">
        <v>0.1</v>
      </c>
      <c r="I41" s="104">
        <v>0.1</v>
      </c>
      <c r="J41" s="104">
        <v>0.1</v>
      </c>
      <c r="K41" s="104">
        <v>0.1</v>
      </c>
      <c r="L41" s="108"/>
      <c r="M41" s="108"/>
      <c r="N41" s="108"/>
      <c r="O41" s="108"/>
      <c r="P41" s="105">
        <f t="shared" si="2"/>
        <v>0.6499999999999999</v>
      </c>
      <c r="Q41" s="677"/>
      <c r="R41" s="678"/>
      <c r="S41" s="678"/>
      <c r="T41" s="678"/>
      <c r="U41" s="678"/>
      <c r="V41" s="678"/>
      <c r="W41" s="678"/>
      <c r="X41" s="678"/>
      <c r="Y41" s="678"/>
      <c r="Z41" s="678"/>
      <c r="AA41" s="678"/>
      <c r="AB41" s="678"/>
      <c r="AC41" s="678"/>
      <c r="AD41" s="679"/>
      <c r="AE41" s="101"/>
    </row>
    <row r="42" spans="1:31" ht="28.5" customHeight="1">
      <c r="A42" s="668" t="s">
        <v>462</v>
      </c>
      <c r="B42" s="618">
        <v>0.018</v>
      </c>
      <c r="C42" s="106" t="s">
        <v>9</v>
      </c>
      <c r="D42" s="99">
        <v>0</v>
      </c>
      <c r="E42" s="99">
        <v>0.05</v>
      </c>
      <c r="F42" s="99">
        <v>0.1</v>
      </c>
      <c r="G42" s="99">
        <v>0.1</v>
      </c>
      <c r="H42" s="99">
        <v>0.1</v>
      </c>
      <c r="I42" s="99">
        <v>0.1</v>
      </c>
      <c r="J42" s="99">
        <v>0.1</v>
      </c>
      <c r="K42" s="99">
        <v>0.1</v>
      </c>
      <c r="L42" s="99">
        <v>0.1</v>
      </c>
      <c r="M42" s="99">
        <v>0.1</v>
      </c>
      <c r="N42" s="99">
        <v>0.1</v>
      </c>
      <c r="O42" s="99">
        <v>0.05</v>
      </c>
      <c r="P42" s="105">
        <f>SUM(D42:O42)</f>
        <v>0.9999999999999999</v>
      </c>
      <c r="Q42" s="674" t="s">
        <v>885</v>
      </c>
      <c r="R42" s="675"/>
      <c r="S42" s="675"/>
      <c r="T42" s="675"/>
      <c r="U42" s="675"/>
      <c r="V42" s="675"/>
      <c r="W42" s="675"/>
      <c r="X42" s="675"/>
      <c r="Y42" s="675"/>
      <c r="Z42" s="675"/>
      <c r="AA42" s="675"/>
      <c r="AB42" s="675"/>
      <c r="AC42" s="675"/>
      <c r="AD42" s="676"/>
      <c r="AE42" s="101"/>
    </row>
    <row r="43" spans="1:31" ht="28.5" customHeight="1">
      <c r="A43" s="692"/>
      <c r="B43" s="619"/>
      <c r="C43" s="103" t="s">
        <v>10</v>
      </c>
      <c r="D43" s="104">
        <v>0</v>
      </c>
      <c r="E43" s="104">
        <v>0.05</v>
      </c>
      <c r="F43" s="104">
        <v>0.1</v>
      </c>
      <c r="G43" s="104">
        <v>0.1</v>
      </c>
      <c r="H43" s="104">
        <v>0.1</v>
      </c>
      <c r="I43" s="104">
        <v>0.1</v>
      </c>
      <c r="J43" s="104">
        <v>0.1</v>
      </c>
      <c r="K43" s="104">
        <v>0.1</v>
      </c>
      <c r="L43" s="108"/>
      <c r="M43" s="108"/>
      <c r="N43" s="108"/>
      <c r="O43" s="108"/>
      <c r="P43" s="105">
        <f>SUM(D43:O43)</f>
        <v>0.6499999999999999</v>
      </c>
      <c r="Q43" s="677"/>
      <c r="R43" s="678"/>
      <c r="S43" s="678"/>
      <c r="T43" s="678"/>
      <c r="U43" s="678"/>
      <c r="V43" s="678"/>
      <c r="W43" s="678"/>
      <c r="X43" s="678"/>
      <c r="Y43" s="678"/>
      <c r="Z43" s="678"/>
      <c r="AA43" s="678"/>
      <c r="AB43" s="678"/>
      <c r="AC43" s="678"/>
      <c r="AD43" s="679"/>
      <c r="AE43" s="101"/>
    </row>
    <row r="44" spans="1:31" ht="28.5" customHeight="1">
      <c r="A44" s="668" t="s">
        <v>463</v>
      </c>
      <c r="B44" s="618">
        <v>0.018</v>
      </c>
      <c r="C44" s="106" t="s">
        <v>9</v>
      </c>
      <c r="D44" s="99">
        <v>0</v>
      </c>
      <c r="E44" s="99">
        <v>0.05</v>
      </c>
      <c r="F44" s="99">
        <v>0.1</v>
      </c>
      <c r="G44" s="99">
        <v>0.1</v>
      </c>
      <c r="H44" s="99">
        <v>0.1</v>
      </c>
      <c r="I44" s="99">
        <v>0.1</v>
      </c>
      <c r="J44" s="99">
        <v>0.1</v>
      </c>
      <c r="K44" s="99">
        <v>0.1</v>
      </c>
      <c r="L44" s="99">
        <v>0.1</v>
      </c>
      <c r="M44" s="99">
        <v>0.1</v>
      </c>
      <c r="N44" s="99">
        <v>0.1</v>
      </c>
      <c r="O44" s="99">
        <v>0.05</v>
      </c>
      <c r="P44" s="105">
        <f t="shared" si="2"/>
        <v>0.9999999999999999</v>
      </c>
      <c r="Q44" s="674" t="s">
        <v>886</v>
      </c>
      <c r="R44" s="675"/>
      <c r="S44" s="675"/>
      <c r="T44" s="675"/>
      <c r="U44" s="675"/>
      <c r="V44" s="675"/>
      <c r="W44" s="675"/>
      <c r="X44" s="675"/>
      <c r="Y44" s="675"/>
      <c r="Z44" s="675"/>
      <c r="AA44" s="675"/>
      <c r="AB44" s="675"/>
      <c r="AC44" s="675"/>
      <c r="AD44" s="676"/>
      <c r="AE44" s="101"/>
    </row>
    <row r="45" spans="1:31" ht="28.5" customHeight="1">
      <c r="A45" s="702"/>
      <c r="B45" s="619"/>
      <c r="C45" s="103" t="s">
        <v>10</v>
      </c>
      <c r="D45" s="104">
        <v>0</v>
      </c>
      <c r="E45" s="104">
        <v>0.05</v>
      </c>
      <c r="F45" s="104">
        <v>0.1</v>
      </c>
      <c r="G45" s="104">
        <v>0.1</v>
      </c>
      <c r="H45" s="104">
        <v>0.1</v>
      </c>
      <c r="I45" s="104">
        <v>0.1</v>
      </c>
      <c r="J45" s="104">
        <v>0.1</v>
      </c>
      <c r="K45" s="104">
        <v>0.1</v>
      </c>
      <c r="L45" s="108"/>
      <c r="M45" s="108"/>
      <c r="N45" s="108"/>
      <c r="O45" s="104"/>
      <c r="P45" s="105">
        <f t="shared" si="2"/>
        <v>0.6499999999999999</v>
      </c>
      <c r="Q45" s="677"/>
      <c r="R45" s="678"/>
      <c r="S45" s="678"/>
      <c r="T45" s="678"/>
      <c r="U45" s="678"/>
      <c r="V45" s="678"/>
      <c r="W45" s="678"/>
      <c r="X45" s="678"/>
      <c r="Y45" s="678"/>
      <c r="Z45" s="678"/>
      <c r="AA45" s="678"/>
      <c r="AB45" s="678"/>
      <c r="AC45" s="678"/>
      <c r="AD45" s="679"/>
      <c r="AE45" s="101"/>
    </row>
    <row r="46" spans="1:31" ht="28.5" customHeight="1">
      <c r="A46" s="697" t="s">
        <v>464</v>
      </c>
      <c r="B46" s="627">
        <v>0.018</v>
      </c>
      <c r="C46" s="106" t="s">
        <v>9</v>
      </c>
      <c r="D46" s="99">
        <v>0</v>
      </c>
      <c r="E46" s="99">
        <v>0.05</v>
      </c>
      <c r="F46" s="99">
        <v>0.1</v>
      </c>
      <c r="G46" s="99">
        <v>0.1</v>
      </c>
      <c r="H46" s="99">
        <v>0.1</v>
      </c>
      <c r="I46" s="99">
        <v>0.1</v>
      </c>
      <c r="J46" s="99">
        <v>0.1</v>
      </c>
      <c r="K46" s="99">
        <v>0.1</v>
      </c>
      <c r="L46" s="99">
        <v>0.1</v>
      </c>
      <c r="M46" s="99">
        <v>0.1</v>
      </c>
      <c r="N46" s="99">
        <v>0.1</v>
      </c>
      <c r="O46" s="99">
        <v>0.05</v>
      </c>
      <c r="P46" s="105">
        <f t="shared" si="2"/>
        <v>0.9999999999999999</v>
      </c>
      <c r="Q46" s="674" t="s">
        <v>835</v>
      </c>
      <c r="R46" s="675"/>
      <c r="S46" s="675"/>
      <c r="T46" s="675"/>
      <c r="U46" s="675"/>
      <c r="V46" s="675"/>
      <c r="W46" s="675"/>
      <c r="X46" s="675"/>
      <c r="Y46" s="675"/>
      <c r="Z46" s="675"/>
      <c r="AA46" s="675"/>
      <c r="AB46" s="675"/>
      <c r="AC46" s="675"/>
      <c r="AD46" s="676"/>
      <c r="AE46" s="101"/>
    </row>
    <row r="47" spans="1:31" ht="28.5" customHeight="1" thickBot="1">
      <c r="A47" s="698"/>
      <c r="B47" s="635"/>
      <c r="C47" s="94" t="s">
        <v>10</v>
      </c>
      <c r="D47" s="110">
        <v>0</v>
      </c>
      <c r="E47" s="110">
        <v>0.05</v>
      </c>
      <c r="F47" s="110">
        <v>0.1</v>
      </c>
      <c r="G47" s="110">
        <v>0.1</v>
      </c>
      <c r="H47" s="110">
        <v>0.1</v>
      </c>
      <c r="I47" s="110">
        <v>0.1</v>
      </c>
      <c r="J47" s="110">
        <v>0.1</v>
      </c>
      <c r="K47" s="110">
        <v>0.1</v>
      </c>
      <c r="L47" s="111"/>
      <c r="M47" s="111"/>
      <c r="N47" s="111"/>
      <c r="O47" s="111"/>
      <c r="P47" s="112">
        <f t="shared" si="2"/>
        <v>0.6499999999999999</v>
      </c>
      <c r="Q47" s="699"/>
      <c r="R47" s="700"/>
      <c r="S47" s="700"/>
      <c r="T47" s="700"/>
      <c r="U47" s="700"/>
      <c r="V47" s="700"/>
      <c r="W47" s="700"/>
      <c r="X47" s="700"/>
      <c r="Y47" s="700"/>
      <c r="Z47" s="700"/>
      <c r="AA47" s="700"/>
      <c r="AB47" s="700"/>
      <c r="AC47" s="700"/>
      <c r="AD47" s="701"/>
      <c r="AE47" s="101"/>
    </row>
    <row r="48" ht="15.75" thickBot="1">
      <c r="A48" s="52" t="s">
        <v>295</v>
      </c>
    </row>
    <row r="49" spans="1:30" s="279" customFormat="1" ht="45.75" customHeight="1">
      <c r="A49" s="537" t="s">
        <v>64</v>
      </c>
      <c r="B49" s="538"/>
      <c r="C49" s="274" t="s">
        <v>628</v>
      </c>
      <c r="D49" s="275"/>
      <c r="E49" s="275"/>
      <c r="F49" s="275"/>
      <c r="G49" s="275"/>
      <c r="H49" s="276"/>
      <c r="I49" s="277"/>
      <c r="J49" s="703" t="s">
        <v>629</v>
      </c>
      <c r="K49" s="704"/>
      <c r="L49" s="705"/>
      <c r="M49" s="274" t="s">
        <v>630</v>
      </c>
      <c r="N49" s="275"/>
      <c r="O49" s="275"/>
      <c r="P49" s="275"/>
      <c r="Q49" s="275"/>
      <c r="R49" s="276"/>
      <c r="S49" s="277"/>
      <c r="T49" s="712" t="s">
        <v>631</v>
      </c>
      <c r="U49" s="712"/>
      <c r="V49" s="712"/>
      <c r="W49" s="712"/>
      <c r="X49" s="274" t="s">
        <v>632</v>
      </c>
      <c r="Y49" s="275"/>
      <c r="Z49" s="275"/>
      <c r="AA49" s="275"/>
      <c r="AB49" s="275"/>
      <c r="AC49" s="276"/>
      <c r="AD49" s="278"/>
    </row>
    <row r="50" spans="1:30" s="279" customFormat="1" ht="22.5" customHeight="1">
      <c r="A50" s="540"/>
      <c r="B50" s="541"/>
      <c r="C50" s="715" t="s">
        <v>633</v>
      </c>
      <c r="D50" s="716"/>
      <c r="E50" s="716"/>
      <c r="F50" s="716"/>
      <c r="G50" s="716"/>
      <c r="H50" s="716"/>
      <c r="I50" s="717"/>
      <c r="J50" s="706"/>
      <c r="K50" s="707"/>
      <c r="L50" s="708"/>
      <c r="M50" s="715" t="s">
        <v>634</v>
      </c>
      <c r="N50" s="716"/>
      <c r="O50" s="716"/>
      <c r="P50" s="716"/>
      <c r="Q50" s="716"/>
      <c r="R50" s="716"/>
      <c r="S50" s="717"/>
      <c r="T50" s="713"/>
      <c r="U50" s="713"/>
      <c r="V50" s="713"/>
      <c r="W50" s="713"/>
      <c r="X50" s="715" t="s">
        <v>634</v>
      </c>
      <c r="Y50" s="716"/>
      <c r="Z50" s="716"/>
      <c r="AA50" s="716"/>
      <c r="AB50" s="716"/>
      <c r="AC50" s="716"/>
      <c r="AD50" s="718"/>
    </row>
    <row r="51" spans="1:30" s="279" customFormat="1" ht="22.5" customHeight="1" thickBot="1">
      <c r="A51" s="543"/>
      <c r="B51" s="544"/>
      <c r="C51" s="719" t="s">
        <v>773</v>
      </c>
      <c r="D51" s="720"/>
      <c r="E51" s="720"/>
      <c r="F51" s="720"/>
      <c r="G51" s="720"/>
      <c r="H51" s="720"/>
      <c r="I51" s="721"/>
      <c r="J51" s="709"/>
      <c r="K51" s="710"/>
      <c r="L51" s="711"/>
      <c r="M51" s="719" t="s">
        <v>739</v>
      </c>
      <c r="N51" s="720"/>
      <c r="O51" s="720"/>
      <c r="P51" s="720"/>
      <c r="Q51" s="720"/>
      <c r="R51" s="720"/>
      <c r="S51" s="721"/>
      <c r="T51" s="714"/>
      <c r="U51" s="714"/>
      <c r="V51" s="714"/>
      <c r="W51" s="714"/>
      <c r="X51" s="719" t="s">
        <v>75</v>
      </c>
      <c r="Y51" s="720"/>
      <c r="Z51" s="720"/>
      <c r="AA51" s="720"/>
      <c r="AB51" s="720"/>
      <c r="AC51" s="720"/>
      <c r="AD51" s="722"/>
    </row>
  </sheetData>
  <sheetProtection/>
  <mergeCells count="92">
    <mergeCell ref="A49:B51"/>
    <mergeCell ref="J49:L51"/>
    <mergeCell ref="T49:W51"/>
    <mergeCell ref="C50:I50"/>
    <mergeCell ref="M50:S50"/>
    <mergeCell ref="X50:AD50"/>
    <mergeCell ref="C51:I51"/>
    <mergeCell ref="M51:S51"/>
    <mergeCell ref="X51:AD51"/>
    <mergeCell ref="A46:A47"/>
    <mergeCell ref="B46:B47"/>
    <mergeCell ref="Q46:AD47"/>
    <mergeCell ref="A40:A41"/>
    <mergeCell ref="B40:B41"/>
    <mergeCell ref="Q40:AD41"/>
    <mergeCell ref="A44:A45"/>
    <mergeCell ref="B44:B45"/>
    <mergeCell ref="Q44:AD45"/>
    <mergeCell ref="A42:A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B3:AA4"/>
    <mergeCell ref="AB3:AD3"/>
    <mergeCell ref="O7:P7"/>
    <mergeCell ref="M8:N8"/>
    <mergeCell ref="O8:P8"/>
    <mergeCell ref="AB4:AD4"/>
    <mergeCell ref="B42:B43"/>
    <mergeCell ref="Q42:AD43"/>
    <mergeCell ref="I7:J9"/>
    <mergeCell ref="K7:L9"/>
    <mergeCell ref="M7:N7"/>
    <mergeCell ref="A1:A4"/>
    <mergeCell ref="B1:AA1"/>
    <mergeCell ref="AB1:AD1"/>
    <mergeCell ref="B2:AA2"/>
    <mergeCell ref="AB2:AD2"/>
  </mergeCells>
  <dataValidations count="3">
    <dataValidation type="textLength" operator="lessThanOrEqual" allowBlank="1" showInputMessage="1" showErrorMessage="1" errorTitle="Máximo 2.000 caracteres" error="Máximo 2.000 caracteres" sqref="W34 Q34 AA34 Q38:AD47">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 4'!$C$21:$N$21</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X21"/>
  <sheetViews>
    <sheetView zoomScale="50" zoomScaleNormal="50" zoomScalePageLayoutView="0" workbookViewId="0" topLeftCell="O8">
      <pane ySplit="5" topLeftCell="A13" activePane="bottomLeft" state="frozen"/>
      <selection pane="topLeft" activeCell="D8" sqref="D8"/>
      <selection pane="bottomLeft" activeCell="AO13" sqref="AO1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0.0039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33" width="5.8515625" style="113" customWidth="1"/>
    <col min="34" max="35" width="6.421875" style="113" customWidth="1"/>
    <col min="36" max="36" width="8.140625" style="113" customWidth="1"/>
    <col min="37" max="45" width="5.8515625" style="113" customWidth="1"/>
    <col min="46" max="47" width="10.8515625" style="113" customWidth="1"/>
    <col min="48" max="48" width="103.00390625" style="113" customWidth="1"/>
    <col min="49" max="50" width="2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39" customHeight="1">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292.5" customHeight="1">
      <c r="A13" s="125">
        <v>518</v>
      </c>
      <c r="B13" s="125"/>
      <c r="C13" s="125"/>
      <c r="D13" s="125"/>
      <c r="E13" s="125"/>
      <c r="F13" s="125"/>
      <c r="G13" s="227"/>
      <c r="H13" s="125"/>
      <c r="I13" s="147" t="s">
        <v>444</v>
      </c>
      <c r="J13" s="147" t="s">
        <v>445</v>
      </c>
      <c r="K13" s="227" t="s">
        <v>446</v>
      </c>
      <c r="L13" s="125">
        <v>3</v>
      </c>
      <c r="M13" s="227" t="s">
        <v>507</v>
      </c>
      <c r="N13" s="227" t="s">
        <v>508</v>
      </c>
      <c r="O13" s="228"/>
      <c r="P13" s="228"/>
      <c r="Q13" s="228">
        <v>3</v>
      </c>
      <c r="R13" s="228"/>
      <c r="S13" s="228"/>
      <c r="T13" s="240" t="s">
        <v>433</v>
      </c>
      <c r="U13" s="240" t="s">
        <v>509</v>
      </c>
      <c r="V13" s="229"/>
      <c r="W13" s="229"/>
      <c r="X13" s="241">
        <f>(('[1]Meta 1'!D34+'[1]Meta 1'!E34+'[1]Meta 1'!F34)/'[1]Meta 1'!P34)+(('[1]Meta 2'!D34+'[1]Meta 2'!E34+'[1]Meta 2'!F34)/'[1]Meta 2'!P34)+(('[1]Meta 3'!D34+'[1]Meta 3'!E34+'[1]Meta 3'!F34)/'[1]Meta 3'!P34)</f>
        <v>0.7846666666666667</v>
      </c>
      <c r="Y13" s="229"/>
      <c r="Z13" s="382"/>
      <c r="AA13" s="241">
        <f>+(('[1]Meta 1'!G34+'[1]Meta 1'!H34+'[1]Meta 1'!I34)/'[1]Meta 1'!P34)+(('[1]Meta 2'!G34+'[1]Meta 2'!H34+'[1]Meta 2'!I34)/'[1]Meta 2'!P34)+(('[1]Meta 3'!G34+'[1]Meta 3'!H34+'[1]Meta 3'!I34)/'[1]Meta 3'!P34)</f>
        <v>0.7361666666666666</v>
      </c>
      <c r="AB13" s="229"/>
      <c r="AC13" s="229"/>
      <c r="AD13" s="241">
        <f>(('[1]Meta 1'!J34+'[1]Meta 1'!K34+'[1]Meta 1'!L34)/'[1]Meta 1'!P34)+(('[1]Meta 2'!J34+'[1]Meta 2'!K34+'[1]Meta 2'!L34)/'[1]Meta 2'!P34)+(('[1]Meta 3'!J34+'[1]Meta 3'!K34+'[1]Meta 3'!L34)/'[1]Meta 3'!P34)</f>
        <v>0.7475</v>
      </c>
      <c r="AE13" s="229"/>
      <c r="AF13" s="229"/>
      <c r="AG13" s="241">
        <f>(('[1]Meta 1'!M34+'[1]Meta 1'!N34+'[1]Meta 1'!O34)/'[1]Meta 1'!P34)+(('[1]Meta 2'!M34+'[1]Meta 2'!N34+'[1]Meta 2'!O34)/'[1]Meta 2'!P34)+(('[1]Meta 3'!M34+'[1]Meta 3'!N34+'[1]Meta 3'!O34)/'[1]Meta 3'!P34)</f>
        <v>0.7316666666666667</v>
      </c>
      <c r="AH13" s="311"/>
      <c r="AI13" s="311"/>
      <c r="AJ13" s="311">
        <v>0.78</v>
      </c>
      <c r="AK13" s="363"/>
      <c r="AL13" s="363"/>
      <c r="AM13" s="241">
        <v>0.7361666666666666</v>
      </c>
      <c r="AN13" s="363">
        <f>+AD13/3</f>
        <v>0.24916666666666668</v>
      </c>
      <c r="AO13" s="363">
        <v>0.24916666666666668</v>
      </c>
      <c r="AP13" s="230"/>
      <c r="AQ13" s="230"/>
      <c r="AR13" s="230"/>
      <c r="AS13" s="230"/>
      <c r="AT13" s="378">
        <f>SUM(AH13:AS13)</f>
        <v>2.0145</v>
      </c>
      <c r="AU13" s="232">
        <f>+AT13/Q13</f>
        <v>0.6715</v>
      </c>
      <c r="AV13" s="300" t="s">
        <v>888</v>
      </c>
      <c r="AW13" s="250"/>
      <c r="AX13" s="250"/>
    </row>
    <row r="14" spans="1:50" s="234" customFormat="1" ht="183.75" customHeight="1">
      <c r="A14" s="125"/>
      <c r="B14" s="125"/>
      <c r="C14" s="125"/>
      <c r="D14" s="125"/>
      <c r="E14" s="125" t="s">
        <v>408</v>
      </c>
      <c r="F14" s="125"/>
      <c r="G14" s="227" t="s">
        <v>636</v>
      </c>
      <c r="H14" s="125"/>
      <c r="I14" s="147" t="s">
        <v>777</v>
      </c>
      <c r="J14" s="147" t="s">
        <v>778</v>
      </c>
      <c r="K14" s="227" t="s">
        <v>468</v>
      </c>
      <c r="L14" s="125"/>
      <c r="M14" s="227" t="s">
        <v>663</v>
      </c>
      <c r="N14" s="227" t="s">
        <v>779</v>
      </c>
      <c r="O14" s="228"/>
      <c r="P14" s="228"/>
      <c r="Q14" s="228">
        <v>11</v>
      </c>
      <c r="R14" s="228"/>
      <c r="S14" s="228"/>
      <c r="T14" s="240" t="s">
        <v>665</v>
      </c>
      <c r="U14" s="240" t="s">
        <v>780</v>
      </c>
      <c r="V14" s="229"/>
      <c r="W14" s="229"/>
      <c r="X14" s="386">
        <v>11</v>
      </c>
      <c r="Y14" s="229"/>
      <c r="Z14" s="382"/>
      <c r="AA14" s="241"/>
      <c r="AB14" s="229"/>
      <c r="AC14" s="229"/>
      <c r="AD14" s="241"/>
      <c r="AE14" s="229"/>
      <c r="AF14" s="229"/>
      <c r="AG14" s="241"/>
      <c r="AH14" s="397"/>
      <c r="AI14" s="397">
        <v>11</v>
      </c>
      <c r="AJ14" s="311"/>
      <c r="AK14" s="363"/>
      <c r="AL14" s="363"/>
      <c r="AM14" s="241"/>
      <c r="AN14" s="230"/>
      <c r="AO14" s="230"/>
      <c r="AP14" s="230"/>
      <c r="AQ14" s="230"/>
      <c r="AR14" s="230"/>
      <c r="AS14" s="230"/>
      <c r="AT14" s="399">
        <f>SUM(AH14:AS14)</f>
        <v>11</v>
      </c>
      <c r="AU14" s="232">
        <f>+AT14/Q14</f>
        <v>1</v>
      </c>
      <c r="AV14" s="300" t="s">
        <v>889</v>
      </c>
      <c r="AW14" s="250"/>
      <c r="AX14" s="250"/>
    </row>
    <row r="15" spans="1:50" s="234" customFormat="1" ht="207.75" customHeight="1">
      <c r="A15" s="125"/>
      <c r="B15" s="125"/>
      <c r="C15" s="125"/>
      <c r="D15" s="125"/>
      <c r="E15" s="125" t="s">
        <v>408</v>
      </c>
      <c r="F15" s="125"/>
      <c r="G15" s="227" t="s">
        <v>636</v>
      </c>
      <c r="H15" s="125"/>
      <c r="I15" s="383" t="s">
        <v>781</v>
      </c>
      <c r="J15" s="383" t="s">
        <v>782</v>
      </c>
      <c r="K15" s="387" t="s">
        <v>468</v>
      </c>
      <c r="L15" s="125"/>
      <c r="M15" s="387" t="s">
        <v>663</v>
      </c>
      <c r="N15" s="227" t="s">
        <v>783</v>
      </c>
      <c r="O15" s="228"/>
      <c r="P15" s="228"/>
      <c r="Q15" s="228">
        <v>132</v>
      </c>
      <c r="R15" s="228"/>
      <c r="S15" s="228"/>
      <c r="T15" s="240" t="s">
        <v>409</v>
      </c>
      <c r="U15" s="240" t="s">
        <v>784</v>
      </c>
      <c r="V15" s="388">
        <v>11</v>
      </c>
      <c r="W15" s="388">
        <v>11</v>
      </c>
      <c r="X15" s="388">
        <v>11</v>
      </c>
      <c r="Y15" s="388">
        <v>11</v>
      </c>
      <c r="Z15" s="388">
        <v>11</v>
      </c>
      <c r="AA15" s="388">
        <v>11</v>
      </c>
      <c r="AB15" s="388">
        <v>11</v>
      </c>
      <c r="AC15" s="388">
        <v>11</v>
      </c>
      <c r="AD15" s="388">
        <v>11</v>
      </c>
      <c r="AE15" s="388">
        <v>11</v>
      </c>
      <c r="AF15" s="388">
        <v>11</v>
      </c>
      <c r="AG15" s="388">
        <v>11</v>
      </c>
      <c r="AH15" s="397">
        <v>11</v>
      </c>
      <c r="AI15" s="397">
        <v>11</v>
      </c>
      <c r="AJ15" s="397">
        <v>11</v>
      </c>
      <c r="AK15" s="398">
        <v>11</v>
      </c>
      <c r="AL15" s="398">
        <v>11</v>
      </c>
      <c r="AM15" s="386">
        <v>11</v>
      </c>
      <c r="AN15" s="398">
        <v>11</v>
      </c>
      <c r="AO15" s="230">
        <v>11</v>
      </c>
      <c r="AP15" s="230"/>
      <c r="AQ15" s="230"/>
      <c r="AR15" s="230"/>
      <c r="AS15" s="230"/>
      <c r="AT15" s="399">
        <f>SUM(AH15:AS15)</f>
        <v>88</v>
      </c>
      <c r="AU15" s="232">
        <f>+AT15/Q15</f>
        <v>0.6666666666666666</v>
      </c>
      <c r="AV15" s="300" t="s">
        <v>890</v>
      </c>
      <c r="AW15" s="250"/>
      <c r="AX15" s="250"/>
    </row>
    <row r="16" spans="1:50" s="234" customFormat="1" ht="183.75" customHeight="1">
      <c r="A16" s="125"/>
      <c r="B16" s="125"/>
      <c r="C16" s="125"/>
      <c r="D16" s="125"/>
      <c r="E16" s="125" t="s">
        <v>408</v>
      </c>
      <c r="F16" s="125"/>
      <c r="G16" s="227" t="s">
        <v>636</v>
      </c>
      <c r="H16" s="125"/>
      <c r="I16" s="147" t="s">
        <v>785</v>
      </c>
      <c r="J16" s="147" t="s">
        <v>786</v>
      </c>
      <c r="K16" s="227" t="s">
        <v>468</v>
      </c>
      <c r="L16" s="125"/>
      <c r="M16" s="227" t="s">
        <v>663</v>
      </c>
      <c r="N16" s="227" t="s">
        <v>787</v>
      </c>
      <c r="O16" s="228"/>
      <c r="P16" s="228"/>
      <c r="Q16" s="228">
        <v>2</v>
      </c>
      <c r="R16" s="228"/>
      <c r="S16" s="228"/>
      <c r="T16" s="240" t="s">
        <v>483</v>
      </c>
      <c r="U16" s="240" t="s">
        <v>788</v>
      </c>
      <c r="V16" s="388">
        <v>1</v>
      </c>
      <c r="W16" s="388"/>
      <c r="X16" s="388"/>
      <c r="Y16" s="388"/>
      <c r="Z16" s="388"/>
      <c r="AA16" s="388"/>
      <c r="AB16" s="388">
        <v>1</v>
      </c>
      <c r="AC16" s="229"/>
      <c r="AD16" s="241"/>
      <c r="AE16" s="229"/>
      <c r="AF16" s="229"/>
      <c r="AG16" s="241"/>
      <c r="AH16" s="311"/>
      <c r="AI16" s="311"/>
      <c r="AJ16" s="261">
        <v>1</v>
      </c>
      <c r="AK16" s="363"/>
      <c r="AL16" s="363"/>
      <c r="AM16" s="241"/>
      <c r="AN16" s="230"/>
      <c r="AO16" s="230">
        <v>1</v>
      </c>
      <c r="AP16" s="230"/>
      <c r="AQ16" s="230"/>
      <c r="AR16" s="230"/>
      <c r="AS16" s="230"/>
      <c r="AT16" s="399">
        <f>SUM(AH16:AS16)</f>
        <v>2</v>
      </c>
      <c r="AU16" s="232">
        <f>+AT16/Q16</f>
        <v>1</v>
      </c>
      <c r="AV16" s="300" t="s">
        <v>891</v>
      </c>
      <c r="AW16" s="250"/>
      <c r="AX16" s="250"/>
    </row>
    <row r="17" spans="1:50" s="234" customFormat="1" ht="183.75" customHeight="1">
      <c r="A17" s="125"/>
      <c r="B17" s="125"/>
      <c r="C17" s="125"/>
      <c r="D17" s="125"/>
      <c r="E17" s="125" t="s">
        <v>408</v>
      </c>
      <c r="F17" s="125"/>
      <c r="G17" s="227" t="s">
        <v>636</v>
      </c>
      <c r="H17" s="125"/>
      <c r="I17" s="147" t="s">
        <v>789</v>
      </c>
      <c r="J17" s="147" t="s">
        <v>790</v>
      </c>
      <c r="K17" s="227" t="s">
        <v>468</v>
      </c>
      <c r="L17" s="125"/>
      <c r="M17" s="227" t="s">
        <v>663</v>
      </c>
      <c r="N17" s="227" t="s">
        <v>791</v>
      </c>
      <c r="O17" s="228"/>
      <c r="P17" s="228"/>
      <c r="Q17" s="228">
        <v>1</v>
      </c>
      <c r="R17" s="228"/>
      <c r="S17" s="228"/>
      <c r="T17" s="240" t="s">
        <v>665</v>
      </c>
      <c r="U17" s="240" t="s">
        <v>792</v>
      </c>
      <c r="V17" s="229"/>
      <c r="W17" s="229"/>
      <c r="X17" s="241"/>
      <c r="Y17" s="229"/>
      <c r="Z17" s="382"/>
      <c r="AA17" s="241"/>
      <c r="AB17" s="229"/>
      <c r="AC17" s="229"/>
      <c r="AD17" s="386">
        <v>1</v>
      </c>
      <c r="AE17" s="229"/>
      <c r="AF17" s="229"/>
      <c r="AG17" s="241"/>
      <c r="AH17" s="311"/>
      <c r="AI17" s="311"/>
      <c r="AJ17" s="311"/>
      <c r="AK17" s="363"/>
      <c r="AL17" s="363"/>
      <c r="AM17" s="241"/>
      <c r="AN17" s="230"/>
      <c r="AO17" s="230"/>
      <c r="AP17" s="230"/>
      <c r="AQ17" s="230"/>
      <c r="AR17" s="230"/>
      <c r="AS17" s="230"/>
      <c r="AT17" s="378">
        <f>SUM(AH17:AS17)</f>
        <v>0</v>
      </c>
      <c r="AU17" s="232">
        <f>+AT17/Q17</f>
        <v>0</v>
      </c>
      <c r="AV17" s="300" t="s">
        <v>892</v>
      </c>
      <c r="AW17" s="250"/>
      <c r="AX17" s="250"/>
    </row>
    <row r="18" spans="1:50" ht="15">
      <c r="A18" s="768" t="s">
        <v>295</v>
      </c>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69"/>
      <c r="AT18" s="769"/>
      <c r="AU18" s="769"/>
      <c r="AV18" s="769"/>
      <c r="AW18" s="769"/>
      <c r="AX18" s="770"/>
    </row>
    <row r="19" spans="1:50" ht="45" customHeight="1">
      <c r="A19" s="771" t="s">
        <v>64</v>
      </c>
      <c r="B19" s="771"/>
      <c r="C19" s="771"/>
      <c r="D19" s="767" t="s">
        <v>66</v>
      </c>
      <c r="E19" s="767"/>
      <c r="F19" s="767"/>
      <c r="G19" s="767"/>
      <c r="H19" s="767"/>
      <c r="I19" s="767"/>
      <c r="J19" s="766" t="s">
        <v>302</v>
      </c>
      <c r="K19" s="766"/>
      <c r="L19" s="766"/>
      <c r="M19" s="766"/>
      <c r="N19" s="766"/>
      <c r="O19" s="766"/>
      <c r="P19" s="767" t="s">
        <v>66</v>
      </c>
      <c r="Q19" s="767"/>
      <c r="R19" s="767"/>
      <c r="S19" s="767"/>
      <c r="T19" s="767"/>
      <c r="U19" s="767"/>
      <c r="V19" s="767" t="s">
        <v>66</v>
      </c>
      <c r="W19" s="767"/>
      <c r="X19" s="767"/>
      <c r="Y19" s="767"/>
      <c r="Z19" s="767"/>
      <c r="AA19" s="767"/>
      <c r="AB19" s="767"/>
      <c r="AC19" s="767"/>
      <c r="AD19" s="767" t="s">
        <v>66</v>
      </c>
      <c r="AE19" s="767"/>
      <c r="AF19" s="767"/>
      <c r="AG19" s="767"/>
      <c r="AH19" s="767"/>
      <c r="AI19" s="767"/>
      <c r="AJ19" s="767"/>
      <c r="AK19" s="767"/>
      <c r="AL19" s="767"/>
      <c r="AM19" s="767"/>
      <c r="AN19" s="767"/>
      <c r="AO19" s="767"/>
      <c r="AP19" s="766" t="s">
        <v>320</v>
      </c>
      <c r="AQ19" s="766"/>
      <c r="AR19" s="766"/>
      <c r="AS19" s="766"/>
      <c r="AT19" s="767" t="s">
        <v>13</v>
      </c>
      <c r="AU19" s="767"/>
      <c r="AV19" s="767"/>
      <c r="AW19" s="767"/>
      <c r="AX19" s="767"/>
    </row>
    <row r="20" spans="1:50" ht="22.5" customHeight="1">
      <c r="A20" s="771"/>
      <c r="B20" s="771"/>
      <c r="C20" s="771"/>
      <c r="D20" s="767" t="s">
        <v>740</v>
      </c>
      <c r="E20" s="767"/>
      <c r="F20" s="767"/>
      <c r="G20" s="767"/>
      <c r="H20" s="767"/>
      <c r="I20" s="767"/>
      <c r="J20" s="766"/>
      <c r="K20" s="766"/>
      <c r="L20" s="766"/>
      <c r="M20" s="766"/>
      <c r="N20" s="766"/>
      <c r="O20" s="766"/>
      <c r="P20" s="767" t="s">
        <v>633</v>
      </c>
      <c r="Q20" s="767"/>
      <c r="R20" s="767"/>
      <c r="S20" s="767"/>
      <c r="T20" s="767"/>
      <c r="U20" s="767"/>
      <c r="V20" s="767" t="s">
        <v>634</v>
      </c>
      <c r="W20" s="767"/>
      <c r="X20" s="767"/>
      <c r="Y20" s="767"/>
      <c r="Z20" s="767"/>
      <c r="AA20" s="767"/>
      <c r="AB20" s="767"/>
      <c r="AC20" s="767"/>
      <c r="AD20" s="767" t="s">
        <v>65</v>
      </c>
      <c r="AE20" s="767"/>
      <c r="AF20" s="767"/>
      <c r="AG20" s="767"/>
      <c r="AH20" s="767"/>
      <c r="AI20" s="767"/>
      <c r="AJ20" s="767"/>
      <c r="AK20" s="767"/>
      <c r="AL20" s="767"/>
      <c r="AM20" s="767"/>
      <c r="AN20" s="767"/>
      <c r="AO20" s="767"/>
      <c r="AP20" s="766"/>
      <c r="AQ20" s="766"/>
      <c r="AR20" s="766"/>
      <c r="AS20" s="766"/>
      <c r="AT20" s="767" t="s">
        <v>634</v>
      </c>
      <c r="AU20" s="767"/>
      <c r="AV20" s="767"/>
      <c r="AW20" s="767"/>
      <c r="AX20" s="767"/>
    </row>
    <row r="21" spans="1:50" ht="22.5" customHeight="1">
      <c r="A21" s="771"/>
      <c r="B21" s="771"/>
      <c r="C21" s="771"/>
      <c r="D21" s="767" t="s">
        <v>741</v>
      </c>
      <c r="E21" s="767"/>
      <c r="F21" s="767"/>
      <c r="G21" s="767"/>
      <c r="H21" s="767"/>
      <c r="I21" s="767"/>
      <c r="J21" s="766"/>
      <c r="K21" s="766"/>
      <c r="L21" s="766"/>
      <c r="M21" s="766"/>
      <c r="N21" s="766"/>
      <c r="O21" s="766"/>
      <c r="P21" s="767" t="s">
        <v>637</v>
      </c>
      <c r="Q21" s="767"/>
      <c r="R21" s="767"/>
      <c r="S21" s="767"/>
      <c r="T21" s="767"/>
      <c r="U21" s="767"/>
      <c r="V21" s="767" t="s">
        <v>75</v>
      </c>
      <c r="W21" s="767"/>
      <c r="X21" s="767"/>
      <c r="Y21" s="767"/>
      <c r="Z21" s="767"/>
      <c r="AA21" s="767"/>
      <c r="AB21" s="767"/>
      <c r="AC21" s="767"/>
      <c r="AD21" s="767" t="s">
        <v>298</v>
      </c>
      <c r="AE21" s="767"/>
      <c r="AF21" s="767"/>
      <c r="AG21" s="767"/>
      <c r="AH21" s="767"/>
      <c r="AI21" s="767"/>
      <c r="AJ21" s="767"/>
      <c r="AK21" s="767"/>
      <c r="AL21" s="767"/>
      <c r="AM21" s="767"/>
      <c r="AN21" s="767"/>
      <c r="AO21" s="767"/>
      <c r="AP21" s="766"/>
      <c r="AQ21" s="766"/>
      <c r="AR21" s="766"/>
      <c r="AS21" s="766"/>
      <c r="AT21" s="767" t="s">
        <v>75</v>
      </c>
      <c r="AU21" s="767"/>
      <c r="AV21" s="767"/>
      <c r="AW21" s="767"/>
      <c r="AX21" s="767"/>
    </row>
  </sheetData>
  <sheetProtection/>
  <mergeCells count="56">
    <mergeCell ref="D21:I21"/>
    <mergeCell ref="P21:U21"/>
    <mergeCell ref="V21:AC21"/>
    <mergeCell ref="AD21:AO21"/>
    <mergeCell ref="AT21:AX21"/>
    <mergeCell ref="AT19:AX19"/>
    <mergeCell ref="D20:I20"/>
    <mergeCell ref="P20:U20"/>
    <mergeCell ref="V20:AC20"/>
    <mergeCell ref="AD20:AO20"/>
    <mergeCell ref="AT20:AX20"/>
    <mergeCell ref="AH11:AS11"/>
    <mergeCell ref="AT11:AU11"/>
    <mergeCell ref="A18:AX18"/>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X24"/>
  <sheetViews>
    <sheetView zoomScale="80" zoomScaleNormal="80" workbookViewId="0" topLeftCell="R17">
      <selection activeCell="AO17" sqref="AO17"/>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45" width="6.00390625" style="113" customWidth="1"/>
    <col min="46" max="47" width="10.8515625" style="128" customWidth="1"/>
    <col min="48" max="48" width="74.28125" style="113" customWidth="1"/>
    <col min="49" max="50" width="33.0039062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772" t="s">
        <v>18</v>
      </c>
      <c r="AX1" s="773"/>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774" t="s">
        <v>405</v>
      </c>
      <c r="AX2" s="775"/>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774" t="s">
        <v>404</v>
      </c>
      <c r="AX3" s="775"/>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204" customHeight="1">
      <c r="A13" s="125">
        <v>518</v>
      </c>
      <c r="B13" s="125"/>
      <c r="C13" s="125"/>
      <c r="D13" s="125"/>
      <c r="E13" s="125">
        <v>1</v>
      </c>
      <c r="F13" s="125"/>
      <c r="G13" s="227" t="s">
        <v>443</v>
      </c>
      <c r="H13" s="242"/>
      <c r="I13" s="243" t="s">
        <v>510</v>
      </c>
      <c r="J13" s="147" t="s">
        <v>511</v>
      </c>
      <c r="K13" s="227" t="s">
        <v>468</v>
      </c>
      <c r="L13" s="125"/>
      <c r="M13" s="227" t="s">
        <v>432</v>
      </c>
      <c r="N13" s="227" t="s">
        <v>512</v>
      </c>
      <c r="O13" s="228"/>
      <c r="P13" s="228"/>
      <c r="Q13" s="232">
        <v>0.85</v>
      </c>
      <c r="R13" s="228"/>
      <c r="S13" s="228"/>
      <c r="T13" s="240" t="s">
        <v>433</v>
      </c>
      <c r="U13" s="240" t="s">
        <v>513</v>
      </c>
      <c r="V13" s="229"/>
      <c r="W13" s="229"/>
      <c r="X13" s="229">
        <v>0.2</v>
      </c>
      <c r="Y13" s="229"/>
      <c r="Z13" s="229"/>
      <c r="AA13" s="229">
        <v>0.2</v>
      </c>
      <c r="AB13" s="229"/>
      <c r="AC13" s="229"/>
      <c r="AD13" s="229">
        <v>0.2</v>
      </c>
      <c r="AE13" s="229"/>
      <c r="AF13" s="229"/>
      <c r="AG13" s="229">
        <v>0.25</v>
      </c>
      <c r="AH13" s="230"/>
      <c r="AI13" s="230"/>
      <c r="AJ13" s="231">
        <v>0.2</v>
      </c>
      <c r="AK13" s="230"/>
      <c r="AL13" s="230"/>
      <c r="AM13" s="231">
        <v>0.2</v>
      </c>
      <c r="AN13" s="230"/>
      <c r="AO13" s="230"/>
      <c r="AP13" s="230"/>
      <c r="AQ13" s="230"/>
      <c r="AR13" s="230"/>
      <c r="AS13" s="230"/>
      <c r="AT13" s="282">
        <f>SUM(AH13:AS13)</f>
        <v>0.4</v>
      </c>
      <c r="AU13" s="232">
        <f aca="true" t="shared" si="0" ref="AU13:AU20">+AT13/Q13</f>
        <v>0.4705882352941177</v>
      </c>
      <c r="AV13" s="300" t="s">
        <v>851</v>
      </c>
      <c r="AW13" s="233"/>
      <c r="AX13" s="227"/>
    </row>
    <row r="14" spans="1:50" s="234" customFormat="1" ht="204" customHeight="1">
      <c r="A14" s="125">
        <v>518</v>
      </c>
      <c r="B14" s="125"/>
      <c r="C14" s="125"/>
      <c r="D14" s="125"/>
      <c r="E14" s="125">
        <v>1</v>
      </c>
      <c r="F14" s="125"/>
      <c r="G14" s="227" t="s">
        <v>443</v>
      </c>
      <c r="H14" s="242"/>
      <c r="I14" s="244" t="s">
        <v>510</v>
      </c>
      <c r="J14" s="147" t="s">
        <v>514</v>
      </c>
      <c r="K14" s="227" t="s">
        <v>468</v>
      </c>
      <c r="L14" s="125"/>
      <c r="M14" s="227" t="s">
        <v>432</v>
      </c>
      <c r="N14" s="227" t="s">
        <v>515</v>
      </c>
      <c r="O14" s="228"/>
      <c r="P14" s="228"/>
      <c r="Q14" s="232">
        <v>0.85</v>
      </c>
      <c r="R14" s="228"/>
      <c r="S14" s="228"/>
      <c r="T14" s="240" t="s">
        <v>483</v>
      </c>
      <c r="U14" s="240" t="s">
        <v>516</v>
      </c>
      <c r="V14" s="229"/>
      <c r="W14" s="229"/>
      <c r="X14" s="229"/>
      <c r="Y14" s="229"/>
      <c r="Z14" s="229"/>
      <c r="AA14" s="229">
        <v>0.4</v>
      </c>
      <c r="AB14" s="229"/>
      <c r="AC14" s="229"/>
      <c r="AD14" s="229"/>
      <c r="AE14" s="229"/>
      <c r="AF14" s="229"/>
      <c r="AG14" s="229">
        <v>0.45</v>
      </c>
      <c r="AH14" s="230"/>
      <c r="AI14" s="230"/>
      <c r="AJ14" s="231">
        <v>0.2</v>
      </c>
      <c r="AK14" s="230"/>
      <c r="AL14" s="230"/>
      <c r="AM14" s="231">
        <v>0.2</v>
      </c>
      <c r="AN14" s="230"/>
      <c r="AO14" s="230"/>
      <c r="AP14" s="230"/>
      <c r="AQ14" s="230"/>
      <c r="AR14" s="230"/>
      <c r="AS14" s="230"/>
      <c r="AT14" s="282">
        <f>SUM(AH14:AS14)</f>
        <v>0.4</v>
      </c>
      <c r="AU14" s="232">
        <f t="shared" si="0"/>
        <v>0.4705882352941177</v>
      </c>
      <c r="AV14" s="300" t="s">
        <v>852</v>
      </c>
      <c r="AW14" s="233"/>
      <c r="AX14" s="227"/>
    </row>
    <row r="15" spans="1:50" s="234" customFormat="1" ht="204" customHeight="1">
      <c r="A15" s="125">
        <v>518</v>
      </c>
      <c r="B15" s="125"/>
      <c r="C15" s="125"/>
      <c r="D15" s="125"/>
      <c r="E15" s="125">
        <v>2</v>
      </c>
      <c r="F15" s="125"/>
      <c r="G15" s="227" t="s">
        <v>443</v>
      </c>
      <c r="H15" s="125"/>
      <c r="I15" s="149" t="s">
        <v>517</v>
      </c>
      <c r="J15" s="149" t="s">
        <v>518</v>
      </c>
      <c r="K15" s="227" t="s">
        <v>452</v>
      </c>
      <c r="L15" s="125"/>
      <c r="M15" s="227" t="s">
        <v>432</v>
      </c>
      <c r="N15" s="227" t="s">
        <v>519</v>
      </c>
      <c r="O15" s="228"/>
      <c r="P15" s="228"/>
      <c r="Q15" s="232">
        <v>1</v>
      </c>
      <c r="R15" s="228"/>
      <c r="S15" s="228"/>
      <c r="T15" s="240" t="s">
        <v>433</v>
      </c>
      <c r="U15" s="227" t="s">
        <v>520</v>
      </c>
      <c r="V15" s="229"/>
      <c r="W15" s="229"/>
      <c r="X15" s="229">
        <v>1</v>
      </c>
      <c r="Y15" s="229"/>
      <c r="Z15" s="229"/>
      <c r="AA15" s="229">
        <v>1</v>
      </c>
      <c r="AB15" s="229"/>
      <c r="AC15" s="229"/>
      <c r="AD15" s="229">
        <v>1</v>
      </c>
      <c r="AE15" s="229"/>
      <c r="AF15" s="229"/>
      <c r="AG15" s="229">
        <v>1</v>
      </c>
      <c r="AH15" s="230"/>
      <c r="AI15" s="230"/>
      <c r="AJ15" s="231">
        <v>0.6</v>
      </c>
      <c r="AK15" s="319"/>
      <c r="AL15" s="231"/>
      <c r="AM15" s="231">
        <v>1</v>
      </c>
      <c r="AN15" s="230"/>
      <c r="AO15" s="230"/>
      <c r="AP15" s="230"/>
      <c r="AQ15" s="230"/>
      <c r="AR15" s="230"/>
      <c r="AS15" s="230"/>
      <c r="AT15" s="282">
        <f>AM15</f>
        <v>1</v>
      </c>
      <c r="AU15" s="232">
        <f t="shared" si="0"/>
        <v>1</v>
      </c>
      <c r="AV15" s="301" t="s">
        <v>853</v>
      </c>
      <c r="AW15" s="233"/>
      <c r="AX15" s="227"/>
    </row>
    <row r="16" spans="1:50" s="234" customFormat="1" ht="204" customHeight="1">
      <c r="A16" s="125">
        <v>518</v>
      </c>
      <c r="B16" s="125"/>
      <c r="C16" s="125"/>
      <c r="D16" s="125"/>
      <c r="E16" s="125">
        <v>2</v>
      </c>
      <c r="F16" s="125"/>
      <c r="G16" s="227" t="s">
        <v>443</v>
      </c>
      <c r="H16" s="125"/>
      <c r="I16" s="149" t="s">
        <v>521</v>
      </c>
      <c r="J16" s="149" t="s">
        <v>522</v>
      </c>
      <c r="K16" s="125" t="s">
        <v>468</v>
      </c>
      <c r="L16" s="230"/>
      <c r="M16" s="227" t="s">
        <v>432</v>
      </c>
      <c r="N16" s="227" t="s">
        <v>523</v>
      </c>
      <c r="O16" s="230"/>
      <c r="P16" s="230"/>
      <c r="Q16" s="232">
        <v>1</v>
      </c>
      <c r="R16" s="230"/>
      <c r="S16" s="230"/>
      <c r="T16" s="240" t="s">
        <v>433</v>
      </c>
      <c r="U16" s="227" t="s">
        <v>524</v>
      </c>
      <c r="V16" s="229"/>
      <c r="W16" s="229"/>
      <c r="X16" s="229">
        <v>0.25</v>
      </c>
      <c r="Y16" s="229"/>
      <c r="Z16" s="229"/>
      <c r="AA16" s="229">
        <v>0.25</v>
      </c>
      <c r="AB16" s="229"/>
      <c r="AC16" s="229"/>
      <c r="AD16" s="229">
        <v>0.25</v>
      </c>
      <c r="AE16" s="229"/>
      <c r="AF16" s="229"/>
      <c r="AG16" s="229">
        <v>0.25</v>
      </c>
      <c r="AH16" s="230"/>
      <c r="AI16" s="230"/>
      <c r="AJ16" s="231">
        <v>0.6</v>
      </c>
      <c r="AK16" s="230"/>
      <c r="AL16" s="230"/>
      <c r="AM16" s="231">
        <v>0.7</v>
      </c>
      <c r="AN16" s="230"/>
      <c r="AO16" s="230"/>
      <c r="AP16" s="230"/>
      <c r="AQ16" s="230"/>
      <c r="AR16" s="230"/>
      <c r="AS16" s="230"/>
      <c r="AT16" s="282">
        <f>SUM(AH16:AS16)</f>
        <v>1.2999999999999998</v>
      </c>
      <c r="AU16" s="232">
        <f t="shared" si="0"/>
        <v>1.2999999999999998</v>
      </c>
      <c r="AV16" s="301" t="s">
        <v>854</v>
      </c>
      <c r="AW16" s="233"/>
      <c r="AX16" s="227"/>
    </row>
    <row r="17" spans="1:50" s="234" customFormat="1" ht="204" customHeight="1">
      <c r="A17" s="125">
        <v>518</v>
      </c>
      <c r="B17" s="125"/>
      <c r="C17" s="125"/>
      <c r="D17" s="125"/>
      <c r="E17" s="125">
        <v>2</v>
      </c>
      <c r="F17" s="125"/>
      <c r="G17" s="227" t="s">
        <v>443</v>
      </c>
      <c r="H17" s="125"/>
      <c r="I17" s="149" t="s">
        <v>525</v>
      </c>
      <c r="J17" s="149" t="s">
        <v>526</v>
      </c>
      <c r="K17" s="125" t="s">
        <v>452</v>
      </c>
      <c r="L17" s="230"/>
      <c r="M17" s="227" t="s">
        <v>432</v>
      </c>
      <c r="N17" s="149" t="s">
        <v>527</v>
      </c>
      <c r="O17" s="230"/>
      <c r="P17" s="230"/>
      <c r="Q17" s="232">
        <v>1</v>
      </c>
      <c r="R17" s="230"/>
      <c r="S17" s="230"/>
      <c r="T17" s="240" t="s">
        <v>409</v>
      </c>
      <c r="U17" s="227" t="s">
        <v>528</v>
      </c>
      <c r="V17" s="229">
        <f>(100/100)*100%</f>
        <v>1</v>
      </c>
      <c r="W17" s="229">
        <f aca="true" t="shared" si="1" ref="W17:AG17">(100/100)*100%</f>
        <v>1</v>
      </c>
      <c r="X17" s="229">
        <f t="shared" si="1"/>
        <v>1</v>
      </c>
      <c r="Y17" s="229">
        <f t="shared" si="1"/>
        <v>1</v>
      </c>
      <c r="Z17" s="229">
        <f t="shared" si="1"/>
        <v>1</v>
      </c>
      <c r="AA17" s="229">
        <f t="shared" si="1"/>
        <v>1</v>
      </c>
      <c r="AB17" s="229">
        <f t="shared" si="1"/>
        <v>1</v>
      </c>
      <c r="AC17" s="229">
        <f t="shared" si="1"/>
        <v>1</v>
      </c>
      <c r="AD17" s="229">
        <f t="shared" si="1"/>
        <v>1</v>
      </c>
      <c r="AE17" s="229">
        <f t="shared" si="1"/>
        <v>1</v>
      </c>
      <c r="AF17" s="229">
        <f t="shared" si="1"/>
        <v>1</v>
      </c>
      <c r="AG17" s="229">
        <f t="shared" si="1"/>
        <v>1</v>
      </c>
      <c r="AH17" s="229">
        <v>0.81</v>
      </c>
      <c r="AI17" s="246">
        <f>727/809</f>
        <v>0.8986402966625463</v>
      </c>
      <c r="AJ17" s="246">
        <f>438/541</f>
        <v>0.8096118299445472</v>
      </c>
      <c r="AK17" s="246">
        <f>467/524</f>
        <v>0.8912213740458015</v>
      </c>
      <c r="AL17" s="365">
        <f>472/518</f>
        <v>0.9111969111969112</v>
      </c>
      <c r="AM17" s="246">
        <f>403/486</f>
        <v>0.8292181069958847</v>
      </c>
      <c r="AN17" s="246">
        <v>0.92</v>
      </c>
      <c r="AO17" s="246">
        <f>541/663</f>
        <v>0.8159879336349924</v>
      </c>
      <c r="AP17" s="230"/>
      <c r="AQ17" s="230"/>
      <c r="AR17" s="230"/>
      <c r="AS17" s="230"/>
      <c r="AT17" s="282">
        <f>+AN17</f>
        <v>0.92</v>
      </c>
      <c r="AU17" s="232">
        <f t="shared" si="0"/>
        <v>0.92</v>
      </c>
      <c r="AV17" s="331" t="s">
        <v>855</v>
      </c>
      <c r="AW17" s="331" t="s">
        <v>856</v>
      </c>
      <c r="AX17" s="332" t="s">
        <v>857</v>
      </c>
    </row>
    <row r="18" spans="1:50" s="234" customFormat="1" ht="204" customHeight="1">
      <c r="A18" s="125">
        <v>518</v>
      </c>
      <c r="B18" s="125"/>
      <c r="C18" s="125"/>
      <c r="D18" s="125"/>
      <c r="E18" s="125">
        <v>2</v>
      </c>
      <c r="F18" s="125"/>
      <c r="G18" s="227" t="s">
        <v>443</v>
      </c>
      <c r="H18" s="125"/>
      <c r="I18" s="149" t="s">
        <v>529</v>
      </c>
      <c r="J18" s="149" t="s">
        <v>530</v>
      </c>
      <c r="K18" s="125" t="s">
        <v>468</v>
      </c>
      <c r="L18" s="230"/>
      <c r="M18" s="227" t="s">
        <v>432</v>
      </c>
      <c r="N18" s="149" t="s">
        <v>531</v>
      </c>
      <c r="O18" s="230"/>
      <c r="P18" s="230"/>
      <c r="Q18" s="245">
        <v>1</v>
      </c>
      <c r="R18" s="230"/>
      <c r="S18" s="230"/>
      <c r="T18" s="240" t="s">
        <v>483</v>
      </c>
      <c r="U18" s="227" t="s">
        <v>532</v>
      </c>
      <c r="V18" s="229"/>
      <c r="W18" s="229"/>
      <c r="X18" s="229"/>
      <c r="Y18" s="229"/>
      <c r="Z18" s="229"/>
      <c r="AA18" s="229">
        <v>0.5</v>
      </c>
      <c r="AB18" s="229"/>
      <c r="AC18" s="229"/>
      <c r="AD18" s="229"/>
      <c r="AE18" s="229"/>
      <c r="AF18" s="229"/>
      <c r="AG18" s="229">
        <v>0.5</v>
      </c>
      <c r="AH18" s="230"/>
      <c r="AI18" s="230"/>
      <c r="AJ18" s="231"/>
      <c r="AK18" s="230"/>
      <c r="AL18" s="230"/>
      <c r="AM18" s="231">
        <v>0.5</v>
      </c>
      <c r="AN18" s="230"/>
      <c r="AO18" s="230"/>
      <c r="AP18" s="230"/>
      <c r="AQ18" s="230"/>
      <c r="AR18" s="230"/>
      <c r="AS18" s="230"/>
      <c r="AT18" s="282">
        <f>SUM(AH18:AS18)</f>
        <v>0.5</v>
      </c>
      <c r="AU18" s="232">
        <f t="shared" si="0"/>
        <v>0.5</v>
      </c>
      <c r="AV18" s="302" t="s">
        <v>858</v>
      </c>
      <c r="AW18" s="233"/>
      <c r="AX18" s="227"/>
    </row>
    <row r="19" spans="1:50" s="234" customFormat="1" ht="204" customHeight="1">
      <c r="A19" s="125">
        <v>518</v>
      </c>
      <c r="B19" s="125"/>
      <c r="C19" s="125"/>
      <c r="D19" s="125"/>
      <c r="E19" s="125">
        <v>3</v>
      </c>
      <c r="F19" s="125"/>
      <c r="G19" s="227" t="s">
        <v>443</v>
      </c>
      <c r="H19" s="125"/>
      <c r="I19" s="149" t="s">
        <v>533</v>
      </c>
      <c r="J19" s="149" t="s">
        <v>534</v>
      </c>
      <c r="K19" s="125" t="s">
        <v>468</v>
      </c>
      <c r="L19" s="240"/>
      <c r="M19" s="227" t="s">
        <v>432</v>
      </c>
      <c r="N19" s="149" t="s">
        <v>531</v>
      </c>
      <c r="O19" s="230"/>
      <c r="P19" s="230"/>
      <c r="Q19" s="245">
        <v>1</v>
      </c>
      <c r="R19" s="230"/>
      <c r="S19" s="230"/>
      <c r="T19" s="240" t="s">
        <v>483</v>
      </c>
      <c r="U19" s="227" t="s">
        <v>535</v>
      </c>
      <c r="V19" s="229"/>
      <c r="W19" s="229"/>
      <c r="X19" s="229"/>
      <c r="Y19" s="229"/>
      <c r="Z19" s="229"/>
      <c r="AA19" s="229">
        <v>0.5</v>
      </c>
      <c r="AB19" s="229"/>
      <c r="AC19" s="229"/>
      <c r="AD19" s="229"/>
      <c r="AE19" s="229"/>
      <c r="AF19" s="229"/>
      <c r="AG19" s="229">
        <v>0.5</v>
      </c>
      <c r="AH19" s="230"/>
      <c r="AI19" s="230"/>
      <c r="AJ19" s="231"/>
      <c r="AK19" s="230"/>
      <c r="AL19" s="230"/>
      <c r="AM19" s="231">
        <v>0.5</v>
      </c>
      <c r="AN19" s="230"/>
      <c r="AO19" s="230"/>
      <c r="AP19" s="230"/>
      <c r="AQ19" s="230"/>
      <c r="AR19" s="230"/>
      <c r="AS19" s="230"/>
      <c r="AT19" s="282">
        <f>SUM(AH19:AS19)</f>
        <v>0.5</v>
      </c>
      <c r="AU19" s="232">
        <f t="shared" si="0"/>
        <v>0.5</v>
      </c>
      <c r="AV19" s="301" t="s">
        <v>859</v>
      </c>
      <c r="AW19" s="233"/>
      <c r="AX19" s="227"/>
    </row>
    <row r="20" spans="1:50" s="234" customFormat="1" ht="204" customHeight="1">
      <c r="A20" s="125">
        <v>518</v>
      </c>
      <c r="B20" s="125"/>
      <c r="C20" s="125"/>
      <c r="D20" s="125"/>
      <c r="E20" s="125">
        <v>3</v>
      </c>
      <c r="F20" s="125"/>
      <c r="G20" s="227" t="s">
        <v>443</v>
      </c>
      <c r="H20" s="125"/>
      <c r="I20" s="149" t="s">
        <v>536</v>
      </c>
      <c r="J20" s="149" t="s">
        <v>537</v>
      </c>
      <c r="K20" s="125" t="s">
        <v>452</v>
      </c>
      <c r="L20" s="230"/>
      <c r="M20" s="227" t="s">
        <v>432</v>
      </c>
      <c r="N20" s="247" t="s">
        <v>538</v>
      </c>
      <c r="O20" s="230"/>
      <c r="P20" s="230"/>
      <c r="Q20" s="245">
        <v>1</v>
      </c>
      <c r="R20" s="230"/>
      <c r="S20" s="230"/>
      <c r="T20" s="240" t="s">
        <v>483</v>
      </c>
      <c r="U20" s="227" t="s">
        <v>539</v>
      </c>
      <c r="V20" s="229"/>
      <c r="W20" s="229"/>
      <c r="X20" s="229"/>
      <c r="Y20" s="229"/>
      <c r="Z20" s="229"/>
      <c r="AA20" s="229">
        <v>1</v>
      </c>
      <c r="AB20" s="229"/>
      <c r="AC20" s="229"/>
      <c r="AD20" s="229"/>
      <c r="AE20" s="229"/>
      <c r="AF20" s="229"/>
      <c r="AG20" s="229">
        <v>1</v>
      </c>
      <c r="AH20" s="230"/>
      <c r="AI20" s="230"/>
      <c r="AJ20" s="231"/>
      <c r="AK20" s="230"/>
      <c r="AL20" s="230"/>
      <c r="AM20" s="231">
        <v>1</v>
      </c>
      <c r="AN20" s="230"/>
      <c r="AO20" s="230"/>
      <c r="AP20" s="230"/>
      <c r="AQ20" s="230"/>
      <c r="AR20" s="230"/>
      <c r="AS20" s="230"/>
      <c r="AT20" s="282">
        <f>SUM(AH20:AS20)</f>
        <v>1</v>
      </c>
      <c r="AU20" s="232">
        <f t="shared" si="0"/>
        <v>1</v>
      </c>
      <c r="AV20" s="301" t="s">
        <v>860</v>
      </c>
      <c r="AW20" s="233"/>
      <c r="AX20" s="227"/>
    </row>
    <row r="21" spans="1:50" ht="15">
      <c r="A21" s="768" t="s">
        <v>295</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770"/>
    </row>
    <row r="22" spans="1:50" ht="45" customHeight="1">
      <c r="A22" s="771" t="s">
        <v>64</v>
      </c>
      <c r="B22" s="771"/>
      <c r="C22" s="771"/>
      <c r="D22" s="767" t="s">
        <v>66</v>
      </c>
      <c r="E22" s="767"/>
      <c r="F22" s="767"/>
      <c r="G22" s="767"/>
      <c r="H22" s="767"/>
      <c r="I22" s="767"/>
      <c r="J22" s="766" t="s">
        <v>302</v>
      </c>
      <c r="K22" s="766"/>
      <c r="L22" s="766"/>
      <c r="M22" s="766"/>
      <c r="N22" s="766"/>
      <c r="O22" s="766"/>
      <c r="P22" s="767" t="s">
        <v>66</v>
      </c>
      <c r="Q22" s="767"/>
      <c r="R22" s="767"/>
      <c r="S22" s="767"/>
      <c r="T22" s="767"/>
      <c r="U22" s="767"/>
      <c r="V22" s="767" t="s">
        <v>66</v>
      </c>
      <c r="W22" s="767"/>
      <c r="X22" s="767"/>
      <c r="Y22" s="767"/>
      <c r="Z22" s="767"/>
      <c r="AA22" s="767"/>
      <c r="AB22" s="767"/>
      <c r="AC22" s="767"/>
      <c r="AD22" s="767" t="s">
        <v>66</v>
      </c>
      <c r="AE22" s="767"/>
      <c r="AF22" s="767"/>
      <c r="AG22" s="767"/>
      <c r="AH22" s="767"/>
      <c r="AI22" s="767"/>
      <c r="AJ22" s="767"/>
      <c r="AK22" s="767"/>
      <c r="AL22" s="767"/>
      <c r="AM22" s="767"/>
      <c r="AN22" s="767"/>
      <c r="AO22" s="767"/>
      <c r="AP22" s="766" t="s">
        <v>320</v>
      </c>
      <c r="AQ22" s="766"/>
      <c r="AR22" s="766"/>
      <c r="AS22" s="766"/>
      <c r="AT22" s="767" t="s">
        <v>13</v>
      </c>
      <c r="AU22" s="767"/>
      <c r="AV22" s="767"/>
      <c r="AW22" s="767"/>
      <c r="AX22" s="767"/>
    </row>
    <row r="23" spans="1:50" ht="22.5" customHeight="1">
      <c r="A23" s="771"/>
      <c r="B23" s="771"/>
      <c r="C23" s="771"/>
      <c r="D23" s="767" t="s">
        <v>726</v>
      </c>
      <c r="E23" s="767"/>
      <c r="F23" s="767"/>
      <c r="G23" s="767"/>
      <c r="H23" s="767"/>
      <c r="I23" s="767"/>
      <c r="J23" s="766"/>
      <c r="K23" s="766"/>
      <c r="L23" s="766"/>
      <c r="M23" s="766"/>
      <c r="N23" s="766"/>
      <c r="O23" s="766"/>
      <c r="P23" s="767" t="s">
        <v>634</v>
      </c>
      <c r="Q23" s="767"/>
      <c r="R23" s="767"/>
      <c r="S23" s="767"/>
      <c r="T23" s="767"/>
      <c r="U23" s="767"/>
      <c r="V23" s="767" t="s">
        <v>588</v>
      </c>
      <c r="W23" s="767"/>
      <c r="X23" s="767"/>
      <c r="Y23" s="767"/>
      <c r="Z23" s="767"/>
      <c r="AA23" s="767"/>
      <c r="AB23" s="767"/>
      <c r="AC23" s="767"/>
      <c r="AD23" s="767" t="s">
        <v>65</v>
      </c>
      <c r="AE23" s="767"/>
      <c r="AF23" s="767"/>
      <c r="AG23" s="767"/>
      <c r="AH23" s="767"/>
      <c r="AI23" s="767"/>
      <c r="AJ23" s="767"/>
      <c r="AK23" s="767"/>
      <c r="AL23" s="767"/>
      <c r="AM23" s="767"/>
      <c r="AN23" s="767"/>
      <c r="AO23" s="767"/>
      <c r="AP23" s="766"/>
      <c r="AQ23" s="766"/>
      <c r="AR23" s="766"/>
      <c r="AS23" s="766"/>
      <c r="AT23" s="767" t="s">
        <v>634</v>
      </c>
      <c r="AU23" s="767"/>
      <c r="AV23" s="767"/>
      <c r="AW23" s="767"/>
      <c r="AX23" s="767"/>
    </row>
    <row r="24" spans="1:50" ht="22.5" customHeight="1">
      <c r="A24" s="771"/>
      <c r="B24" s="771"/>
      <c r="C24" s="771"/>
      <c r="D24" s="767" t="s">
        <v>725</v>
      </c>
      <c r="E24" s="767"/>
      <c r="F24" s="767"/>
      <c r="G24" s="767"/>
      <c r="H24" s="767"/>
      <c r="I24" s="767"/>
      <c r="J24" s="766"/>
      <c r="K24" s="766"/>
      <c r="L24" s="766"/>
      <c r="M24" s="766"/>
      <c r="N24" s="766"/>
      <c r="O24" s="766"/>
      <c r="P24" s="767" t="s">
        <v>75</v>
      </c>
      <c r="Q24" s="767"/>
      <c r="R24" s="767"/>
      <c r="S24" s="767"/>
      <c r="T24" s="767"/>
      <c r="U24" s="767"/>
      <c r="V24" s="767" t="s">
        <v>298</v>
      </c>
      <c r="W24" s="767"/>
      <c r="X24" s="767"/>
      <c r="Y24" s="767"/>
      <c r="Z24" s="767"/>
      <c r="AA24" s="767"/>
      <c r="AB24" s="767"/>
      <c r="AC24" s="767"/>
      <c r="AD24" s="767" t="s">
        <v>298</v>
      </c>
      <c r="AE24" s="767"/>
      <c r="AF24" s="767"/>
      <c r="AG24" s="767"/>
      <c r="AH24" s="767"/>
      <c r="AI24" s="767"/>
      <c r="AJ24" s="767"/>
      <c r="AK24" s="767"/>
      <c r="AL24" s="767"/>
      <c r="AM24" s="767"/>
      <c r="AN24" s="767"/>
      <c r="AO24" s="767"/>
      <c r="AP24" s="766"/>
      <c r="AQ24" s="766"/>
      <c r="AR24" s="766"/>
      <c r="AS24" s="766"/>
      <c r="AT24" s="767" t="s">
        <v>75</v>
      </c>
      <c r="AU24" s="767"/>
      <c r="AV24" s="767"/>
      <c r="AW24" s="767"/>
      <c r="AX24" s="767"/>
    </row>
  </sheetData>
  <sheetProtection/>
  <mergeCells count="56">
    <mergeCell ref="D24:I24"/>
    <mergeCell ref="P24:U24"/>
    <mergeCell ref="V24:AC24"/>
    <mergeCell ref="AD24:AO24"/>
    <mergeCell ref="AT24:AX24"/>
    <mergeCell ref="AT22:AX22"/>
    <mergeCell ref="D23:I23"/>
    <mergeCell ref="P23:U23"/>
    <mergeCell ref="V23:AC23"/>
    <mergeCell ref="AD23:AO23"/>
    <mergeCell ref="AT23:AX23"/>
    <mergeCell ref="AH11:AS11"/>
    <mergeCell ref="AT11:AU11"/>
    <mergeCell ref="A21:AX21"/>
    <mergeCell ref="A22:C24"/>
    <mergeCell ref="D22:I22"/>
    <mergeCell ref="J22:O24"/>
    <mergeCell ref="P22:U22"/>
    <mergeCell ref="V22:AC22"/>
    <mergeCell ref="AD22:AO22"/>
    <mergeCell ref="AP22:AS24"/>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X19"/>
  <sheetViews>
    <sheetView zoomScalePageLayoutView="0" workbookViewId="0" topLeftCell="AM15">
      <selection activeCell="AV13" sqref="AV13:AX15"/>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20.281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99.421875" style="113" customWidth="1"/>
    <col min="49" max="49" width="35.00390625" style="113" customWidth="1"/>
    <col min="50" max="50" width="24.421875" style="113" customWidth="1"/>
    <col min="51" max="16384" width="9.140625" style="113" customWidth="1"/>
  </cols>
  <sheetData>
    <row r="1" spans="1:50" ht="15.75" customHeight="1">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591" t="s">
        <v>18</v>
      </c>
      <c r="AX1" s="592"/>
    </row>
    <row r="2" spans="1:50" ht="15.75" customHeight="1">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597" t="s">
        <v>405</v>
      </c>
      <c r="AX2" s="598"/>
    </row>
    <row r="3" spans="1:50" ht="15" customHeight="1">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597" t="s">
        <v>404</v>
      </c>
      <c r="AX3" s="598"/>
    </row>
    <row r="4" spans="1:50" ht="15.75" customHeight="1">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32" t="s">
        <v>177</v>
      </c>
      <c r="AX4" s="732"/>
    </row>
    <row r="5" spans="1:50" ht="15" customHeight="1">
      <c r="A5" s="733" t="s">
        <v>175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5"/>
      <c r="AH5" s="736" t="s">
        <v>69</v>
      </c>
      <c r="AI5" s="737"/>
      <c r="AJ5" s="737"/>
      <c r="AK5" s="737"/>
      <c r="AL5" s="737"/>
      <c r="AM5" s="737"/>
      <c r="AN5" s="737"/>
      <c r="AO5" s="737"/>
      <c r="AP5" s="737"/>
      <c r="AQ5" s="737"/>
      <c r="AR5" s="737"/>
      <c r="AS5" s="737"/>
      <c r="AT5" s="737"/>
      <c r="AU5" s="738"/>
      <c r="AV5" s="745" t="s">
        <v>299</v>
      </c>
      <c r="AW5" s="745" t="s">
        <v>300</v>
      </c>
      <c r="AX5" s="745" t="s">
        <v>301</v>
      </c>
    </row>
    <row r="6" spans="1:50" ht="15" customHeight="1">
      <c r="A6" s="748" t="s">
        <v>71</v>
      </c>
      <c r="B6" s="748"/>
      <c r="C6" s="748"/>
      <c r="D6" s="749">
        <v>44809</v>
      </c>
      <c r="E6" s="750"/>
      <c r="F6" s="748" t="s">
        <v>67</v>
      </c>
      <c r="G6" s="748"/>
      <c r="H6" s="751" t="s">
        <v>70</v>
      </c>
      <c r="I6" s="751"/>
      <c r="J6" s="125"/>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46"/>
      <c r="AW6" s="746"/>
      <c r="AX6" s="746"/>
    </row>
    <row r="7" spans="1:50" ht="15" customHeight="1">
      <c r="A7" s="748"/>
      <c r="B7" s="748"/>
      <c r="C7" s="748"/>
      <c r="D7" s="750"/>
      <c r="E7" s="750"/>
      <c r="F7" s="748"/>
      <c r="G7" s="748"/>
      <c r="H7" s="751" t="s">
        <v>68</v>
      </c>
      <c r="I7" s="751"/>
      <c r="J7" s="125"/>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46"/>
      <c r="AW7" s="746"/>
      <c r="AX7" s="746"/>
    </row>
    <row r="8" spans="1:50" ht="15" customHeight="1">
      <c r="A8" s="748"/>
      <c r="B8" s="748"/>
      <c r="C8" s="748"/>
      <c r="D8" s="750"/>
      <c r="E8" s="750"/>
      <c r="F8" s="748"/>
      <c r="G8" s="748"/>
      <c r="H8" s="751" t="s">
        <v>69</v>
      </c>
      <c r="I8" s="751"/>
      <c r="J8" s="125" t="s">
        <v>408</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46"/>
      <c r="AW8" s="746"/>
      <c r="AX8" s="746"/>
    </row>
    <row r="9" spans="1:50" ht="15" customHeight="1">
      <c r="A9" s="752" t="s">
        <v>403</v>
      </c>
      <c r="B9" s="753"/>
      <c r="C9" s="754"/>
      <c r="D9" s="755"/>
      <c r="E9" s="756"/>
      <c r="F9" s="756"/>
      <c r="G9" s="756"/>
      <c r="H9" s="756"/>
      <c r="I9" s="756"/>
      <c r="J9" s="756"/>
      <c r="K9" s="757"/>
      <c r="L9" s="757"/>
      <c r="M9" s="757"/>
      <c r="N9" s="757"/>
      <c r="O9" s="757"/>
      <c r="P9" s="757"/>
      <c r="Q9" s="757"/>
      <c r="R9" s="757"/>
      <c r="S9" s="757"/>
      <c r="T9" s="757"/>
      <c r="U9" s="757"/>
      <c r="V9" s="757"/>
      <c r="W9" s="757"/>
      <c r="X9" s="757"/>
      <c r="Y9" s="757"/>
      <c r="Z9" s="757"/>
      <c r="AA9" s="757"/>
      <c r="AB9" s="757"/>
      <c r="AC9" s="757"/>
      <c r="AD9" s="757"/>
      <c r="AE9" s="757"/>
      <c r="AF9" s="757"/>
      <c r="AG9" s="758"/>
      <c r="AH9" s="739"/>
      <c r="AI9" s="740"/>
      <c r="AJ9" s="740"/>
      <c r="AK9" s="740"/>
      <c r="AL9" s="740"/>
      <c r="AM9" s="740"/>
      <c r="AN9" s="740"/>
      <c r="AO9" s="740"/>
      <c r="AP9" s="740"/>
      <c r="AQ9" s="740"/>
      <c r="AR9" s="740"/>
      <c r="AS9" s="740"/>
      <c r="AT9" s="740"/>
      <c r="AU9" s="741"/>
      <c r="AV9" s="746"/>
      <c r="AW9" s="746"/>
      <c r="AX9" s="746"/>
    </row>
    <row r="10" spans="1:50" ht="15" customHeight="1">
      <c r="A10" s="759" t="s">
        <v>288</v>
      </c>
      <c r="B10" s="760"/>
      <c r="C10" s="761"/>
      <c r="D10" s="762" t="s">
        <v>410</v>
      </c>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8"/>
      <c r="AH10" s="742"/>
      <c r="AI10" s="743"/>
      <c r="AJ10" s="743"/>
      <c r="AK10" s="743"/>
      <c r="AL10" s="743"/>
      <c r="AM10" s="743"/>
      <c r="AN10" s="743"/>
      <c r="AO10" s="743"/>
      <c r="AP10" s="743"/>
      <c r="AQ10" s="743"/>
      <c r="AR10" s="743"/>
      <c r="AS10" s="743"/>
      <c r="AT10" s="743"/>
      <c r="AU10" s="744"/>
      <c r="AV10" s="746"/>
      <c r="AW10" s="746"/>
      <c r="AX10" s="746"/>
    </row>
    <row r="11" spans="1:50" ht="39.75" customHeight="1">
      <c r="A11" s="763" t="s">
        <v>169</v>
      </c>
      <c r="B11" s="764"/>
      <c r="C11" s="764"/>
      <c r="D11" s="764"/>
      <c r="E11" s="764"/>
      <c r="F11" s="765"/>
      <c r="G11" s="763" t="s">
        <v>279</v>
      </c>
      <c r="H11" s="765"/>
      <c r="I11" s="745" t="s">
        <v>180</v>
      </c>
      <c r="J11" s="745" t="s">
        <v>280</v>
      </c>
      <c r="K11" s="745" t="s">
        <v>325</v>
      </c>
      <c r="L11" s="745" t="s">
        <v>367</v>
      </c>
      <c r="M11" s="745" t="s">
        <v>168</v>
      </c>
      <c r="N11" s="745" t="s">
        <v>183</v>
      </c>
      <c r="O11" s="763" t="s">
        <v>285</v>
      </c>
      <c r="P11" s="764"/>
      <c r="Q11" s="764"/>
      <c r="R11" s="764"/>
      <c r="S11" s="765"/>
      <c r="T11" s="745" t="s">
        <v>174</v>
      </c>
      <c r="U11" s="745" t="s">
        <v>286</v>
      </c>
      <c r="V11" s="733" t="s">
        <v>374</v>
      </c>
      <c r="W11" s="734"/>
      <c r="X11" s="734"/>
      <c r="Y11" s="734"/>
      <c r="Z11" s="734"/>
      <c r="AA11" s="734"/>
      <c r="AB11" s="734"/>
      <c r="AC11" s="734"/>
      <c r="AD11" s="734"/>
      <c r="AE11" s="734"/>
      <c r="AF11" s="734"/>
      <c r="AG11" s="735"/>
      <c r="AH11" s="733" t="s">
        <v>87</v>
      </c>
      <c r="AI11" s="734"/>
      <c r="AJ11" s="734"/>
      <c r="AK11" s="734"/>
      <c r="AL11" s="734"/>
      <c r="AM11" s="734"/>
      <c r="AN11" s="734"/>
      <c r="AO11" s="734"/>
      <c r="AP11" s="734"/>
      <c r="AQ11" s="734"/>
      <c r="AR11" s="734"/>
      <c r="AS11" s="735"/>
      <c r="AT11" s="763" t="s">
        <v>8</v>
      </c>
      <c r="AU11" s="765"/>
      <c r="AV11" s="746"/>
      <c r="AW11" s="746"/>
      <c r="AX11" s="746"/>
    </row>
    <row r="12" spans="1:50" ht="42.75">
      <c r="A12" s="120" t="s">
        <v>170</v>
      </c>
      <c r="B12" s="120" t="s">
        <v>171</v>
      </c>
      <c r="C12" s="120" t="s">
        <v>172</v>
      </c>
      <c r="D12" s="120" t="s">
        <v>179</v>
      </c>
      <c r="E12" s="120" t="s">
        <v>186</v>
      </c>
      <c r="F12" s="120" t="s">
        <v>187</v>
      </c>
      <c r="G12" s="120" t="s">
        <v>278</v>
      </c>
      <c r="H12" s="120" t="s">
        <v>185</v>
      </c>
      <c r="I12" s="747"/>
      <c r="J12" s="747"/>
      <c r="K12" s="747"/>
      <c r="L12" s="747"/>
      <c r="M12" s="747"/>
      <c r="N12" s="747"/>
      <c r="O12" s="120">
        <v>2020</v>
      </c>
      <c r="P12" s="120">
        <v>2021</v>
      </c>
      <c r="Q12" s="120">
        <v>2022</v>
      </c>
      <c r="R12" s="120">
        <v>2023</v>
      </c>
      <c r="S12" s="120">
        <v>2024</v>
      </c>
      <c r="T12" s="747"/>
      <c r="U12" s="747"/>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47"/>
      <c r="AW12" s="747"/>
      <c r="AX12" s="747"/>
    </row>
    <row r="13" spans="1:50" s="234" customFormat="1" ht="274.5" customHeight="1">
      <c r="A13" s="125"/>
      <c r="B13" s="125"/>
      <c r="C13" s="125"/>
      <c r="D13" s="125"/>
      <c r="E13" s="125"/>
      <c r="F13" s="125"/>
      <c r="G13" s="248" t="s">
        <v>498</v>
      </c>
      <c r="H13" s="227" t="s">
        <v>499</v>
      </c>
      <c r="I13" s="227" t="s">
        <v>500</v>
      </c>
      <c r="J13" s="249" t="s">
        <v>540</v>
      </c>
      <c r="K13" s="227" t="s">
        <v>542</v>
      </c>
      <c r="L13" s="227"/>
      <c r="M13" s="227" t="s">
        <v>432</v>
      </c>
      <c r="N13" s="249" t="s">
        <v>541</v>
      </c>
      <c r="O13" s="240"/>
      <c r="P13" s="240"/>
      <c r="Q13" s="250">
        <v>0.9</v>
      </c>
      <c r="R13" s="240"/>
      <c r="S13" s="240"/>
      <c r="T13" s="240" t="s">
        <v>501</v>
      </c>
      <c r="U13" s="249" t="s">
        <v>502</v>
      </c>
      <c r="V13" s="245"/>
      <c r="W13" s="245"/>
      <c r="X13" s="245">
        <v>0.1</v>
      </c>
      <c r="Y13" s="245"/>
      <c r="Z13" s="245"/>
      <c r="AA13" s="245">
        <v>0.25</v>
      </c>
      <c r="AB13" s="245"/>
      <c r="AC13" s="245"/>
      <c r="AD13" s="245">
        <v>0.29</v>
      </c>
      <c r="AE13" s="245"/>
      <c r="AF13" s="245"/>
      <c r="AG13" s="245">
        <v>0.26</v>
      </c>
      <c r="AH13" s="245"/>
      <c r="AI13" s="245"/>
      <c r="AJ13" s="245">
        <v>0.07</v>
      </c>
      <c r="AK13" s="245"/>
      <c r="AL13" s="245"/>
      <c r="AM13" s="245">
        <v>0.23</v>
      </c>
      <c r="AN13" s="245"/>
      <c r="AO13" s="245"/>
      <c r="AP13" s="245"/>
      <c r="AQ13" s="245"/>
      <c r="AR13" s="245"/>
      <c r="AS13" s="245"/>
      <c r="AT13" s="245">
        <f>SUM(AH13:AS13)</f>
        <v>0.30000000000000004</v>
      </c>
      <c r="AU13" s="245">
        <f>+AT13/Q13</f>
        <v>0.33333333333333337</v>
      </c>
      <c r="AV13" s="308" t="s">
        <v>811</v>
      </c>
      <c r="AW13" s="411" t="s">
        <v>812</v>
      </c>
      <c r="AX13" s="411" t="s">
        <v>813</v>
      </c>
    </row>
    <row r="14" spans="1:50" s="234" customFormat="1" ht="183.75" customHeight="1">
      <c r="A14" s="125"/>
      <c r="B14" s="125"/>
      <c r="C14" s="125"/>
      <c r="D14" s="125"/>
      <c r="E14" s="125"/>
      <c r="F14" s="125"/>
      <c r="G14" s="248" t="s">
        <v>498</v>
      </c>
      <c r="H14" s="227" t="s">
        <v>503</v>
      </c>
      <c r="I14" s="227" t="s">
        <v>504</v>
      </c>
      <c r="J14" s="227" t="s">
        <v>543</v>
      </c>
      <c r="K14" s="227" t="s">
        <v>542</v>
      </c>
      <c r="L14" s="230"/>
      <c r="M14" s="125" t="s">
        <v>432</v>
      </c>
      <c r="N14" s="249" t="s">
        <v>544</v>
      </c>
      <c r="O14" s="230"/>
      <c r="P14" s="230"/>
      <c r="Q14" s="250">
        <v>0.9</v>
      </c>
      <c r="R14" s="230"/>
      <c r="S14" s="230"/>
      <c r="T14" s="240" t="s">
        <v>501</v>
      </c>
      <c r="U14" s="227" t="s">
        <v>502</v>
      </c>
      <c r="V14" s="245"/>
      <c r="W14" s="245"/>
      <c r="X14" s="245">
        <v>0.04</v>
      </c>
      <c r="Y14" s="245"/>
      <c r="Z14" s="245"/>
      <c r="AA14" s="245">
        <v>0.23</v>
      </c>
      <c r="AB14" s="245"/>
      <c r="AC14" s="245"/>
      <c r="AD14" s="245">
        <v>0.36</v>
      </c>
      <c r="AE14" s="245"/>
      <c r="AF14" s="245"/>
      <c r="AG14" s="245">
        <v>0.27</v>
      </c>
      <c r="AH14" s="245"/>
      <c r="AI14" s="245"/>
      <c r="AJ14" s="245">
        <v>0.03</v>
      </c>
      <c r="AK14" s="245"/>
      <c r="AL14" s="245"/>
      <c r="AM14" s="245">
        <v>0.23</v>
      </c>
      <c r="AN14" s="245"/>
      <c r="AO14" s="245"/>
      <c r="AP14" s="245"/>
      <c r="AQ14" s="245"/>
      <c r="AR14" s="245"/>
      <c r="AS14" s="245"/>
      <c r="AT14" s="245">
        <f>SUM(AH14:AS14)</f>
        <v>0.26</v>
      </c>
      <c r="AU14" s="245">
        <f>+AT14/Q14</f>
        <v>0.2888888888888889</v>
      </c>
      <c r="AV14" s="395" t="s">
        <v>814</v>
      </c>
      <c r="AW14" s="250" t="s">
        <v>411</v>
      </c>
      <c r="AX14" s="250" t="s">
        <v>411</v>
      </c>
    </row>
    <row r="15" spans="1:50" s="234" customFormat="1" ht="375" customHeight="1">
      <c r="A15" s="125"/>
      <c r="B15" s="125"/>
      <c r="C15" s="125"/>
      <c r="D15" s="125"/>
      <c r="E15" s="125"/>
      <c r="F15" s="125"/>
      <c r="G15" s="248" t="s">
        <v>498</v>
      </c>
      <c r="H15" s="227" t="s">
        <v>505</v>
      </c>
      <c r="I15" s="227" t="s">
        <v>506</v>
      </c>
      <c r="J15" s="249" t="s">
        <v>545</v>
      </c>
      <c r="K15" s="227" t="s">
        <v>542</v>
      </c>
      <c r="L15" s="230"/>
      <c r="M15" s="125" t="s">
        <v>432</v>
      </c>
      <c r="N15" s="249" t="s">
        <v>546</v>
      </c>
      <c r="O15" s="230"/>
      <c r="P15" s="230"/>
      <c r="Q15" s="250">
        <v>0.9</v>
      </c>
      <c r="R15" s="230"/>
      <c r="S15" s="230"/>
      <c r="T15" s="240" t="s">
        <v>501</v>
      </c>
      <c r="U15" s="227" t="s">
        <v>502</v>
      </c>
      <c r="V15" s="245"/>
      <c r="W15" s="245"/>
      <c r="X15" s="245">
        <v>0.15</v>
      </c>
      <c r="Y15" s="245"/>
      <c r="Z15" s="245"/>
      <c r="AA15" s="245">
        <v>0.22</v>
      </c>
      <c r="AB15" s="245"/>
      <c r="AC15" s="245"/>
      <c r="AD15" s="245">
        <v>0.28</v>
      </c>
      <c r="AE15" s="245"/>
      <c r="AF15" s="245"/>
      <c r="AG15" s="245">
        <v>0.25</v>
      </c>
      <c r="AH15" s="245"/>
      <c r="AI15" s="245"/>
      <c r="AJ15" s="245">
        <v>0.15</v>
      </c>
      <c r="AK15" s="245"/>
      <c r="AL15" s="245"/>
      <c r="AM15" s="245">
        <v>0.21</v>
      </c>
      <c r="AN15" s="245"/>
      <c r="AO15" s="245"/>
      <c r="AP15" s="245"/>
      <c r="AQ15" s="245"/>
      <c r="AR15" s="245"/>
      <c r="AS15" s="245"/>
      <c r="AT15" s="245">
        <f>SUM(AH15:AS15)</f>
        <v>0.36</v>
      </c>
      <c r="AU15" s="245">
        <f>+AT15/Q15</f>
        <v>0.39999999999999997</v>
      </c>
      <c r="AV15" s="396" t="s">
        <v>815</v>
      </c>
      <c r="AW15" s="250" t="s">
        <v>411</v>
      </c>
      <c r="AX15" s="250" t="s">
        <v>411</v>
      </c>
    </row>
    <row r="16" spans="1:50" ht="15">
      <c r="A16" s="768" t="s">
        <v>295</v>
      </c>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69"/>
      <c r="AL16" s="769"/>
      <c r="AM16" s="769"/>
      <c r="AN16" s="769"/>
      <c r="AO16" s="769"/>
      <c r="AP16" s="769"/>
      <c r="AQ16" s="769"/>
      <c r="AR16" s="769"/>
      <c r="AS16" s="769"/>
      <c r="AT16" s="769"/>
      <c r="AU16" s="769"/>
      <c r="AV16" s="769"/>
      <c r="AW16" s="769"/>
      <c r="AX16" s="770"/>
    </row>
    <row r="17" spans="1:50" ht="45" customHeight="1">
      <c r="A17" s="771" t="s">
        <v>64</v>
      </c>
      <c r="B17" s="771"/>
      <c r="C17" s="771"/>
      <c r="D17" s="767" t="s">
        <v>66</v>
      </c>
      <c r="E17" s="767"/>
      <c r="F17" s="767"/>
      <c r="G17" s="767"/>
      <c r="H17" s="767"/>
      <c r="I17" s="767"/>
      <c r="J17" s="766" t="s">
        <v>302</v>
      </c>
      <c r="K17" s="766"/>
      <c r="L17" s="766"/>
      <c r="M17" s="766"/>
      <c r="N17" s="766"/>
      <c r="O17" s="766"/>
      <c r="P17" s="767" t="s">
        <v>66</v>
      </c>
      <c r="Q17" s="767"/>
      <c r="R17" s="767"/>
      <c r="S17" s="767"/>
      <c r="T17" s="767"/>
      <c r="U17" s="767"/>
      <c r="V17" s="767" t="s">
        <v>66</v>
      </c>
      <c r="W17" s="767"/>
      <c r="X17" s="767"/>
      <c r="Y17" s="767"/>
      <c r="Z17" s="767"/>
      <c r="AA17" s="767"/>
      <c r="AB17" s="767"/>
      <c r="AC17" s="767"/>
      <c r="AD17" s="767" t="s">
        <v>66</v>
      </c>
      <c r="AE17" s="767"/>
      <c r="AF17" s="767"/>
      <c r="AG17" s="767"/>
      <c r="AH17" s="767"/>
      <c r="AI17" s="767"/>
      <c r="AJ17" s="767"/>
      <c r="AK17" s="767"/>
      <c r="AL17" s="767"/>
      <c r="AM17" s="767"/>
      <c r="AN17" s="767"/>
      <c r="AO17" s="767"/>
      <c r="AP17" s="766" t="s">
        <v>320</v>
      </c>
      <c r="AQ17" s="766"/>
      <c r="AR17" s="766"/>
      <c r="AS17" s="766"/>
      <c r="AT17" s="767" t="s">
        <v>13</v>
      </c>
      <c r="AU17" s="767"/>
      <c r="AV17" s="767"/>
      <c r="AW17" s="767"/>
      <c r="AX17" s="767"/>
    </row>
    <row r="18" spans="1:50" ht="22.5" customHeight="1">
      <c r="A18" s="771"/>
      <c r="B18" s="771"/>
      <c r="C18" s="771"/>
      <c r="D18" s="767" t="s">
        <v>771</v>
      </c>
      <c r="E18" s="767"/>
      <c r="F18" s="767"/>
      <c r="G18" s="767"/>
      <c r="H18" s="767"/>
      <c r="I18" s="767"/>
      <c r="J18" s="766"/>
      <c r="K18" s="766"/>
      <c r="L18" s="766"/>
      <c r="M18" s="766"/>
      <c r="N18" s="766"/>
      <c r="O18" s="766"/>
      <c r="P18" s="767" t="s">
        <v>742</v>
      </c>
      <c r="Q18" s="767"/>
      <c r="R18" s="767"/>
      <c r="S18" s="767"/>
      <c r="T18" s="767"/>
      <c r="U18" s="767"/>
      <c r="V18" s="767" t="s">
        <v>588</v>
      </c>
      <c r="W18" s="767"/>
      <c r="X18" s="767"/>
      <c r="Y18" s="767"/>
      <c r="Z18" s="767"/>
      <c r="AA18" s="767"/>
      <c r="AB18" s="767"/>
      <c r="AC18" s="767"/>
      <c r="AD18" s="767" t="s">
        <v>65</v>
      </c>
      <c r="AE18" s="767"/>
      <c r="AF18" s="767"/>
      <c r="AG18" s="767"/>
      <c r="AH18" s="767"/>
      <c r="AI18" s="767"/>
      <c r="AJ18" s="767"/>
      <c r="AK18" s="767"/>
      <c r="AL18" s="767"/>
      <c r="AM18" s="767"/>
      <c r="AN18" s="767"/>
      <c r="AO18" s="767"/>
      <c r="AP18" s="766"/>
      <c r="AQ18" s="766"/>
      <c r="AR18" s="766"/>
      <c r="AS18" s="766"/>
      <c r="AT18" s="767" t="s">
        <v>634</v>
      </c>
      <c r="AU18" s="767"/>
      <c r="AV18" s="767"/>
      <c r="AW18" s="767"/>
      <c r="AX18" s="767"/>
    </row>
    <row r="19" spans="1:50" ht="22.5" customHeight="1">
      <c r="A19" s="771"/>
      <c r="B19" s="771"/>
      <c r="C19" s="771"/>
      <c r="D19" s="767" t="s">
        <v>772</v>
      </c>
      <c r="E19" s="767"/>
      <c r="F19" s="767"/>
      <c r="G19" s="767"/>
      <c r="H19" s="767"/>
      <c r="I19" s="767"/>
      <c r="J19" s="766"/>
      <c r="K19" s="766"/>
      <c r="L19" s="766"/>
      <c r="M19" s="766"/>
      <c r="N19" s="766"/>
      <c r="O19" s="766"/>
      <c r="P19" s="767" t="s">
        <v>770</v>
      </c>
      <c r="Q19" s="767"/>
      <c r="R19" s="767"/>
      <c r="S19" s="767"/>
      <c r="T19" s="767"/>
      <c r="U19" s="767"/>
      <c r="V19" s="767" t="s">
        <v>298</v>
      </c>
      <c r="W19" s="767"/>
      <c r="X19" s="767"/>
      <c r="Y19" s="767"/>
      <c r="Z19" s="767"/>
      <c r="AA19" s="767"/>
      <c r="AB19" s="767"/>
      <c r="AC19" s="767"/>
      <c r="AD19" s="767" t="s">
        <v>298</v>
      </c>
      <c r="AE19" s="767"/>
      <c r="AF19" s="767"/>
      <c r="AG19" s="767"/>
      <c r="AH19" s="767"/>
      <c r="AI19" s="767"/>
      <c r="AJ19" s="767"/>
      <c r="AK19" s="767"/>
      <c r="AL19" s="767"/>
      <c r="AM19" s="767"/>
      <c r="AN19" s="767"/>
      <c r="AO19" s="767"/>
      <c r="AP19" s="766"/>
      <c r="AQ19" s="766"/>
      <c r="AR19" s="766"/>
      <c r="AS19" s="766"/>
      <c r="AT19" s="767" t="s">
        <v>75</v>
      </c>
      <c r="AU19" s="767"/>
      <c r="AV19" s="767"/>
      <c r="AW19" s="767"/>
      <c r="AX19" s="767"/>
    </row>
  </sheetData>
  <sheetProtection/>
  <mergeCells count="56">
    <mergeCell ref="D19:I19"/>
    <mergeCell ref="P19:U19"/>
    <mergeCell ref="V19:AC19"/>
    <mergeCell ref="AD19:AO19"/>
    <mergeCell ref="AT19:AX19"/>
    <mergeCell ref="AT17:AX17"/>
    <mergeCell ref="D18:I18"/>
    <mergeCell ref="P18:U18"/>
    <mergeCell ref="V18:AC18"/>
    <mergeCell ref="AD18:AO18"/>
    <mergeCell ref="AT18:AX18"/>
    <mergeCell ref="AH11:AS11"/>
    <mergeCell ref="AT11:AU11"/>
    <mergeCell ref="A16:AX16"/>
    <mergeCell ref="A17:C19"/>
    <mergeCell ref="D17:I17"/>
    <mergeCell ref="J17:O19"/>
    <mergeCell ref="P17:U17"/>
    <mergeCell ref="V17:AC17"/>
    <mergeCell ref="AD17:AO17"/>
    <mergeCell ref="AP17:AS19"/>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8"/>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Usuario de Microsoft Office</cp:lastModifiedBy>
  <cp:lastPrinted>2022-09-07T22:09:17Z</cp:lastPrinted>
  <dcterms:created xsi:type="dcterms:W3CDTF">2011-04-26T22:16:52Z</dcterms:created>
  <dcterms:modified xsi:type="dcterms:W3CDTF">2022-09-13T14:31:03Z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