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192.168.1.39\oap\Gestión Estratégica\2022\2. SEGUIMIENTO PROYECTOS\1. PA - PLAN DE ACCIÓN\4. Abril\"/>
    </mc:Choice>
  </mc:AlternateContent>
  <xr:revisionPtr revIDLastSave="0" documentId="13_ncr:1_{5A12291F-5CC8-4247-80E2-8CFBFCBCD22B}" xr6:coauthVersionLast="47" xr6:coauthVersionMax="47" xr10:uidLastSave="{00000000-0000-0000-0000-000000000000}"/>
  <bookViews>
    <workbookView xWindow="-120" yWindow="-120" windowWidth="20730" windowHeight="11040" tabRatio="853" activeTab="2" xr2:uid="{00000000-000D-0000-FFFF-FFFF00000000}"/>
  </bookViews>
  <sheets>
    <sheet name="Meta 1" sheetId="43" r:id="rId1"/>
    <sheet name="Meta 2" sheetId="41" r:id="rId2"/>
    <sheet name="Meta 3" sheetId="42" r:id="rId3"/>
    <sheet name="Meta 4" sheetId="40" r:id="rId4"/>
    <sheet name="Meta 1..n" sheetId="1" state="hidden" r:id="rId5"/>
    <sheet name="Indicadores PA" sheetId="36" r:id="rId6"/>
    <sheet name="Territorialización PA" sheetId="49" r:id="rId7"/>
    <sheet name="Prog.Pptal" sheetId="46" r:id="rId8"/>
    <sheet name="Vigencia" sheetId="47" r:id="rId9"/>
    <sheet name="Reserva" sheetId="48" r:id="rId10"/>
    <sheet name="Avance PDD" sheetId="50" r:id="rId11"/>
    <sheet name="Instructivo" sheetId="39" r:id="rId12"/>
    <sheet name="Generalidades" sheetId="38" r:id="rId13"/>
    <sheet name="Hoja2" sheetId="51" r:id="rId14"/>
    <sheet name="Hoja13" sheetId="32" state="hidden" r:id="rId15"/>
    <sheet name="Hoja1" sheetId="20" state="hidden" r:id="rId16"/>
  </sheets>
  <externalReferences>
    <externalReference r:id="rId17"/>
    <externalReference r:id="rId18"/>
    <externalReference r:id="rId19"/>
  </externalReferences>
  <definedNames>
    <definedName name="_xlnm._FilterDatabase" localSheetId="5" hidden="1">'Indicadores PA'!$A$12:$AX$12</definedName>
    <definedName name="_xlnm._FilterDatabase" localSheetId="8"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Titles" localSheetId="5">'Indicadores PA'!$1:$12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41" i="40" l="1"/>
  <c r="AJ41" i="40"/>
  <c r="AI41" i="40"/>
  <c r="AK35" i="40"/>
  <c r="AK61" i="42"/>
  <c r="AK56" i="42"/>
  <c r="AK57" i="42" s="1"/>
  <c r="AI56" i="42"/>
  <c r="AJ56" i="42"/>
  <c r="AJ57" i="42" s="1"/>
  <c r="AK53" i="42"/>
  <c r="AT23" i="36"/>
  <c r="AK48" i="42"/>
  <c r="AK45" i="42"/>
  <c r="AE38" i="43"/>
  <c r="AE48" i="43"/>
  <c r="AE46" i="43"/>
  <c r="AE44" i="43"/>
  <c r="AE42" i="43"/>
  <c r="AE40" i="43"/>
  <c r="AD25" i="42"/>
  <c r="AK35" i="42"/>
  <c r="AD25" i="41"/>
  <c r="AD23" i="41"/>
  <c r="AD23" i="40"/>
  <c r="P25" i="41"/>
  <c r="AJ35" i="43"/>
  <c r="D19" i="51" l="1"/>
  <c r="C19" i="51"/>
  <c r="B19" i="51"/>
  <c r="E17" i="51"/>
  <c r="E16" i="51"/>
  <c r="E15" i="51"/>
  <c r="E14" i="51"/>
  <c r="E13" i="51"/>
  <c r="E12" i="51"/>
  <c r="E11" i="51"/>
  <c r="E10" i="51"/>
  <c r="E9" i="51"/>
  <c r="E8" i="51"/>
  <c r="E7" i="51"/>
  <c r="E6" i="51"/>
  <c r="E5" i="51"/>
  <c r="E4" i="51"/>
  <c r="E3" i="51"/>
  <c r="P3" i="50" l="1"/>
  <c r="J4" i="50"/>
  <c r="J2" i="50"/>
  <c r="AU13" i="36"/>
  <c r="AT13" i="36"/>
  <c r="AV40" i="49"/>
  <c r="CF32" i="49"/>
  <c r="CE32" i="49"/>
  <c r="CD32" i="49"/>
  <c r="CC32" i="49"/>
  <c r="CB32" i="49"/>
  <c r="CA32" i="49"/>
  <c r="BZ32" i="49"/>
  <c r="BY32" i="49"/>
  <c r="BX32" i="49"/>
  <c r="BW32" i="49"/>
  <c r="BV32" i="49"/>
  <c r="BU32" i="49"/>
  <c r="BR32" i="49"/>
  <c r="BQ32" i="49"/>
  <c r="BP32" i="49"/>
  <c r="BO32" i="49"/>
  <c r="BN32" i="49"/>
  <c r="BM32" i="49"/>
  <c r="BL32" i="49"/>
  <c r="BK32" i="49"/>
  <c r="BJ32" i="49"/>
  <c r="BI32" i="49"/>
  <c r="BH32" i="49"/>
  <c r="BG32" i="49"/>
  <c r="BF32" i="49"/>
  <c r="BE32" i="49"/>
  <c r="BD32" i="49"/>
  <c r="BC32" i="49"/>
  <c r="BB32" i="49"/>
  <c r="BA32" i="49"/>
  <c r="AX32" i="49"/>
  <c r="AV32" i="49"/>
  <c r="AU32" i="49"/>
  <c r="AT32" i="49"/>
  <c r="AQ32" i="49"/>
  <c r="AP32" i="49"/>
  <c r="AO32" i="49"/>
  <c r="AN32" i="49"/>
  <c r="AM32" i="49"/>
  <c r="AL32" i="49"/>
  <c r="AK32" i="49"/>
  <c r="AJ32" i="49"/>
  <c r="AI32" i="49"/>
  <c r="AH32" i="49"/>
  <c r="AG32" i="49"/>
  <c r="AF32" i="49"/>
  <c r="AA32" i="49"/>
  <c r="Z32" i="49"/>
  <c r="Y32" i="49"/>
  <c r="X32" i="49"/>
  <c r="W32" i="49"/>
  <c r="T32" i="49"/>
  <c r="S32" i="49"/>
  <c r="R32" i="49"/>
  <c r="Q32" i="49"/>
  <c r="P32" i="49"/>
  <c r="M32" i="49"/>
  <c r="L32" i="49"/>
  <c r="K32" i="49"/>
  <c r="J32" i="49"/>
  <c r="I32" i="49"/>
  <c r="F32" i="49"/>
  <c r="E32" i="49"/>
  <c r="D32" i="49"/>
  <c r="C32" i="49"/>
  <c r="B32" i="49"/>
  <c r="BS31" i="49"/>
  <c r="AZ31" i="49"/>
  <c r="BT31" i="49" s="1"/>
  <c r="AY31" i="49"/>
  <c r="AD31" i="49"/>
  <c r="AC31" i="49"/>
  <c r="AE31" i="49" s="1"/>
  <c r="V31" i="49"/>
  <c r="O31" i="49"/>
  <c r="N31" i="49"/>
  <c r="U31" i="49" s="1"/>
  <c r="AB31" i="49" s="1"/>
  <c r="H31" i="49"/>
  <c r="G31" i="49"/>
  <c r="BT30" i="49"/>
  <c r="BS30" i="49"/>
  <c r="AZ30" i="49"/>
  <c r="AY30" i="49"/>
  <c r="AE30" i="49"/>
  <c r="AD30" i="49"/>
  <c r="AC30" i="49"/>
  <c r="V30" i="49"/>
  <c r="O30" i="49"/>
  <c r="H30" i="49"/>
  <c r="G30" i="49"/>
  <c r="N30" i="49" s="1"/>
  <c r="U30" i="49" s="1"/>
  <c r="AB30" i="49" s="1"/>
  <c r="BS29" i="49"/>
  <c r="AZ29" i="49"/>
  <c r="BT29" i="49" s="1"/>
  <c r="AY29" i="49"/>
  <c r="AD29" i="49"/>
  <c r="AC29" i="49"/>
  <c r="AE29" i="49" s="1"/>
  <c r="V29" i="49"/>
  <c r="O29" i="49"/>
  <c r="N29" i="49"/>
  <c r="U29" i="49" s="1"/>
  <c r="AB29" i="49" s="1"/>
  <c r="H29" i="49"/>
  <c r="G29" i="49"/>
  <c r="BT28" i="49"/>
  <c r="BS28" i="49"/>
  <c r="AZ28" i="49"/>
  <c r="AY28" i="49"/>
  <c r="AE28" i="49"/>
  <c r="AD28" i="49"/>
  <c r="AC28" i="49"/>
  <c r="V28" i="49"/>
  <c r="O28" i="49"/>
  <c r="H28" i="49"/>
  <c r="G28" i="49"/>
  <c r="N28" i="49" s="1"/>
  <c r="U28" i="49" s="1"/>
  <c r="AB28" i="49" s="1"/>
  <c r="BS27" i="49"/>
  <c r="AZ27" i="49"/>
  <c r="BT27" i="49" s="1"/>
  <c r="AY27" i="49"/>
  <c r="AD27" i="49"/>
  <c r="AC27" i="49"/>
  <c r="AE27" i="49" s="1"/>
  <c r="V27" i="49"/>
  <c r="O27" i="49"/>
  <c r="N27" i="49"/>
  <c r="U27" i="49" s="1"/>
  <c r="AB27" i="49" s="1"/>
  <c r="H27" i="49"/>
  <c r="G27" i="49"/>
  <c r="BT26" i="49"/>
  <c r="BS26" i="49"/>
  <c r="AZ26" i="49"/>
  <c r="AY26" i="49"/>
  <c r="AE26" i="49"/>
  <c r="AD26" i="49"/>
  <c r="AC26" i="49"/>
  <c r="V26" i="49"/>
  <c r="O26" i="49"/>
  <c r="H26" i="49"/>
  <c r="G26" i="49"/>
  <c r="N26" i="49" s="1"/>
  <c r="U26" i="49" s="1"/>
  <c r="AB26" i="49" s="1"/>
  <c r="BS25" i="49"/>
  <c r="AZ25" i="49"/>
  <c r="BT25" i="49" s="1"/>
  <c r="AY25" i="49"/>
  <c r="AD25" i="49"/>
  <c r="AC25" i="49"/>
  <c r="AE25" i="49" s="1"/>
  <c r="V25" i="49"/>
  <c r="O25" i="49"/>
  <c r="N25" i="49"/>
  <c r="U25" i="49" s="1"/>
  <c r="AB25" i="49" s="1"/>
  <c r="H25" i="49"/>
  <c r="G25" i="49"/>
  <c r="BT24" i="49"/>
  <c r="BS24" i="49"/>
  <c r="AZ24" i="49"/>
  <c r="AY24" i="49"/>
  <c r="AE24" i="49"/>
  <c r="AD24" i="49"/>
  <c r="AC24" i="49"/>
  <c r="V24" i="49"/>
  <c r="O24" i="49"/>
  <c r="H24" i="49"/>
  <c r="G24" i="49"/>
  <c r="N24" i="49" s="1"/>
  <c r="U24" i="49" s="1"/>
  <c r="AB24" i="49" s="1"/>
  <c r="BS23" i="49"/>
  <c r="AZ23" i="49"/>
  <c r="BT23" i="49" s="1"/>
  <c r="AY23" i="49"/>
  <c r="AD23" i="49"/>
  <c r="AC23" i="49"/>
  <c r="AE23" i="49" s="1"/>
  <c r="V23" i="49"/>
  <c r="O23" i="49"/>
  <c r="N23" i="49"/>
  <c r="U23" i="49" s="1"/>
  <c r="AB23" i="49" s="1"/>
  <c r="H23" i="49"/>
  <c r="G23" i="49"/>
  <c r="BT22" i="49"/>
  <c r="BS22" i="49"/>
  <c r="AZ22" i="49"/>
  <c r="AY22" i="49"/>
  <c r="AE22" i="49"/>
  <c r="AD22" i="49"/>
  <c r="AC22" i="49"/>
  <c r="V22" i="49"/>
  <c r="O22" i="49"/>
  <c r="H22" i="49"/>
  <c r="G22" i="49"/>
  <c r="N22" i="49" s="1"/>
  <c r="U22" i="49" s="1"/>
  <c r="AB22" i="49" s="1"/>
  <c r="BS21" i="49"/>
  <c r="AZ21" i="49"/>
  <c r="BT21" i="49" s="1"/>
  <c r="AY21" i="49"/>
  <c r="AD21" i="49"/>
  <c r="AC21" i="49"/>
  <c r="AE21" i="49" s="1"/>
  <c r="V21" i="49"/>
  <c r="O21" i="49"/>
  <c r="N21" i="49"/>
  <c r="U21" i="49" s="1"/>
  <c r="AB21" i="49" s="1"/>
  <c r="H21" i="49"/>
  <c r="G21" i="49"/>
  <c r="BT20" i="49"/>
  <c r="BS20" i="49"/>
  <c r="AZ20" i="49"/>
  <c r="AY20" i="49"/>
  <c r="AE20" i="49"/>
  <c r="AD20" i="49"/>
  <c r="AC20" i="49"/>
  <c r="V20" i="49"/>
  <c r="O20" i="49"/>
  <c r="H20" i="49"/>
  <c r="G20" i="49"/>
  <c r="N20" i="49" s="1"/>
  <c r="U20" i="49" s="1"/>
  <c r="AB20" i="49" s="1"/>
  <c r="BS19" i="49"/>
  <c r="AZ19" i="49"/>
  <c r="BT19" i="49" s="1"/>
  <c r="AY19" i="49"/>
  <c r="AD19" i="49"/>
  <c r="AC19" i="49"/>
  <c r="AE19" i="49" s="1"/>
  <c r="V19" i="49"/>
  <c r="O19" i="49"/>
  <c r="N19" i="49"/>
  <c r="U19" i="49" s="1"/>
  <c r="AB19" i="49" s="1"/>
  <c r="H19" i="49"/>
  <c r="G19" i="49"/>
  <c r="BT18" i="49"/>
  <c r="BS18" i="49"/>
  <c r="AZ18" i="49"/>
  <c r="AY18" i="49"/>
  <c r="AE18" i="49"/>
  <c r="AD18" i="49"/>
  <c r="AC18" i="49"/>
  <c r="V18" i="49"/>
  <c r="O18" i="49"/>
  <c r="H18" i="49"/>
  <c r="G18" i="49"/>
  <c r="N18" i="49" s="1"/>
  <c r="U18" i="49" s="1"/>
  <c r="AB18" i="49" s="1"/>
  <c r="BS17" i="49"/>
  <c r="AZ17" i="49"/>
  <c r="BT17" i="49" s="1"/>
  <c r="AY17" i="49"/>
  <c r="AD17" i="49"/>
  <c r="AC17" i="49"/>
  <c r="AE17" i="49" s="1"/>
  <c r="V17" i="49"/>
  <c r="O17" i="49"/>
  <c r="N17" i="49"/>
  <c r="U17" i="49" s="1"/>
  <c r="AB17" i="49" s="1"/>
  <c r="H17" i="49"/>
  <c r="G17" i="49"/>
  <c r="BT16" i="49"/>
  <c r="BS16" i="49"/>
  <c r="AZ16" i="49"/>
  <c r="AY16" i="49"/>
  <c r="AE16" i="49"/>
  <c r="AD16" i="49"/>
  <c r="AC16" i="49"/>
  <c r="V16" i="49"/>
  <c r="O16" i="49"/>
  <c r="H16" i="49"/>
  <c r="G16" i="49"/>
  <c r="N16" i="49" s="1"/>
  <c r="U16" i="49" s="1"/>
  <c r="AB16" i="49" s="1"/>
  <c r="BS15" i="49"/>
  <c r="AZ15" i="49"/>
  <c r="BT15" i="49" s="1"/>
  <c r="AY15" i="49"/>
  <c r="AD15" i="49"/>
  <c r="AC15" i="49"/>
  <c r="AE15" i="49" s="1"/>
  <c r="V15" i="49"/>
  <c r="O15" i="49"/>
  <c r="N15" i="49"/>
  <c r="U15" i="49" s="1"/>
  <c r="AB15" i="49" s="1"/>
  <c r="H15" i="49"/>
  <c r="G15" i="49"/>
  <c r="BT14" i="49"/>
  <c r="BS14" i="49"/>
  <c r="AZ14" i="49"/>
  <c r="AY14" i="49"/>
  <c r="AE14" i="49"/>
  <c r="AD14" i="49"/>
  <c r="AC14" i="49"/>
  <c r="V14" i="49"/>
  <c r="O14" i="49"/>
  <c r="H14" i="49"/>
  <c r="G14" i="49"/>
  <c r="N14" i="49" s="1"/>
  <c r="U14" i="49" s="1"/>
  <c r="AB14" i="49" s="1"/>
  <c r="BS13" i="49"/>
  <c r="AZ13" i="49"/>
  <c r="BT13" i="49" s="1"/>
  <c r="AY13" i="49"/>
  <c r="AD13" i="49"/>
  <c r="AC13" i="49"/>
  <c r="AE13" i="49" s="1"/>
  <c r="V13" i="49"/>
  <c r="O13" i="49"/>
  <c r="N13" i="49"/>
  <c r="U13" i="49" s="1"/>
  <c r="AB13" i="49" s="1"/>
  <c r="H13" i="49"/>
  <c r="G13" i="49"/>
  <c r="BT12" i="49"/>
  <c r="BS12" i="49"/>
  <c r="AZ12" i="49"/>
  <c r="AY12" i="49"/>
  <c r="AE12" i="49"/>
  <c r="AD12" i="49"/>
  <c r="AD32" i="49" s="1"/>
  <c r="AC12" i="49"/>
  <c r="V12" i="49"/>
  <c r="V11" i="49" s="1"/>
  <c r="V32" i="49" s="1"/>
  <c r="O12" i="49"/>
  <c r="H12" i="49"/>
  <c r="H11" i="49" s="1"/>
  <c r="H32" i="49" s="1"/>
  <c r="G12" i="49"/>
  <c r="N12" i="49" s="1"/>
  <c r="U12" i="49" s="1"/>
  <c r="AB12" i="49" s="1"/>
  <c r="BS11" i="49"/>
  <c r="BS32" i="49" s="1"/>
  <c r="AZ11" i="49"/>
  <c r="AZ32" i="49" s="1"/>
  <c r="AY11" i="49"/>
  <c r="AY32" i="49" s="1"/>
  <c r="AD11" i="49"/>
  <c r="AC11" i="49"/>
  <c r="AC32" i="49" s="1"/>
  <c r="O11" i="49"/>
  <c r="O32" i="49" s="1"/>
  <c r="N11" i="49"/>
  <c r="U11" i="49" s="1"/>
  <c r="G11" i="49"/>
  <c r="G32" i="49" s="1"/>
  <c r="AC25" i="43"/>
  <c r="U32" i="49" l="1"/>
  <c r="AB11" i="49"/>
  <c r="AB32" i="49" s="1"/>
  <c r="N32" i="49"/>
  <c r="AE11" i="49"/>
  <c r="AE32" i="49" s="1"/>
  <c r="BT11" i="49"/>
  <c r="BT32" i="49" s="1"/>
  <c r="F25" i="43" l="1"/>
  <c r="AV16" i="48"/>
  <c r="AV14" i="48"/>
  <c r="BF13" i="48"/>
  <c r="BF12" i="48"/>
  <c r="BF10" i="48"/>
  <c r="BF9" i="48"/>
  <c r="BF8" i="48"/>
  <c r="BF7" i="48"/>
  <c r="BF6" i="48"/>
  <c r="BF5" i="48"/>
  <c r="BF4" i="48"/>
  <c r="BF3" i="48"/>
  <c r="BB8" i="48"/>
  <c r="AM15" i="48"/>
  <c r="AL15" i="48"/>
  <c r="AK15" i="48"/>
  <c r="AJ15" i="48"/>
  <c r="AI15" i="48"/>
  <c r="P49" i="43"/>
  <c r="P48" i="43"/>
  <c r="P47" i="43"/>
  <c r="P46" i="43"/>
  <c r="P45" i="43"/>
  <c r="P44" i="43"/>
  <c r="P43" i="43"/>
  <c r="P42" i="43"/>
  <c r="P41" i="43"/>
  <c r="P40" i="43"/>
  <c r="P39" i="43"/>
  <c r="P38" i="43"/>
  <c r="P35" i="43"/>
  <c r="P34" i="43"/>
  <c r="AJ35" i="40"/>
  <c r="AJ45" i="42"/>
  <c r="AJ61" i="42" l="1"/>
  <c r="AJ53" i="42"/>
  <c r="AH48" i="42"/>
  <c r="AJ48" i="42"/>
  <c r="AJ35" i="42"/>
  <c r="AC23" i="42" l="1"/>
  <c r="AD23" i="42" s="1"/>
  <c r="BC16" i="48" l="1"/>
  <c r="BB16" i="48"/>
  <c r="BA16" i="48"/>
  <c r="AX16" i="48"/>
  <c r="AW16" i="48"/>
  <c r="BD14" i="48"/>
  <c r="BF14" i="48" s="1"/>
  <c r="AY14" i="48"/>
  <c r="AN14" i="48"/>
  <c r="AN15" i="48" s="1"/>
  <c r="BA13" i="48"/>
  <c r="BD13" i="48" s="1"/>
  <c r="AV13" i="48"/>
  <c r="AY13" i="48" s="1"/>
  <c r="AN13" i="48"/>
  <c r="BD12" i="48"/>
  <c r="AV12" i="48"/>
  <c r="AY12" i="48" s="1"/>
  <c r="AN12" i="48"/>
  <c r="BD11" i="48"/>
  <c r="BF11" i="48" s="1"/>
  <c r="AV11" i="48"/>
  <c r="AY11" i="48" s="1"/>
  <c r="AN11" i="48"/>
  <c r="BD10" i="48"/>
  <c r="AY10" i="48"/>
  <c r="AV10" i="48"/>
  <c r="AN10" i="48"/>
  <c r="BD9" i="48"/>
  <c r="AY9" i="48"/>
  <c r="AV9" i="48"/>
  <c r="AN9" i="48"/>
  <c r="BD8" i="48"/>
  <c r="AW8" i="48"/>
  <c r="AY8" i="48" s="1"/>
  <c r="AN8" i="48"/>
  <c r="BD7" i="48"/>
  <c r="AY7" i="48"/>
  <c r="AN7" i="48"/>
  <c r="BD6" i="48"/>
  <c r="AY6" i="48"/>
  <c r="AN6" i="48"/>
  <c r="BC5" i="48"/>
  <c r="BA5" i="48"/>
  <c r="BD5" i="48" s="1"/>
  <c r="AX5" i="48"/>
  <c r="AV5" i="48"/>
  <c r="AY5" i="48" s="1"/>
  <c r="AN5" i="48"/>
  <c r="BC4" i="48"/>
  <c r="BD4" i="48" s="1"/>
  <c r="AY4" i="48"/>
  <c r="AN4" i="48"/>
  <c r="BA3" i="48"/>
  <c r="BD3" i="48" s="1"/>
  <c r="AV3" i="48"/>
  <c r="AY3" i="48" s="1"/>
  <c r="AN3" i="48"/>
  <c r="H35" i="42"/>
  <c r="I35" i="42"/>
  <c r="J35" i="42"/>
  <c r="K4" i="50" s="1"/>
  <c r="K35" i="42"/>
  <c r="L35" i="42"/>
  <c r="M35" i="42"/>
  <c r="N35" i="42"/>
  <c r="L4" i="50" s="1"/>
  <c r="O35" i="42"/>
  <c r="I4" i="50"/>
  <c r="L3" i="50"/>
  <c r="K3" i="50"/>
  <c r="J3" i="50"/>
  <c r="J5" i="50" s="1"/>
  <c r="AT26" i="36"/>
  <c r="AU26" i="36" s="1"/>
  <c r="AT25" i="36"/>
  <c r="AU25" i="36" s="1"/>
  <c r="AT24" i="36"/>
  <c r="AU24" i="36" s="1"/>
  <c r="AU23" i="36"/>
  <c r="AT22" i="36"/>
  <c r="AU22" i="36" s="1"/>
  <c r="AT21" i="36"/>
  <c r="AU21" i="36" s="1"/>
  <c r="AT20" i="36"/>
  <c r="AU20" i="36" s="1"/>
  <c r="AT19" i="36"/>
  <c r="AU19" i="36" s="1"/>
  <c r="AT18" i="36"/>
  <c r="AU18" i="36" s="1"/>
  <c r="AT17" i="36"/>
  <c r="AU17" i="36" s="1"/>
  <c r="AT16" i="36"/>
  <c r="AU16" i="36" s="1"/>
  <c r="AT15" i="36"/>
  <c r="AU15" i="36" s="1"/>
  <c r="AY16" i="48" l="1"/>
  <c r="BD16" i="48"/>
  <c r="I5" i="50"/>
  <c r="L5" i="50"/>
  <c r="K5" i="50"/>
  <c r="A91" i="49"/>
  <c r="C93" i="49"/>
  <c r="C91" i="49"/>
  <c r="I3" i="50"/>
  <c r="I2" i="50"/>
  <c r="AB24" i="43" l="1"/>
  <c r="AC25" i="40"/>
  <c r="AD25" i="40" s="1"/>
  <c r="AC23" i="40"/>
  <c r="AC25" i="42"/>
  <c r="BD46" i="48" l="1"/>
  <c r="BF46" i="48" s="1"/>
  <c r="BD45" i="48"/>
  <c r="BF45" i="48" s="1"/>
  <c r="BD43" i="48"/>
  <c r="BF43" i="48" s="1"/>
  <c r="BD42" i="48"/>
  <c r="BF42" i="48" s="1"/>
  <c r="BD41" i="48"/>
  <c r="BF41" i="48" s="1"/>
  <c r="BD40" i="48"/>
  <c r="BF40" i="48" s="1"/>
  <c r="BD39" i="48"/>
  <c r="BF39" i="48" s="1"/>
  <c r="BD38" i="48"/>
  <c r="BF38" i="48" s="1"/>
  <c r="BD37" i="48"/>
  <c r="BF37" i="48" s="1"/>
  <c r="AL47" i="48"/>
  <c r="AV36" i="48"/>
  <c r="AV34" i="48"/>
  <c r="AY34" i="48" s="1"/>
  <c r="AM47" i="48"/>
  <c r="AN45" i="48"/>
  <c r="AN44" i="48"/>
  <c r="AN43" i="48"/>
  <c r="AN42" i="48"/>
  <c r="AN41" i="48"/>
  <c r="AN40" i="48"/>
  <c r="AN39" i="48"/>
  <c r="AN38" i="48"/>
  <c r="AN37" i="48"/>
  <c r="AN36" i="48"/>
  <c r="AN35" i="48"/>
  <c r="AN34" i="48"/>
  <c r="AN47" i="48" l="1"/>
  <c r="B34" i="43" l="1"/>
  <c r="AH41" i="40" l="1"/>
  <c r="AI35" i="40"/>
  <c r="AI61" i="42"/>
  <c r="AI57" i="42"/>
  <c r="AI53" i="42"/>
  <c r="AI48" i="42"/>
  <c r="AI35" i="42"/>
  <c r="AH45" i="42"/>
  <c r="AI45" i="42"/>
  <c r="AH35" i="41"/>
  <c r="AG35" i="41"/>
  <c r="AF35" i="41"/>
  <c r="AI35" i="43"/>
  <c r="AH35" i="43"/>
  <c r="AG35" i="43"/>
  <c r="AS68" i="49" l="1"/>
  <c r="BC36" i="48" l="1"/>
  <c r="BA36" i="48"/>
  <c r="BD36" i="48" s="1"/>
  <c r="BF36" i="48" s="1"/>
  <c r="D24" i="42"/>
  <c r="D24" i="43"/>
  <c r="BC35" i="48" l="1"/>
  <c r="BD35" i="48" s="1"/>
  <c r="BF35" i="48" s="1"/>
  <c r="BA34" i="48"/>
  <c r="BD34" i="48" s="1"/>
  <c r="BF34" i="48" s="1"/>
  <c r="AV45" i="48"/>
  <c r="AY45" i="48" s="1"/>
  <c r="AV44" i="48"/>
  <c r="AY44" i="48" s="1"/>
  <c r="AV43" i="48"/>
  <c r="AY43" i="48" s="1"/>
  <c r="AV42" i="48"/>
  <c r="AY42" i="48" s="1"/>
  <c r="AV41" i="48"/>
  <c r="AY41" i="48" s="1"/>
  <c r="AV40" i="48"/>
  <c r="AW39" i="48"/>
  <c r="AY38" i="48"/>
  <c r="AY37" i="48"/>
  <c r="AX36" i="48"/>
  <c r="AY36" i="48" s="1"/>
  <c r="BA44" i="48"/>
  <c r="BD44" i="48" s="1"/>
  <c r="BF44" i="48" s="1"/>
  <c r="B35" i="48"/>
  <c r="B36" i="48"/>
  <c r="B37" i="48"/>
  <c r="B38" i="48"/>
  <c r="B39" i="48"/>
  <c r="B40" i="48"/>
  <c r="B41" i="48"/>
  <c r="B42" i="48"/>
  <c r="B43" i="48"/>
  <c r="B44" i="48"/>
  <c r="B45" i="48"/>
  <c r="B34" i="48"/>
  <c r="AY35" i="48" l="1"/>
  <c r="AX47" i="48"/>
  <c r="AY39" i="48"/>
  <c r="AW47" i="48"/>
  <c r="AY40" i="48"/>
  <c r="AV47" i="48"/>
  <c r="AH35" i="42"/>
  <c r="P39" i="41"/>
  <c r="P38" i="41"/>
  <c r="P35" i="41"/>
  <c r="P34" i="41"/>
  <c r="B34" i="41"/>
  <c r="A34" i="41"/>
  <c r="P30" i="43"/>
  <c r="A30" i="43"/>
  <c r="A34" i="43" s="1"/>
  <c r="F24" i="43"/>
  <c r="O24" i="43" s="1"/>
  <c r="AY47" i="48" l="1"/>
  <c r="BM5" i="48"/>
  <c r="BM16" i="48" s="1"/>
  <c r="BN16" i="48"/>
  <c r="BL16" i="48"/>
  <c r="BJ16" i="48"/>
  <c r="AB24" i="41"/>
  <c r="AA24" i="41"/>
  <c r="Y24" i="41"/>
  <c r="Q3" i="50"/>
  <c r="R3" i="50"/>
  <c r="S3" i="50"/>
  <c r="T3" i="50"/>
  <c r="U3" i="50"/>
  <c r="V3" i="50"/>
  <c r="W3" i="50"/>
  <c r="X3" i="50"/>
  <c r="Y3" i="50"/>
  <c r="Z3" i="50"/>
  <c r="O3" i="50"/>
  <c r="P2" i="50"/>
  <c r="Q2" i="50"/>
  <c r="R2" i="50"/>
  <c r="S2" i="50"/>
  <c r="T2" i="50"/>
  <c r="U2" i="50"/>
  <c r="V2" i="50"/>
  <c r="W2" i="50"/>
  <c r="X2" i="50"/>
  <c r="Y2" i="50"/>
  <c r="Z2" i="50"/>
  <c r="O2" i="50"/>
  <c r="AA2" i="50" s="1"/>
  <c r="G6" i="50"/>
  <c r="F5" i="50"/>
  <c r="E5" i="50"/>
  <c r="D5" i="50"/>
  <c r="C5" i="50"/>
  <c r="B5" i="50"/>
  <c r="G4" i="50"/>
  <c r="G3" i="50"/>
  <c r="L2" i="50"/>
  <c r="K2" i="50"/>
  <c r="G2" i="50"/>
  <c r="M3" i="50" l="1"/>
  <c r="G5" i="50"/>
  <c r="AA3" i="50"/>
  <c r="M2" i="50"/>
  <c r="CA61" i="49" l="1"/>
  <c r="BZ61" i="49"/>
  <c r="BY61" i="49"/>
  <c r="BX61" i="49"/>
  <c r="BW61" i="49"/>
  <c r="BV61" i="49"/>
  <c r="BU61" i="49"/>
  <c r="BT61" i="49"/>
  <c r="BS61" i="49"/>
  <c r="BR61" i="49"/>
  <c r="BQ61" i="49"/>
  <c r="BP61" i="49"/>
  <c r="BM61" i="49"/>
  <c r="BL61" i="49"/>
  <c r="BK61" i="49"/>
  <c r="BJ61" i="49"/>
  <c r="BI61" i="49"/>
  <c r="BH61" i="49"/>
  <c r="BG61" i="49"/>
  <c r="BF61" i="49"/>
  <c r="BE61" i="49"/>
  <c r="BD61" i="49"/>
  <c r="BC61" i="49"/>
  <c r="BB61" i="49"/>
  <c r="BA61" i="49"/>
  <c r="AZ61" i="49"/>
  <c r="AY61" i="49"/>
  <c r="AX61" i="49"/>
  <c r="AW61" i="49"/>
  <c r="AV61" i="49"/>
  <c r="AU61" i="49"/>
  <c r="AS61" i="49"/>
  <c r="AQ61" i="49"/>
  <c r="AM61" i="49"/>
  <c r="AL61" i="49"/>
  <c r="AK61" i="49"/>
  <c r="AJ61" i="49"/>
  <c r="AI61" i="49"/>
  <c r="AH61" i="49"/>
  <c r="AG61" i="49"/>
  <c r="AF61" i="49"/>
  <c r="AE61" i="49"/>
  <c r="AD61" i="49"/>
  <c r="AC61" i="49"/>
  <c r="AB61" i="49"/>
  <c r="Y61" i="49"/>
  <c r="X61" i="49"/>
  <c r="W61" i="49"/>
  <c r="V61" i="49"/>
  <c r="U61" i="49"/>
  <c r="T61" i="49"/>
  <c r="S61" i="49"/>
  <c r="R61" i="49"/>
  <c r="Q61" i="49"/>
  <c r="P61" i="49"/>
  <c r="O61" i="49"/>
  <c r="N61" i="49"/>
  <c r="M61" i="49"/>
  <c r="L61" i="49"/>
  <c r="K61" i="49"/>
  <c r="J61" i="49"/>
  <c r="I61" i="49"/>
  <c r="H61" i="49"/>
  <c r="G61" i="49"/>
  <c r="F61" i="49"/>
  <c r="E61" i="49"/>
  <c r="D61" i="49"/>
  <c r="C61" i="49"/>
  <c r="B61" i="49"/>
  <c r="BO60" i="49"/>
  <c r="BN60" i="49"/>
  <c r="AA60" i="49"/>
  <c r="Z60" i="49"/>
  <c r="BO59" i="49"/>
  <c r="BN59" i="49"/>
  <c r="AA59" i="49"/>
  <c r="Z59" i="49"/>
  <c r="BO58" i="49"/>
  <c r="BN58" i="49"/>
  <c r="AA58" i="49"/>
  <c r="Z58" i="49"/>
  <c r="BO57" i="49"/>
  <c r="BN57" i="49"/>
  <c r="AA57" i="49"/>
  <c r="Z57" i="49"/>
  <c r="BO56" i="49"/>
  <c r="BN56" i="49"/>
  <c r="AA56" i="49"/>
  <c r="Z56" i="49"/>
  <c r="BO55" i="49"/>
  <c r="BN55" i="49"/>
  <c r="AA55" i="49"/>
  <c r="Z55" i="49"/>
  <c r="BO54" i="49"/>
  <c r="BN54" i="49"/>
  <c r="AA54" i="49"/>
  <c r="Z54" i="49"/>
  <c r="BO53" i="49"/>
  <c r="BN53" i="49"/>
  <c r="AA53" i="49"/>
  <c r="Z53" i="49"/>
  <c r="BO52" i="49"/>
  <c r="BN52" i="49"/>
  <c r="AA52" i="49"/>
  <c r="Z52" i="49"/>
  <c r="BO51" i="49"/>
  <c r="BN51" i="49"/>
  <c r="AA51" i="49"/>
  <c r="Z51" i="49"/>
  <c r="BO50" i="49"/>
  <c r="BN50" i="49"/>
  <c r="AA50" i="49"/>
  <c r="Z50" i="49"/>
  <c r="BO49" i="49"/>
  <c r="BN49" i="49"/>
  <c r="AA49" i="49"/>
  <c r="Z49" i="49"/>
  <c r="BO48" i="49"/>
  <c r="BN48" i="49"/>
  <c r="AA48" i="49"/>
  <c r="Z48" i="49"/>
  <c r="BO47" i="49"/>
  <c r="BN47" i="49"/>
  <c r="AA47" i="49"/>
  <c r="Z47" i="49"/>
  <c r="BO46" i="49"/>
  <c r="BN46" i="49"/>
  <c r="AA46" i="49"/>
  <c r="Z46" i="49"/>
  <c r="BO45" i="49"/>
  <c r="BN45" i="49"/>
  <c r="AA45" i="49"/>
  <c r="Z45" i="49"/>
  <c r="BO44" i="49"/>
  <c r="BN44" i="49"/>
  <c r="AA44" i="49"/>
  <c r="Z44" i="49"/>
  <c r="BO43" i="49"/>
  <c r="BN43" i="49"/>
  <c r="AA43" i="49"/>
  <c r="Z43" i="49"/>
  <c r="BO42" i="49"/>
  <c r="BN42" i="49"/>
  <c r="AA42" i="49"/>
  <c r="Z42" i="49"/>
  <c r="BO41" i="49"/>
  <c r="BN41" i="49"/>
  <c r="AA41" i="49"/>
  <c r="Z41" i="49"/>
  <c r="BO40" i="49"/>
  <c r="BO61" i="49" s="1"/>
  <c r="AA40" i="49"/>
  <c r="Z40" i="49"/>
  <c r="Z61" i="49" s="1"/>
  <c r="AA61" i="49" l="1"/>
  <c r="B34" i="42" l="1"/>
  <c r="BK5" i="48" l="1"/>
  <c r="BK16" i="48" s="1"/>
  <c r="BF16" i="48" l="1"/>
  <c r="BE16" i="48"/>
  <c r="AB24" i="40" l="1"/>
  <c r="AB24" i="42"/>
  <c r="AK83" i="47"/>
  <c r="AL83" i="47"/>
  <c r="AM83" i="47"/>
  <c r="AN83" i="47"/>
  <c r="AO83" i="47"/>
  <c r="AP83" i="47"/>
  <c r="AQ83" i="47"/>
  <c r="AR83" i="47"/>
  <c r="AS83" i="47"/>
  <c r="O23" i="41"/>
  <c r="O22" i="41"/>
  <c r="W22" i="43"/>
  <c r="U22" i="43"/>
  <c r="T22" i="42"/>
  <c r="T22" i="43"/>
  <c r="AA75" i="47"/>
  <c r="U22" i="42"/>
  <c r="AA67" i="47"/>
  <c r="V22" i="42"/>
  <c r="V22" i="43"/>
  <c r="AA65" i="47"/>
  <c r="AA61" i="47"/>
  <c r="AA59" i="47"/>
  <c r="AA57" i="47"/>
  <c r="O25" i="43"/>
  <c r="P25" i="43" s="1"/>
  <c r="O23" i="43"/>
  <c r="O22" i="43"/>
  <c r="F7" i="46"/>
  <c r="AC22" i="43" l="1"/>
  <c r="B59" i="40"/>
  <c r="A59" i="40"/>
  <c r="B57" i="40"/>
  <c r="A57" i="40"/>
  <c r="B55" i="40"/>
  <c r="A55" i="40"/>
  <c r="B53" i="40"/>
  <c r="A53" i="40"/>
  <c r="B62" i="42"/>
  <c r="A62" i="42"/>
  <c r="A60" i="42"/>
  <c r="A58" i="42"/>
  <c r="B54" i="42"/>
  <c r="A54" i="42"/>
  <c r="B60" i="42"/>
  <c r="B58" i="42"/>
  <c r="B56" i="42"/>
  <c r="P45" i="40"/>
  <c r="N44" i="40"/>
  <c r="M44" i="40"/>
  <c r="L44" i="40"/>
  <c r="K44" i="40"/>
  <c r="J44" i="40"/>
  <c r="I44" i="40"/>
  <c r="H44" i="40"/>
  <c r="G44" i="40"/>
  <c r="F44" i="40"/>
  <c r="P43" i="40"/>
  <c r="L42" i="40"/>
  <c r="K42" i="40"/>
  <c r="J42" i="40"/>
  <c r="I42" i="40"/>
  <c r="H42" i="40"/>
  <c r="G42" i="40"/>
  <c r="F42" i="40"/>
  <c r="P41" i="40"/>
  <c r="G40" i="40"/>
  <c r="F40" i="40"/>
  <c r="P39" i="40"/>
  <c r="G38" i="40"/>
  <c r="F38" i="40"/>
  <c r="P38" i="40" l="1"/>
  <c r="P40" i="40"/>
  <c r="P44" i="40"/>
  <c r="I59" i="40" s="1"/>
  <c r="P42" i="40"/>
  <c r="K57" i="40" s="1"/>
  <c r="D54" i="40" l="1"/>
  <c r="D53" i="40"/>
  <c r="L57" i="40"/>
  <c r="F57" i="40"/>
  <c r="G57" i="40"/>
  <c r="K59" i="40"/>
  <c r="J56" i="40"/>
  <c r="M55" i="40"/>
  <c r="I56" i="40"/>
  <c r="L55" i="40"/>
  <c r="K56" i="40"/>
  <c r="H56" i="40"/>
  <c r="K55" i="40"/>
  <c r="N56" i="40"/>
  <c r="I55" i="40"/>
  <c r="M56" i="40"/>
  <c r="H55" i="40"/>
  <c r="O55" i="40"/>
  <c r="N55" i="40"/>
  <c r="O56" i="40"/>
  <c r="G56" i="40"/>
  <c r="J55" i="40"/>
  <c r="F56" i="40"/>
  <c r="E56" i="40"/>
  <c r="L56" i="40"/>
  <c r="F55" i="40"/>
  <c r="N60" i="40"/>
  <c r="F60" i="40"/>
  <c r="M60" i="40"/>
  <c r="E60" i="40"/>
  <c r="J59" i="40"/>
  <c r="L60" i="40"/>
  <c r="O59" i="40"/>
  <c r="O60" i="40"/>
  <c r="K60" i="40"/>
  <c r="J60" i="40"/>
  <c r="I60" i="40"/>
  <c r="H60" i="40"/>
  <c r="G60" i="40"/>
  <c r="H59" i="40"/>
  <c r="H54" i="40"/>
  <c r="K53" i="40"/>
  <c r="K64" i="40" s="1"/>
  <c r="O54" i="40"/>
  <c r="G54" i="40"/>
  <c r="J53" i="40"/>
  <c r="L54" i="40"/>
  <c r="K54" i="40"/>
  <c r="K61" i="40" s="1"/>
  <c r="N54" i="40"/>
  <c r="N61" i="40" s="1"/>
  <c r="F54" i="40"/>
  <c r="I53" i="40"/>
  <c r="O53" i="40"/>
  <c r="O64" i="40" s="1"/>
  <c r="F53" i="40"/>
  <c r="F64" i="40" s="1"/>
  <c r="J54" i="40"/>
  <c r="E53" i="40"/>
  <c r="I54" i="40"/>
  <c r="M54" i="40"/>
  <c r="E54" i="40"/>
  <c r="H53" i="40"/>
  <c r="G53" i="40"/>
  <c r="N53" i="40"/>
  <c r="N64" i="40" s="1"/>
  <c r="M53" i="40"/>
  <c r="L53" i="40"/>
  <c r="G59" i="40"/>
  <c r="E59" i="40"/>
  <c r="N59" i="40"/>
  <c r="L59" i="40"/>
  <c r="M59" i="40"/>
  <c r="E55" i="40"/>
  <c r="L58" i="40"/>
  <c r="O57" i="40"/>
  <c r="N58" i="40"/>
  <c r="M58" i="40"/>
  <c r="K58" i="40"/>
  <c r="N57" i="40"/>
  <c r="J58" i="40"/>
  <c r="M57" i="40"/>
  <c r="E57" i="40"/>
  <c r="H58" i="40"/>
  <c r="O58" i="40"/>
  <c r="G58" i="40"/>
  <c r="I57" i="40"/>
  <c r="E58" i="40"/>
  <c r="I58" i="40"/>
  <c r="J57" i="40"/>
  <c r="F58" i="40"/>
  <c r="H57" i="40"/>
  <c r="F59" i="40"/>
  <c r="G55" i="40"/>
  <c r="D58" i="40"/>
  <c r="D57" i="40"/>
  <c r="D60" i="40"/>
  <c r="D59" i="40"/>
  <c r="D56" i="40"/>
  <c r="D55" i="40"/>
  <c r="M61" i="40" l="1"/>
  <c r="G64" i="40"/>
  <c r="L64" i="40"/>
  <c r="E64" i="40"/>
  <c r="L61" i="40"/>
  <c r="H61" i="40"/>
  <c r="D64" i="40"/>
  <c r="O61" i="40"/>
  <c r="H64" i="40"/>
  <c r="I64" i="40"/>
  <c r="M64" i="40"/>
  <c r="E61" i="40"/>
  <c r="J61" i="40"/>
  <c r="J64" i="40"/>
  <c r="I61" i="40"/>
  <c r="D61" i="40"/>
  <c r="G61" i="40"/>
  <c r="F61" i="40"/>
  <c r="P55" i="40"/>
  <c r="P59" i="40"/>
  <c r="P53" i="40"/>
  <c r="P57" i="40"/>
  <c r="P60" i="40"/>
  <c r="P58" i="40"/>
  <c r="P56" i="40"/>
  <c r="P54" i="40"/>
  <c r="P61" i="40" l="1"/>
  <c r="P64" i="40"/>
  <c r="AA81" i="47"/>
  <c r="AT68" i="47"/>
  <c r="AT67" i="47"/>
  <c r="AS81" i="47" l="1"/>
  <c r="AQ81" i="47"/>
  <c r="AO81" i="47"/>
  <c r="AN81" i="47"/>
  <c r="AM81" i="47"/>
  <c r="AL81" i="47"/>
  <c r="AK81" i="47"/>
  <c r="AJ81" i="47"/>
  <c r="AI81" i="47"/>
  <c r="AU77" i="47"/>
  <c r="AX77" i="47" s="1"/>
  <c r="BB77" i="47" s="1"/>
  <c r="AT55" i="47" l="1"/>
  <c r="AT81" i="47" s="1"/>
  <c r="AR55" i="47"/>
  <c r="AP55" i="47"/>
  <c r="B34" i="40"/>
  <c r="O65" i="40" l="1"/>
  <c r="O34" i="40" s="1"/>
  <c r="K65" i="40"/>
  <c r="K34" i="40" s="1"/>
  <c r="N62" i="40"/>
  <c r="N35" i="40" s="1"/>
  <c r="N65" i="40"/>
  <c r="N34" i="40" s="1"/>
  <c r="K62" i="40"/>
  <c r="K35" i="40" s="1"/>
  <c r="F65" i="40"/>
  <c r="F34" i="40" s="1"/>
  <c r="J65" i="40"/>
  <c r="J34" i="40" s="1"/>
  <c r="L62" i="40"/>
  <c r="L35" i="40" s="1"/>
  <c r="O62" i="40"/>
  <c r="O35" i="40" s="1"/>
  <c r="F62" i="40"/>
  <c r="F35" i="40" s="1"/>
  <c r="M65" i="40"/>
  <c r="M34" i="40" s="1"/>
  <c r="J62" i="40"/>
  <c r="J35" i="40" s="1"/>
  <c r="D62" i="40"/>
  <c r="G62" i="40"/>
  <c r="G35" i="40" s="1"/>
  <c r="L65" i="40"/>
  <c r="L34" i="40" s="1"/>
  <c r="H65" i="40"/>
  <c r="H34" i="40" s="1"/>
  <c r="E62" i="40"/>
  <c r="E35" i="40" s="1"/>
  <c r="E65" i="40"/>
  <c r="E34" i="40" s="1"/>
  <c r="I62" i="40"/>
  <c r="I35" i="40" s="1"/>
  <c r="M62" i="40"/>
  <c r="M35" i="40" s="1"/>
  <c r="G65" i="40"/>
  <c r="G34" i="40" s="1"/>
  <c r="D65" i="40"/>
  <c r="I65" i="40"/>
  <c r="I34" i="40" s="1"/>
  <c r="H62" i="40"/>
  <c r="H35" i="40" s="1"/>
  <c r="AP81" i="47"/>
  <c r="AR81" i="47"/>
  <c r="D34" i="40" l="1"/>
  <c r="P34" i="40" s="1"/>
  <c r="P65" i="40"/>
  <c r="D35" i="40"/>
  <c r="P62" i="40"/>
  <c r="P43" i="42"/>
  <c r="P42" i="42"/>
  <c r="A34" i="42"/>
  <c r="K7" i="46"/>
  <c r="J3" i="46"/>
  <c r="M59" i="42" l="1"/>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s="1"/>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s="1"/>
  <c r="AU68" i="47" l="1"/>
  <c r="AZ68" i="47" s="1"/>
  <c r="AO82" i="47"/>
  <c r="AQ82" i="47"/>
  <c r="AS82" i="47"/>
  <c r="AN82" i="47"/>
  <c r="AL80" i="47"/>
  <c r="AL78" i="47"/>
  <c r="AL82" i="47"/>
  <c r="AM78" i="47"/>
  <c r="AM80" i="47"/>
  <c r="AM82" i="47"/>
  <c r="AU57" i="47"/>
  <c r="AN78" i="47"/>
  <c r="AN80" i="47"/>
  <c r="AK80" i="47"/>
  <c r="AK78" i="47"/>
  <c r="AA78" i="47"/>
  <c r="AP82" i="47"/>
  <c r="AR82" i="47"/>
  <c r="AU62" i="47"/>
  <c r="AZ62" i="47" s="1"/>
  <c r="AU55" i="47"/>
  <c r="AU81" i="47"/>
  <c r="AW81" i="47" s="1"/>
  <c r="AU76" i="47"/>
  <c r="AX76" i="47" s="1"/>
  <c r="AU58" i="47"/>
  <c r="AZ58" i="47" s="1"/>
  <c r="AU66" i="47"/>
  <c r="AZ66" i="47" s="1"/>
  <c r="AV60" i="47"/>
  <c r="AX60" i="47"/>
  <c r="BB60" i="47" s="1"/>
  <c r="AT69" i="47"/>
  <c r="AS69" i="47"/>
  <c r="AS78" i="47" s="1"/>
  <c r="AR69" i="47"/>
  <c r="AR78" i="47" s="1"/>
  <c r="AQ69" i="47"/>
  <c r="AQ80" i="47" s="1"/>
  <c r="AP69" i="47"/>
  <c r="AP80" i="47" s="1"/>
  <c r="AO69" i="47"/>
  <c r="AO78" i="47" s="1"/>
  <c r="AU61" i="47"/>
  <c r="AZ61" i="47" s="1"/>
  <c r="O24" i="42" l="1"/>
  <c r="AX68" i="47"/>
  <c r="BB68" i="47" s="1"/>
  <c r="AV68" i="47"/>
  <c r="AV62" i="47"/>
  <c r="AS80" i="47"/>
  <c r="AR80" i="47"/>
  <c r="AO80" i="47"/>
  <c r="AP78" i="47"/>
  <c r="AQ78" i="47"/>
  <c r="AX62" i="47"/>
  <c r="BB62" i="47" s="1"/>
  <c r="AX58" i="47"/>
  <c r="BB58" i="47" s="1"/>
  <c r="AV66" i="47"/>
  <c r="AV76" i="47"/>
  <c r="AZ76" i="47"/>
  <c r="BB76" i="47" s="1"/>
  <c r="AV58" i="47"/>
  <c r="AX66" i="47"/>
  <c r="BB66" i="47" s="1"/>
  <c r="AX61" i="47"/>
  <c r="BB61" i="47" s="1"/>
  <c r="AU53" i="47" l="1"/>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74" i="47"/>
  <c r="AI75" i="47"/>
  <c r="AI2" i="47"/>
  <c r="A56" i="42"/>
  <c r="J6" i="46"/>
  <c r="J5" i="46"/>
  <c r="J4" i="46"/>
  <c r="AC24" i="41"/>
  <c r="A30" i="40"/>
  <c r="A30" i="42"/>
  <c r="A30" i="41"/>
  <c r="B51" i="43"/>
  <c r="AC24" i="43"/>
  <c r="AD25" i="43" s="1"/>
  <c r="AC23" i="43"/>
  <c r="AD23" i="43" s="1"/>
  <c r="P23" i="43"/>
  <c r="P45" i="42"/>
  <c r="P44" i="42"/>
  <c r="P47" i="42"/>
  <c r="P46" i="42"/>
  <c r="P41" i="42"/>
  <c r="P40" i="42"/>
  <c r="P39" i="42"/>
  <c r="P38" i="42"/>
  <c r="P30" i="42"/>
  <c r="O25" i="42"/>
  <c r="P25" i="42" s="1"/>
  <c r="AC24" i="42"/>
  <c r="O23" i="42"/>
  <c r="P23" i="42" s="1"/>
  <c r="AC22" i="42"/>
  <c r="O22" i="42"/>
  <c r="P30" i="41"/>
  <c r="AC25" i="41"/>
  <c r="O25" i="41"/>
  <c r="O24" i="41"/>
  <c r="AC23" i="41"/>
  <c r="P23" i="41"/>
  <c r="AC22" i="41"/>
  <c r="O23" i="40"/>
  <c r="P23" i="40" s="1"/>
  <c r="AC24" i="40"/>
  <c r="AC22" i="40"/>
  <c r="O25" i="40"/>
  <c r="O24" i="40"/>
  <c r="O22" i="40"/>
  <c r="P35" i="40"/>
  <c r="P30" i="40"/>
  <c r="P28" i="1"/>
  <c r="P24" i="1"/>
  <c r="P29" i="1"/>
  <c r="P32" i="1"/>
  <c r="P34" i="1"/>
  <c r="P35" i="1"/>
  <c r="P36" i="1"/>
  <c r="P37" i="1"/>
  <c r="P38" i="1"/>
  <c r="P39" i="1"/>
  <c r="N4" i="20"/>
  <c r="N3" i="20"/>
  <c r="F8" i="20"/>
  <c r="F7" i="20"/>
  <c r="J7" i="20"/>
  <c r="J6" i="20"/>
  <c r="J5" i="20"/>
  <c r="J4" i="20"/>
  <c r="J3" i="20"/>
  <c r="F6" i="20"/>
  <c r="F5" i="20"/>
  <c r="F4" i="20"/>
  <c r="F3" i="20"/>
  <c r="P33" i="1"/>
  <c r="AI83" i="47" l="1"/>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K55" i="42"/>
  <c r="D54" i="42"/>
  <c r="J55" i="42"/>
  <c r="N55" i="42"/>
  <c r="F55" i="42"/>
  <c r="I54" i="42"/>
  <c r="E55" i="42"/>
  <c r="H54" i="42"/>
  <c r="L55" i="42"/>
  <c r="G54" i="42"/>
  <c r="F54" i="42"/>
  <c r="M54" i="42"/>
  <c r="E54" i="42"/>
  <c r="E67" i="42" s="1"/>
  <c r="E68" i="42" s="1"/>
  <c r="E34" i="42" s="1"/>
  <c r="K57" i="42"/>
  <c r="N56" i="42"/>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M63" i="42"/>
  <c r="E63" i="42"/>
  <c r="H62" i="42"/>
  <c r="O62" i="42"/>
  <c r="K63" i="42"/>
  <c r="F62" i="42"/>
  <c r="O63" i="42"/>
  <c r="G63" i="42"/>
  <c r="J62" i="42"/>
  <c r="G62" i="42"/>
  <c r="E62" i="42"/>
  <c r="N63" i="42"/>
  <c r="F63" i="42"/>
  <c r="I62" i="42"/>
  <c r="L63" i="42"/>
  <c r="N62" i="42"/>
  <c r="J63" i="42"/>
  <c r="AJ83" i="47"/>
  <c r="AT83" i="47"/>
  <c r="AI78" i="47"/>
  <c r="AJ78" i="47"/>
  <c r="AT78" i="47"/>
  <c r="J7" i="46"/>
  <c r="AI82" i="47"/>
  <c r="AJ82" i="47"/>
  <c r="AT82" i="47"/>
  <c r="AI80" i="47"/>
  <c r="AJ80" i="47"/>
  <c r="AT80" i="47"/>
  <c r="AU51" i="47"/>
  <c r="AZ51" i="47" s="1"/>
  <c r="BB51" i="47" s="1"/>
  <c r="AU47" i="47"/>
  <c r="AZ47" i="47" s="1"/>
  <c r="BB47" i="47" s="1"/>
  <c r="AU43" i="47"/>
  <c r="AZ43" i="47" s="1"/>
  <c r="BB43" i="47" s="1"/>
  <c r="AU39" i="47"/>
  <c r="AV39" i="47" s="1"/>
  <c r="AU35" i="47"/>
  <c r="AZ35" i="47" s="1"/>
  <c r="BB35" i="47" s="1"/>
  <c r="AU31" i="47"/>
  <c r="AX31" i="47" s="1"/>
  <c r="BB31" i="47" s="1"/>
  <c r="AU27" i="47"/>
  <c r="AX27" i="47" s="1"/>
  <c r="BB27" i="47" s="1"/>
  <c r="AU23" i="47"/>
  <c r="AV23" i="47" s="1"/>
  <c r="AU19" i="47"/>
  <c r="AX19" i="47" s="1"/>
  <c r="BB19" i="47" s="1"/>
  <c r="AU15" i="47"/>
  <c r="AX15" i="47" s="1"/>
  <c r="BB15" i="47" s="1"/>
  <c r="AU11" i="47"/>
  <c r="AX11" i="47" s="1"/>
  <c r="BB11" i="47" s="1"/>
  <c r="AU4" i="47"/>
  <c r="AX4" i="47" s="1"/>
  <c r="BB4" i="47" s="1"/>
  <c r="AU49" i="47"/>
  <c r="AZ49" i="47" s="1"/>
  <c r="BB49" i="47" s="1"/>
  <c r="AU45" i="47"/>
  <c r="AZ45" i="47" s="1"/>
  <c r="BB45" i="47" s="1"/>
  <c r="AU41" i="47"/>
  <c r="AZ41" i="47" s="1"/>
  <c r="BB41" i="47" s="1"/>
  <c r="AU37" i="47"/>
  <c r="AZ37" i="47" s="1"/>
  <c r="BB37" i="47" s="1"/>
  <c r="AU33" i="47"/>
  <c r="AZ33" i="47" s="1"/>
  <c r="BB33" i="47" s="1"/>
  <c r="AU29" i="47"/>
  <c r="AX29" i="47" s="1"/>
  <c r="BB29" i="47" s="1"/>
  <c r="AU25" i="47"/>
  <c r="AX25" i="47" s="1"/>
  <c r="BB25" i="47" s="1"/>
  <c r="AU21" i="47"/>
  <c r="AX21" i="47" s="1"/>
  <c r="BB21" i="47" s="1"/>
  <c r="AU17" i="47"/>
  <c r="AX17" i="47" s="1"/>
  <c r="BB17" i="47" s="1"/>
  <c r="AU13" i="47"/>
  <c r="AX13" i="47" s="1"/>
  <c r="BB13" i="47" s="1"/>
  <c r="AU9" i="47"/>
  <c r="AX9" i="47" s="1"/>
  <c r="BB9" i="47" s="1"/>
  <c r="AU3" i="47"/>
  <c r="AX3" i="47" s="1"/>
  <c r="BB3" i="47" s="1"/>
  <c r="AU52" i="47"/>
  <c r="AZ52" i="47" s="1"/>
  <c r="BB52" i="47" s="1"/>
  <c r="AU48" i="47"/>
  <c r="AZ48" i="47" s="1"/>
  <c r="BB48" i="47" s="1"/>
  <c r="AU44" i="47"/>
  <c r="AV44" i="47" s="1"/>
  <c r="AU40" i="47"/>
  <c r="AV40" i="47" s="1"/>
  <c r="AU36" i="47"/>
  <c r="AZ36" i="47" s="1"/>
  <c r="BB36" i="47" s="1"/>
  <c r="AU32" i="47"/>
  <c r="AZ32" i="47" s="1"/>
  <c r="BB32" i="47" s="1"/>
  <c r="AU28" i="47"/>
  <c r="AX28" i="47" s="1"/>
  <c r="BB28" i="47" s="1"/>
  <c r="AU24" i="47"/>
  <c r="AV24" i="47" s="1"/>
  <c r="AU20" i="47"/>
  <c r="AX20" i="47" s="1"/>
  <c r="BB20" i="47" s="1"/>
  <c r="AU16" i="47"/>
  <c r="AX16" i="47" s="1"/>
  <c r="BB16" i="47" s="1"/>
  <c r="AU12" i="47"/>
  <c r="AV12" i="47" s="1"/>
  <c r="AU8" i="47"/>
  <c r="AV8" i="47" s="1"/>
  <c r="AU73" i="47"/>
  <c r="AV73" i="47" s="1"/>
  <c r="AU74" i="47"/>
  <c r="BA74" i="47" s="1"/>
  <c r="BB74" i="47" s="1"/>
  <c r="AU5" i="47"/>
  <c r="AX5" i="47" s="1"/>
  <c r="BB5" i="47" s="1"/>
  <c r="AV7" i="47"/>
  <c r="AX7" i="47"/>
  <c r="BB7" i="47" s="1"/>
  <c r="AV70" i="47"/>
  <c r="AZ70" i="47"/>
  <c r="BB70" i="47" s="1"/>
  <c r="AV69" i="47"/>
  <c r="AX69" i="47"/>
  <c r="BB69" i="47" s="1"/>
  <c r="AV57" i="47"/>
  <c r="AZ57" i="47"/>
  <c r="AX57" i="47"/>
  <c r="AV71" i="47"/>
  <c r="AX71" i="47"/>
  <c r="BB71" i="47" s="1"/>
  <c r="AV63" i="47"/>
  <c r="AX63" i="47"/>
  <c r="BB63" i="47" s="1"/>
  <c r="AV53" i="47"/>
  <c r="AX53" i="47"/>
  <c r="BB53" i="47" s="1"/>
  <c r="AU2" i="47"/>
  <c r="AV67" i="47"/>
  <c r="AX67" i="47"/>
  <c r="AZ67" i="47"/>
  <c r="AV56" i="47"/>
  <c r="AX56" i="47"/>
  <c r="BB56" i="47" s="1"/>
  <c r="AU75" i="47"/>
  <c r="AV59" i="47"/>
  <c r="AZ59" i="47"/>
  <c r="AX59" i="47"/>
  <c r="AU50" i="47"/>
  <c r="AU46" i="47"/>
  <c r="AU42" i="47"/>
  <c r="AU38" i="47"/>
  <c r="AU34" i="47"/>
  <c r="AU30" i="47"/>
  <c r="AU26" i="47"/>
  <c r="AU22" i="47"/>
  <c r="AU18" i="47"/>
  <c r="AU14" i="47"/>
  <c r="AU10" i="47"/>
  <c r="AV72" i="47"/>
  <c r="BA72" i="47"/>
  <c r="BB72" i="47" s="1"/>
  <c r="AV64" i="47"/>
  <c r="AX64" i="47"/>
  <c r="BB64" i="47" s="1"/>
  <c r="AV54" i="47"/>
  <c r="AX54" i="47"/>
  <c r="BB54" i="47" s="1"/>
  <c r="AU6" i="47"/>
  <c r="AU65" i="47"/>
  <c r="D64" i="42" l="1"/>
  <c r="D65" i="42" s="1"/>
  <c r="D35" i="42" s="1"/>
  <c r="M67" i="42"/>
  <c r="M68" i="42" s="1"/>
  <c r="M34" i="42" s="1"/>
  <c r="H67" i="42"/>
  <c r="H68" i="42" s="1"/>
  <c r="H34" i="42" s="1"/>
  <c r="N64" i="42"/>
  <c r="N65" i="42" s="1"/>
  <c r="Y4" i="50" s="1"/>
  <c r="Y5" i="50" s="1"/>
  <c r="O67" i="42"/>
  <c r="O68" i="42" s="1"/>
  <c r="O34" i="42" s="1"/>
  <c r="N67" i="42"/>
  <c r="N68" i="42" s="1"/>
  <c r="N34" i="42" s="1"/>
  <c r="L67" i="42"/>
  <c r="L68" i="42" s="1"/>
  <c r="L34" i="42" s="1"/>
  <c r="F67" i="42"/>
  <c r="F68" i="42" s="1"/>
  <c r="F34" i="42" s="1"/>
  <c r="J64" i="42"/>
  <c r="J65" i="42" s="1"/>
  <c r="U4" i="50" s="1"/>
  <c r="U5" i="50" s="1"/>
  <c r="J67" i="42"/>
  <c r="J68" i="42" s="1"/>
  <c r="J34" i="42" s="1"/>
  <c r="M64" i="42"/>
  <c r="M65" i="42" s="1"/>
  <c r="X4" i="50" s="1"/>
  <c r="X5" i="50" s="1"/>
  <c r="G67" i="42"/>
  <c r="G68" i="42" s="1"/>
  <c r="G34" i="42" s="1"/>
  <c r="I67" i="42"/>
  <c r="I68" i="42" s="1"/>
  <c r="I34" i="42" s="1"/>
  <c r="D67" i="42"/>
  <c r="K67" i="42"/>
  <c r="K68" i="42" s="1"/>
  <c r="K34" i="42" s="1"/>
  <c r="P63" i="42"/>
  <c r="L64" i="42"/>
  <c r="L65" i="42" s="1"/>
  <c r="W4" i="50" s="1"/>
  <c r="W5" i="50" s="1"/>
  <c r="K64" i="42"/>
  <c r="K65" i="42" s="1"/>
  <c r="V4" i="50" s="1"/>
  <c r="V5" i="50" s="1"/>
  <c r="H64" i="42"/>
  <c r="H65" i="42" s="1"/>
  <c r="S4" i="50" s="1"/>
  <c r="S5" i="50" s="1"/>
  <c r="E64" i="42"/>
  <c r="E65" i="42" s="1"/>
  <c r="I64" i="42"/>
  <c r="I65" i="42" s="1"/>
  <c r="T4" i="50" s="1"/>
  <c r="T5" i="50" s="1"/>
  <c r="P62" i="42"/>
  <c r="G64" i="42"/>
  <c r="G65" i="42" s="1"/>
  <c r="AZ39" i="47"/>
  <c r="BB39" i="47" s="1"/>
  <c r="F64" i="42"/>
  <c r="F65" i="42" s="1"/>
  <c r="F35" i="42" s="1"/>
  <c r="O64" i="42"/>
  <c r="O65" i="42" s="1"/>
  <c r="Z4" i="50" s="1"/>
  <c r="Z5" i="50" s="1"/>
  <c r="AU83" i="47"/>
  <c r="AW83" i="47" s="1"/>
  <c r="AU78" i="47"/>
  <c r="AX23" i="47"/>
  <c r="BB23" i="47" s="1"/>
  <c r="AU80" i="47"/>
  <c r="AV17" i="47"/>
  <c r="AV33" i="47"/>
  <c r="BA73" i="47"/>
  <c r="BB73" i="47" s="1"/>
  <c r="P60" i="42"/>
  <c r="P59" i="42"/>
  <c r="P58" i="42"/>
  <c r="P61" i="42"/>
  <c r="P56" i="42"/>
  <c r="P55" i="42"/>
  <c r="P57" i="42"/>
  <c r="AV27" i="47"/>
  <c r="AV11" i="47"/>
  <c r="AV15" i="47"/>
  <c r="AV19" i="47"/>
  <c r="AV35" i="47"/>
  <c r="AU82" i="47"/>
  <c r="AW82" i="47" s="1"/>
  <c r="AX8" i="47"/>
  <c r="BB8" i="47" s="1"/>
  <c r="AV37" i="47"/>
  <c r="AZ40" i="47"/>
  <c r="BB40" i="47" s="1"/>
  <c r="AV31" i="47"/>
  <c r="AV43" i="47"/>
  <c r="AV47" i="47"/>
  <c r="AV51" i="47"/>
  <c r="AV4" i="47"/>
  <c r="AV21" i="47"/>
  <c r="AX24" i="47"/>
  <c r="BB24" i="47" s="1"/>
  <c r="AZ44" i="47"/>
  <c r="BB44" i="47" s="1"/>
  <c r="AV32" i="47"/>
  <c r="AV48" i="47"/>
  <c r="AV13" i="47"/>
  <c r="AV25" i="47"/>
  <c r="AX12" i="47"/>
  <c r="BB12" i="47" s="1"/>
  <c r="AV28" i="47"/>
  <c r="AV9" i="47"/>
  <c r="AV41" i="47"/>
  <c r="AV16" i="47"/>
  <c r="AV45" i="47"/>
  <c r="AV49" i="47"/>
  <c r="AV20" i="47"/>
  <c r="AV36" i="47"/>
  <c r="AV52" i="47"/>
  <c r="AV3" i="47"/>
  <c r="AV29" i="47"/>
  <c r="AZ75" i="47"/>
  <c r="AV75" i="47"/>
  <c r="AV5" i="47"/>
  <c r="AV74" i="47"/>
  <c r="BB67" i="47"/>
  <c r="BB59" i="47"/>
  <c r="AV6" i="47"/>
  <c r="AX6" i="47"/>
  <c r="BB6" i="47" s="1"/>
  <c r="AX18" i="47"/>
  <c r="BB18" i="47" s="1"/>
  <c r="AV18" i="47"/>
  <c r="AZ34" i="47"/>
  <c r="BB34" i="47" s="1"/>
  <c r="AV34" i="47"/>
  <c r="AZ50" i="47"/>
  <c r="BB50" i="47" s="1"/>
  <c r="AV50" i="47"/>
  <c r="AX75" i="47"/>
  <c r="AX22" i="47"/>
  <c r="BB22" i="47" s="1"/>
  <c r="AV22" i="47"/>
  <c r="AZ38" i="47"/>
  <c r="BB38" i="47" s="1"/>
  <c r="AV38" i="47"/>
  <c r="AV55" i="47"/>
  <c r="AY55" i="47"/>
  <c r="BB55" i="47" s="1"/>
  <c r="AX10" i="47"/>
  <c r="BB10" i="47" s="1"/>
  <c r="AV10" i="47"/>
  <c r="AX26" i="47"/>
  <c r="BB26" i="47" s="1"/>
  <c r="AV26" i="47"/>
  <c r="AZ42" i="47"/>
  <c r="BB42" i="47" s="1"/>
  <c r="AV42" i="47"/>
  <c r="AV65" i="47"/>
  <c r="AZ65" i="47"/>
  <c r="AX65" i="47"/>
  <c r="AX14" i="47"/>
  <c r="BB14" i="47" s="1"/>
  <c r="AV14" i="47"/>
  <c r="AX30" i="47"/>
  <c r="BB30" i="47" s="1"/>
  <c r="AV30" i="47"/>
  <c r="AZ46" i="47"/>
  <c r="BB46" i="47" s="1"/>
  <c r="AV46" i="47"/>
  <c r="AV2" i="47"/>
  <c r="AX2" i="47"/>
  <c r="BB2" i="47" s="1"/>
  <c r="BB57" i="47"/>
  <c r="P54" i="42"/>
  <c r="G35" i="42" l="1"/>
  <c r="AP40" i="49"/>
  <c r="O4" i="50"/>
  <c r="AT40" i="49"/>
  <c r="AT61" i="49" s="1"/>
  <c r="Q4" i="50"/>
  <c r="P65" i="42"/>
  <c r="E35" i="42"/>
  <c r="D68" i="42"/>
  <c r="P67" i="42"/>
  <c r="P35" i="42"/>
  <c r="AW80" i="47"/>
  <c r="P64" i="42"/>
  <c r="BB65" i="47"/>
  <c r="BB75" i="47"/>
  <c r="R4" i="50" l="1"/>
  <c r="R5" i="50" s="1"/>
  <c r="AK14" i="36" s="1"/>
  <c r="Q5" i="50"/>
  <c r="AJ14" i="36" s="1"/>
  <c r="AR40" i="49"/>
  <c r="AR61" i="49" s="1"/>
  <c r="P4" i="50"/>
  <c r="P5" i="50" s="1"/>
  <c r="P6" i="50" s="1"/>
  <c r="O5" i="50"/>
  <c r="AP61" i="49"/>
  <c r="BN40" i="49"/>
  <c r="BN61" i="49" s="1"/>
  <c r="D34" i="42"/>
  <c r="P34" i="42" s="1"/>
  <c r="P68" i="42"/>
  <c r="BB78" i="47"/>
  <c r="M4" i="50" l="1"/>
  <c r="M5" i="50" s="1"/>
  <c r="AI14" i="36"/>
  <c r="AA4" i="50"/>
  <c r="AH14" i="36"/>
  <c r="AT14" i="36" l="1"/>
  <c r="AU14" i="36" s="1"/>
  <c r="AA5" i="50"/>
  <c r="BA47" i="48"/>
  <c r="BC47" i="48"/>
  <c r="BB47" i="48"/>
  <c r="BD4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tc={15F6D739-AFC6-4720-8C41-E8BE9D98CD43}</author>
    <author>Microsoft Office User</author>
    <author/>
  </authors>
  <commentList>
    <comment ref="S23" authorId="0" shapeId="0" xr:uid="{9FB40AF9-90A7-40FD-8049-06C7E3C1B733}">
      <text>
        <r>
          <rPr>
            <b/>
            <sz val="9"/>
            <color indexed="81"/>
            <rFont val="Tahoma"/>
            <family val="2"/>
          </rPr>
          <t>ANGELA MARCELA FORERO RUIZ:</t>
        </r>
        <r>
          <rPr>
            <sz val="9"/>
            <color indexed="81"/>
            <rFont val="Tahoma"/>
            <family val="2"/>
          </rPr>
          <t xml:space="preserve">
Este valor comprometido  corresponde al mes de marzo</t>
        </r>
      </text>
    </comment>
    <comment ref="T23" authorId="0" shapeId="0" xr:uid="{9883CC24-C8B6-422C-838A-0AFE06DA0F32}">
      <text>
        <r>
          <rPr>
            <b/>
            <sz val="9"/>
            <color indexed="81"/>
            <rFont val="Tahoma"/>
            <family val="2"/>
          </rPr>
          <t>ANGELA MARCELA FORERO RUIZ:</t>
        </r>
        <r>
          <rPr>
            <sz val="9"/>
            <color indexed="81"/>
            <rFont val="Tahoma"/>
            <family val="2"/>
          </rPr>
          <t xml:space="preserve">
Incluir compromisos de abril</t>
        </r>
      </text>
    </comment>
    <comment ref="AC23" authorId="0" shapeId="0" xr:uid="{3AB0C60B-637C-4BDC-8127-1F4DF787DF76}">
      <text>
        <r>
          <rPr>
            <b/>
            <sz val="9"/>
            <color indexed="81"/>
            <rFont val="Tahoma"/>
            <family val="2"/>
          </rPr>
          <t>ANGELA MARCELA FORERO RUIZ:</t>
        </r>
        <r>
          <rPr>
            <sz val="9"/>
            <color indexed="81"/>
            <rFont val="Tahoma"/>
            <family val="2"/>
          </rPr>
          <t xml:space="preserve">
El valor comprometido a 30 de abril para la meta 1 es 1.392.336.167
**Se incluye liberación realizada en abril por $360,500.</t>
        </r>
      </text>
    </comment>
    <comment ref="O24" authorId="1" shapeId="0" xr:uid="{15F6D739-AFC6-4720-8C41-E8BE9D98CD43}">
      <text>
        <t>[Comentario encadenado]
Su versión de Excel le permite leer este comentario encadenado; sin embargo, las ediciones que se apliquen se quitarán si el archivo se abre en una versión más reciente de Excel. Más información: https://go.microsoft.com/fwlink/?linkid=870924
Comentario:
    Al total de la reserva se restan $4.759.996 la liberación del contrato con PANAMERICAN.</t>
      </text>
    </comment>
    <comment ref="C32" authorId="2" shapeId="0" xr:uid="{D18DAFF9-5DB6-41E5-9105-A99D887F3C2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52EB186A-5007-4414-B361-29AD034C092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FA412563-145A-41E2-9CF0-841726AB0A71}">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0" shapeId="0" xr:uid="{5ED5213E-927D-4EA7-BA84-CDE7AA5FF22C}">
      <text>
        <r>
          <rPr>
            <b/>
            <sz val="10"/>
            <color indexed="81"/>
            <rFont val="Tahoma"/>
            <family val="2"/>
          </rPr>
          <t>ANGELA MARCELA FORERO RUIZ:</t>
        </r>
        <r>
          <rPr>
            <sz val="10"/>
            <color indexed="81"/>
            <rFont val="Tahoma"/>
            <family val="2"/>
          </rPr>
          <t xml:space="preserve">
Se ajusta el número de mujeres del curso o. Manejo office Excel 2016 que registraba 4 mujeres y son 7</t>
        </r>
      </text>
    </comment>
    <comment ref="Q40" authorId="0" shapeId="0" xr:uid="{F4BBF894-AA62-430D-999F-281A6F9FE79B}">
      <text>
        <r>
          <rPr>
            <b/>
            <sz val="10"/>
            <color indexed="81"/>
            <rFont val="Tahoma"/>
            <family val="2"/>
          </rPr>
          <t>ANGELA MARCELA FORERO RUIZ:</t>
        </r>
        <r>
          <rPr>
            <sz val="10"/>
            <color indexed="81"/>
            <rFont val="Tahoma"/>
            <family val="2"/>
          </rPr>
          <t xml:space="preserve">
Abril tiene avance del 20% pero no se refleja en la descripción cualitativa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C32" authorId="1"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Q34" authorId="0" shapeId="0" xr:uid="{544CB791-745F-45C9-8DF2-E71CF3B4DFD7}">
      <text>
        <r>
          <rPr>
            <b/>
            <sz val="10"/>
            <color indexed="81"/>
            <rFont val="Tahoma"/>
            <family val="2"/>
          </rPr>
          <t>ANGELA MARCELA FORERO RUIZ:</t>
        </r>
        <r>
          <rPr>
            <sz val="10"/>
            <color indexed="81"/>
            <rFont val="Tahoma"/>
            <family val="2"/>
          </rPr>
          <t xml:space="preserve">
Mencionar que a abril de 2022 se han beneficiado ...</t>
        </r>
      </text>
    </comment>
    <comment ref="AA34" authorId="0" shapeId="0" xr:uid="{B13D9E72-13B6-430B-B67B-8CF8021BDB69}">
      <text>
        <r>
          <rPr>
            <b/>
            <sz val="9"/>
            <color indexed="81"/>
            <rFont val="Tahoma"/>
            <family val="2"/>
          </rPr>
          <t>ANGELA MARCELA FORERO RUIZ:</t>
        </r>
        <r>
          <rPr>
            <sz val="9"/>
            <color indexed="81"/>
            <rFont val="Tahoma"/>
            <family val="2"/>
          </rPr>
          <t xml:space="preserve">
</t>
        </r>
      </text>
    </comment>
    <comment ref="Q38" authorId="0" shapeId="0" xr:uid="{6B2122F6-A329-4670-ADB9-CBB01C0A69A8}">
      <text>
        <r>
          <rPr>
            <b/>
            <sz val="10"/>
            <color indexed="81"/>
            <rFont val="Tahoma"/>
            <family val="2"/>
          </rPr>
          <t>ANGELA MARCELA FORERO RUIZ:</t>
        </r>
        <r>
          <rPr>
            <sz val="10"/>
            <color indexed="81"/>
            <rFont val="Tahoma"/>
            <family val="2"/>
          </rPr>
          <t xml:space="preserve">
No se refleja el avance cualitativo correspondiente al mes de abril</t>
        </r>
      </text>
    </comment>
    <comment ref="Q40" authorId="0" shapeId="0" xr:uid="{B0F2A97F-993A-484C-B3F9-284741FAE75B}">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2" shapeId="0" xr:uid="{0D701DB7-B327-401C-9021-38AE0353AFC9}">
      <text>
        <r>
          <rPr>
            <b/>
            <sz val="9"/>
            <color indexed="81"/>
            <rFont val="Tahoma"/>
            <family val="2"/>
          </rPr>
          <t>ANGELA MARCELA FORERO RUIZ:</t>
        </r>
        <r>
          <rPr>
            <sz val="9"/>
            <color indexed="81"/>
            <rFont val="Tahoma"/>
            <family val="2"/>
          </rPr>
          <t xml:space="preserve">
Se presentaron avances cualitativos pero no cuantitativos y nos pueden mencionar que esto si puede ser cuantificable.
Se sugiere mejorar la redacción indicando que auqnue no se tenían actividades programadas para el mes de enero, se pudo avanzar en activiades de alisstamiento relacionadas con xxx y mencionar muy corto lo que se hizo</t>
        </r>
      </text>
    </comment>
    <comment ref="Q38" authorId="2" shapeId="0" xr:uid="{7B511DE6-9E91-4080-B45C-AE1F3F375553}">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auqnue no se tenían actividades programadas para el mes de enero, se pudo avanzar en activiades de alisstamiento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96161FAA-C696-4219-99B1-2829697CED9B}">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96F99B24-5701-4940-9D7F-06B866DA0277}">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rinformes ponerle nombre … tal vez numero de informes de cumplimiento al decreto 332 de 2020 por parte de entidaes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suigere dejarlo como suma y poner 1 informe cada trimestre para un total de cuatro, en ese orden la unidad de medida es Núemero</t>
        </r>
      </text>
    </comment>
    <comment ref="Q20" authorId="1" shapeId="0" xr:uid="{C3F2BFF8-D37A-41A3-9D19-12355923F571}">
      <text>
        <r>
          <rPr>
            <b/>
            <sz val="9"/>
            <color indexed="81"/>
            <rFont val="Tahoma"/>
            <family val="2"/>
          </rPr>
          <t>ANGELA MARCELA FORERO RUIZ:</t>
        </r>
        <r>
          <rPr>
            <sz val="9"/>
            <color indexed="81"/>
            <rFont val="Tahoma"/>
            <family val="2"/>
          </rPr>
          <t xml:space="preserve">
Se suigere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 ref="AV26" authorId="1" shapeId="0" xr:uid="{BB2A509A-27F4-47DD-A063-8BBC22A85EA4}">
      <text>
        <r>
          <rPr>
            <b/>
            <sz val="10"/>
            <color indexed="81"/>
            <rFont val="Tahoma"/>
            <family val="2"/>
          </rPr>
          <t>ANGELA MARCELA FORERO RUIZ:</t>
        </r>
        <r>
          <rPr>
            <sz val="10"/>
            <color indexed="81"/>
            <rFont val="Tahoma"/>
            <family val="2"/>
          </rPr>
          <t xml:space="preserve">
Se ajusta redacción (en negrilla), favor revisar si  están de acuerdo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7" authorId="0" shapeId="0" xr:uid="{8476A9B6-07AE-40B9-AF3C-5246D9CB676C}">
      <text>
        <r>
          <rPr>
            <b/>
            <sz val="9"/>
            <color indexed="81"/>
            <rFont val="Tahoma"/>
            <family val="2"/>
          </rPr>
          <t>ANGELA MARCELA FORERO RUIZ:</t>
        </r>
        <r>
          <rPr>
            <sz val="9"/>
            <color indexed="81"/>
            <rFont val="Tahoma"/>
            <family val="2"/>
          </rPr>
          <t xml:space="preserve">
Se diligencia el nombre de la meta</t>
        </r>
      </text>
    </comment>
    <comment ref="AW10" authorId="0" shapeId="0" xr:uid="{A1137B5A-A8FF-499C-ACE6-54780EDD32D8}">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E5890E03-1E88-4CB6-86D6-0815EA34D748}">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F4F718E0-6847-4D3C-B942-B1170416D506}">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AF283558-DF13-4004-B635-A84C12D03C14}">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171AE452-7AEA-4D71-9BEC-12FB28D62B25}">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F9793241-6839-4350-98F5-AA50F5505F83}">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3B1813D0-6B3D-4B3C-8C59-8BC520BA6E0A}">
      <text>
        <r>
          <rPr>
            <b/>
            <sz val="9"/>
            <color indexed="81"/>
            <rFont val="Tahoma"/>
            <family val="2"/>
          </rPr>
          <t>ANGELA MARCELA FORERO RUIZ:</t>
        </r>
        <r>
          <rPr>
            <sz val="9"/>
            <color indexed="81"/>
            <rFont val="Tahoma"/>
            <family val="2"/>
          </rPr>
          <t xml:space="preserve">
La reserva la tenías unicamente asociada a meta 1 $253.060.894</t>
        </r>
      </text>
    </comment>
    <comment ref="BA36" authorId="0" shapeId="0" xr:uid="{B310F9B3-E467-4CC8-B4C1-7263E05F439D}">
      <text>
        <r>
          <rPr>
            <b/>
            <sz val="9"/>
            <color indexed="81"/>
            <rFont val="Tahoma"/>
            <family val="2"/>
          </rPr>
          <t>ANGELA MARCELA FORERO RUIZ:</t>
        </r>
        <r>
          <rPr>
            <sz val="9"/>
            <color indexed="81"/>
            <rFont val="Tahoma"/>
            <family val="2"/>
          </rPr>
          <t xml:space="preserve">
La reserva la tenías unicamente asociada a meta 1 $253.060.894</t>
        </r>
      </text>
    </comment>
    <comment ref="BC36" authorId="0" shapeId="0" xr:uid="{E845F415-E1B0-41AC-99DB-59055B60DB50}">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sharedStrings.xml><?xml version="1.0" encoding="utf-8"?>
<sst xmlns="http://schemas.openxmlformats.org/spreadsheetml/2006/main" count="4333" uniqueCount="1198">
  <si>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</si>
  <si>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</si>
  <si>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</si>
  <si>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</si>
  <si>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</si>
  <si>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</si>
  <si>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</si>
  <si>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</si>
  <si>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MAR</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</si>
  <si>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</si>
  <si>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</si>
  <si>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</si>
  <si>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</si>
  <si>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</si>
  <si>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</si>
  <si>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</si>
  <si>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</si>
  <si>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</si>
  <si>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</si>
  <si>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</si>
  <si>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</si>
  <si>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</si>
  <si>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</si>
  <si>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</si>
  <si>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</si>
  <si>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</si>
  <si>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</si>
  <si>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</si>
  <si>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</si>
  <si>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</si>
  <si>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</si>
  <si>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</si>
  <si>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</si>
  <si>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</si>
  <si>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</si>
  <si>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</si>
  <si>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</si>
  <si>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</si>
  <si>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</si>
  <si>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</si>
  <si>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</si>
  <si>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</si>
  <si>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</si>
  <si>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</si>
  <si>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</si>
  <si>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</si>
  <si>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</si>
  <si>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</si>
  <si>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</si>
  <si>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</si>
  <si>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</si>
  <si>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</si>
  <si>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</si>
  <si>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</si>
  <si>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</si>
  <si>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</si>
  <si>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</si>
  <si>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</si>
  <si>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</si>
  <si>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</si>
  <si>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</si>
  <si>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</si>
  <si>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</si>
  <si>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</si>
  <si>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Programación</t>
  </si>
  <si>
    <t>No se presentan retrasos acorde con la 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</si>
  <si>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</si>
  <si>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</si>
  <si>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</si>
  <si>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</si>
  <si>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</si>
  <si>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</si>
  <si>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</si>
  <si>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</si>
  <si>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</si>
  <si>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</si>
  <si>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</si>
  <si>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</si>
  <si>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</si>
  <si>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</si>
  <si>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</si>
  <si>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</si>
  <si>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</si>
  <si>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</si>
  <si>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</si>
  <si>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</si>
  <si>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</si>
  <si>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</si>
  <si>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</si>
  <si>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</si>
  <si>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</si>
  <si>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</si>
  <si>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</si>
  <si>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</si>
  <si>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</si>
  <si>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</si>
  <si>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</si>
  <si>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7. Elaborar, desarrollar y virtualizar cuatro (4) contenidos para el desarrollo de capacidades socioemocionales, técnicas y digitales de las mujeres, en toda su diversidad</t>
  </si>
  <si>
    <t>Actividad no programada para el periodo de reporte</t>
  </si>
  <si>
    <t>Diseñar e implementar una (1) estrategía para el desarrollo de capacidades socioemocionales y técnicas de las mujeres en toda su diversidad para su emprendimiento y empleabilidad.</t>
  </si>
  <si>
    <t>Este valor incluye los recursos del proceso en curso 2021- SIMISIONAL 2,0 ($100.000.000)</t>
  </si>
  <si>
    <t>Abr</t>
  </si>
  <si>
    <t>No se identifican retrasos a la fecha de reporte</t>
  </si>
  <si>
    <t>Avance en ruta de divulgación: 5 ferias (Kennedy, Engativá) orientación a mujeres en programas de empleo y formación para el trabajo. Divulgación Decreto.332-2020 pautas inclusión laboral con enfoque.género. Construcción directorio: actores claves programa generación de ingreso con enfoque de género</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</si>
  <si>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</si>
  <si>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2.379 mujeres (689.orientaciones, 1690.registros a través de difusión de 17 prog. distritales de empleo, generación.ingresos y formación.para.trabajo. 2 mesas de género EMRE inclusión programa de generación de ingresos. 29.167 mujeres contratadas en ramas económicas descritas en el Decreto 332-2020.</t>
  </si>
  <si>
    <t>8. Implementar la ruta de divulgación y orientación para la formación y oferta de empleo y emprendimiento de mujeres diseñada en el marco de la estrategia de emprendimiento y empleabilidad.</t>
  </si>
  <si>
    <t>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</si>
  <si>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</si>
  <si>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10. Promover acciones que contribuyan a la generación de ingresos y empleo para las mujeres, conforme a la oferta de las diferentes entidades del distrito.</t>
  </si>
  <si>
    <t>Feb (producto doc.lin.técnicos)</t>
  </si>
  <si>
    <t>Mar (producto doc.lin.técnicos)</t>
  </si>
  <si>
    <t>11. Diseñar dos (2) programas que promuevan la autonomía económica de mujeres, en especial cuidadoras.</t>
  </si>
  <si>
    <t>-</t>
  </si>
  <si>
    <t>Se avanzó en la revisión bibliográfica de programas de generación de ingresos dirigidos a mujeres, mujeres cuidadoras o mujeres rurales</t>
  </si>
  <si>
    <t>Se adelanta análisis de cierre de programas de empleo y generación de ingresos en la mesa de género de EMRE y se realiza junto con los sectores de la mesa la proyección de metas 2022 con el fin de proponer una ruta de acompañamiento para la trasversalización de enfoque de género en los programas</t>
  </si>
  <si>
    <t xml:space="preserve">12. Generar y desarrollar alianzas estratégicas que contribuyan a la implementación de la estrategia de emprendimiento y empleabilidad. </t>
  </si>
  <si>
    <t xml:space="preserve">En abril se realizaron las siguientes gestiones:
1.	Sodexo. Gestiones y seguimiento a la publicación de las vacantes disponibles en la empresa. Gestiones para publicación del logo en el micrositio construido por la estrategia de empleo y generación de ingresos de la SDMujer
2.	Adidas. Gestiones y seguimiento a la publicación de la vacante disponible para una persona con experiencia de vida trans.
3.	Coca- Cola FEMSA. Gestiones de seguimiento al proceso de divulgación de vacantes
4.	Kuepa. Gestiones para la firma del memorando de entendimiento y seguimiento a ajustes.
5.	Grupo GCO. Gestiones para lograr alianza con la SDMujer en temas de empleabilidad e implementación de enfoque de género
6.	Estrategia E&amp;E, Alianzas Estratégicas Reunión interna entre equipos de E&amp;E y Alianzas con el fin de hacer seguimiento a las gestiones realizadas en temas de empleabilidad para las mujeres de Bogotá.
7.	El Empleo. Reunión para lograr alianza con la SDMujer en temas de empleabilidad. Seguimiento gestiones para lograr concretar los puntos de trabajo conjunto.
8.	DiDi Food. Comunicación sobre la formalización de la alianza.
9.	Xuss. Gestiones para publicación del logo en el micrositio construido por la estrategia de empleo y generación de ingresos de la SDMujer
10.	CEMEX. Seguimiento divulgación vacantes
11.	Colombina. Reunión para lograr alianza con la SDMujer en temas de empleabilidad e implementación de enfoque de género
12.	International Youth Foundation. Reunión para buscar alternativas de cooperación sobre iniciativa dirigida a mujeres jóvenes garantizar el acceso y entrada exitosa al mundo del trabajo del TI 
</t>
  </si>
  <si>
    <t>Ene (ind.gestión)</t>
  </si>
  <si>
    <t>Feb (ind.gestión)</t>
  </si>
  <si>
    <t>Mar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</si>
  <si>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</si>
  <si>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</si>
  <si>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</si>
  <si>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</si>
  <si>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</si>
  <si>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</si>
  <si>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</si>
  <si>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</si>
  <si>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 xml:space="preserve">Diseñar e Implementar 1 programa piloto para promover la autonomía económica de las mujeres cuidadoras en el marco de la estrategia de emprendimiento y empleabilidad de la SDMujer </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</si>
  <si>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</si>
  <si>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 xml:space="preserve">Diseñar e implementar un (1) programa piloto para promover la autonomía económica de las mujeres cuidadoras en el marco de la estrategia de emprendimiento y empleabilidad de la SDMujer.  </t>
  </si>
  <si>
    <t xml:space="preserve">A la fecha se identifica que de las 48 actividades de 87 previstas a 29 de abril de 2022, el 58,6% presenta rezagos en el cronograma planeado. De estas actividades, las que mayor peso tienen en la ejecución del plan de trabajo y que se requieren subsanar  son la aprobación y firma de parte responsable, contratación del equipo implementador de mentores, asesores y las duplas, preparación de las fichas técnicas de contenidos para el proceso formativo de fortalecimiento de capacidades para la autonomía económica y selección de las 30 organizaciones beneficiarias de la intervención
</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</si>
  <si>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</si>
  <si>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</si>
  <si>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 xml:space="preserve">13. Estructurar los insumos técnicos del programa para el componente de seguimiento y monitoreo </t>
  </si>
  <si>
    <t>14. Diseñar e implementar el proceso de convocatoria con el fin de alcanzar la meta poblacional propuesta en el piloto y levantar una línea base de organizaciones productiva de mujeres cuidadoras asociadas</t>
  </si>
  <si>
    <t>Se plantea la necesidad de elaborar un plan de trabajo con el equipo de comunicaciones para desarrollar el pilotaje de la convocatoria, los copies, intensidad de la divulgación, piezas de comunicaciones a fin de poder lanzar la convocatoria del programa en el marco del 8 de marzo</t>
  </si>
  <si>
    <t>17 jornadas divulgación, 170 llamadas acompañamiento, 54 encuentros territoriales, socialización con: Confecoop, Corporación Mundial Mujer, Onu Mujeres, Fundación Andi, Fundación Keralty, Fundación Saldarriaga Concha. 43 postulaciones (en proceso de verificación cumplimiento términos de referencia)</t>
  </si>
  <si>
    <t>15. Realizar seguimiento al cumplimiento de las horas de formación y mentoría personalizada y las acciones definidas en los planes de fortalecimiento organizativo de las organizaciones productivas de mujeres cuidadoras asociadas beneficiarias del piloto.</t>
  </si>
  <si>
    <t>16. Supervisar el cumplimiento de los objetivos propuestos en el piloto.</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</si>
  <si>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</si>
  <si>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</si>
  <si>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</si>
  <si>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</si>
  <si>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</si>
  <si>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</si>
  <si>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</si>
  <si>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</si>
  <si>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</si>
  <si>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</si>
  <si>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</si>
  <si>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</si>
  <si>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</si>
  <si>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</si>
  <si>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</si>
  <si>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</si>
  <si>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</si>
  <si>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</si>
  <si>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</si>
  <si>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</si>
  <si>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</si>
  <si>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</si>
  <si>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</si>
  <si>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</si>
  <si>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</si>
  <si>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</si>
  <si>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</si>
  <si>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</si>
  <si>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</si>
  <si>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</si>
  <si>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</si>
  <si>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</si>
  <si>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</si>
  <si>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</si>
  <si>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</si>
  <si>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</si>
  <si>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</si>
  <si>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</si>
  <si>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</si>
  <si>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</si>
  <si>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</si>
  <si>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</si>
  <si>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</si>
  <si>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</si>
  <si>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</si>
  <si>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</si>
  <si>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</si>
  <si>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</si>
  <si>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</si>
  <si>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</si>
  <si>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</si>
  <si>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</si>
  <si>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</si>
  <si>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</si>
  <si>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</si>
  <si>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</si>
  <si>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</si>
  <si>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</si>
  <si>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</si>
  <si>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</si>
  <si>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</si>
  <si>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</si>
  <si>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</si>
  <si>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</si>
  <si>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</si>
  <si>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</si>
  <si>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Meta no programada para el primer trimestre.</t>
  </si>
  <si>
    <t>Diseñar e implementar una (1) Estrategía para el Desarrollo De Capacidades Sociomecionales Y Técnicas de las Mujeres en toda su Diversidad para su Emprendimiento y Empleabilidad.</t>
  </si>
  <si>
    <t>Número de registros en la Ruta de  Divulgación y Orientación.</t>
  </si>
  <si>
    <t>N/A</t>
  </si>
  <si>
    <t>Registros</t>
  </si>
  <si>
    <t>Registros realizados</t>
  </si>
  <si>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Juntas"entre otras, en  (13 localidades). Durante el mes de marzo por medio de la ruta de divulgación de la Estrategia de E&amp;E se llevaron a cabo 1.172 registros, a través de la Ruta de Divulgación y Orientación para Mujeres.Durante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</si>
  <si>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</si>
  <si>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meta.Como acciones de mejora para el mes de mayo, el equipo territorial estará en espacios territoriales de divulgación y orientaciones las 4 semanas completas del mes, por lo que se espera alcanzar las metas planeadas. </t>
  </si>
  <si>
    <t>Número de mujeres orientadas a través de la Ruta de Divulgación y Orientación.</t>
  </si>
  <si>
    <t>Mujeres orientadas</t>
  </si>
  <si>
    <t>Orientaciones realizadas</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</si>
  <si>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</si>
  <si>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meta.Como acciones de mejora para el mes de mayo, el equipo territorial estará en espacios territoriales de divulgación y orientaciones las 4 semanas completas del mes, por lo que se espera alcanzar las metas planeadas. </t>
  </si>
  <si>
    <t>Número de informes consolidados, elaborados a partir de los reportes enviados por las entidades y organismos Distrital en cumplimiento del Decreto 332/2020.</t>
  </si>
  <si>
    <t>Informes consolidados</t>
  </si>
  <si>
    <t>Sumatoria</t>
  </si>
  <si>
    <t>Semestral</t>
  </si>
  <si>
    <t>Reportes realizados</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</si>
  <si>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</si>
  <si>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</si>
  <si>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</si>
  <si>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</si>
  <si>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Meta no programada para el periodo</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</si>
  <si>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</si>
  <si>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</si>
  <si>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</si>
  <si>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</si>
  <si>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</si>
  <si>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</si>
  <si>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</si>
  <si>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</si>
  <si>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</si>
  <si>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cimité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</si>
  <si>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Documento técnico fortalecimiento organizativo elaborado.</t>
  </si>
  <si>
    <t>Un documento que de cuenta de las herramientas de fortalecimiento organizativo, mentoría personalziada, de formación y acompañamiento perdagógico implemetnadas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</si>
  <si>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</si>
  <si>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</si>
  <si>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</si>
  <si>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</si>
  <si>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registrio, verificación de requisitos y selección.</t>
  </si>
  <si>
    <t xml:space="preserve">Se avanza en la elaboración del documento que da cuenta del proceso de convocatoria con los componentes que se programaron en los indicadores, teniendo en cuenta que la convocatoria va hasta el día 8 de abril del 2022. Hasta el cierre de la convocatoria, sera posible registrar la veriificación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saldran las 30 organizaciones seleccionadas. </t>
  </si>
  <si>
    <t>El retraso se debe a que la convocatorio se decició lanzar el 8 de marzo, aprovechando la coyuntura, por lo tanto la convocatoria que estaba programada para un mes, cierra hasta el 8 de abril. En ese sentido, por temas de programación, no es viable tener la verrsión fnal del documento de convocatoria.</t>
  </si>
  <si>
    <t>Desarrollo de Capacidades</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</si>
  <si>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</si>
  <si>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</si>
  <si>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</si>
  <si>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</si>
  <si>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r>
      <t xml:space="preserve">Para el trimestre enero - marzo se respondieron un total de 5 requerimientos, en los cuales se informa sobre los procesos de formación, así como la gratuidad de los mismos. Asimismo, se realizaron las siguientes publicaciones de las piezas comunicativas en redes sociales:
1. Twiter: 16
2. Instagram: 5 publicaciones
3. Facebook: 18
Por otra parte, las facilitadoras de los CID divulgaron las piezas comunicativas a través de medios como whats app y correo electrónicos
</t>
    </r>
    <r>
      <rPr>
        <b/>
        <sz val="11"/>
        <color theme="1"/>
        <rFont val="Times New Roman"/>
        <family val="1"/>
      </rPr>
      <t>Anexos:</t>
    </r>
    <r>
      <rPr>
        <sz val="11"/>
        <color theme="1"/>
        <rFont val="Times New Roman"/>
        <family val="1"/>
      </rPr>
      <t xml:space="preserve">
1) SDQS con información sobre los cursos gratuitos. 2)Pantallazos de las piezas divulgadas en las redes oficiales de la entidad. 3) Piezas divulgación facilitadoras</t>
    </r>
  </si>
  <si>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</si>
  <si>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</si>
  <si>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</si>
  <si>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</si>
  <si>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</si>
  <si>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</si>
  <si>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</si>
  <si>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</si>
  <si>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</si>
  <si>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</si>
  <si>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</si>
  <si>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Lider técnica y responsable de proceso)</t>
  </si>
  <si>
    <t>REVISÓ OFICINA ASESORA DE PLANEACIÓN</t>
  </si>
  <si>
    <t xml:space="preserve">VoBo. </t>
  </si>
  <si>
    <t>Nombre: M1-Rocio Duran Mahecha. M2-Ángela Adriana Ávila. M3.M4- Ana María Sánchez</t>
  </si>
  <si>
    <t xml:space="preserve">Nombre: Andrea Ramírez Pisco </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</si>
  <si>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</si>
  <si>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</si>
  <si>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</si>
  <si>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</si>
  <si>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</si>
  <si>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</si>
  <si>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</si>
  <si>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</si>
  <si>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</si>
  <si>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</si>
  <si>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</si>
  <si>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</si>
  <si>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</si>
  <si>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Marzo</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</si>
  <si>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</si>
  <si>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</si>
  <si>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</si>
  <si>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</si>
  <si>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</si>
  <si>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</si>
  <si>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</si>
  <si>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</si>
  <si>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</si>
  <si>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</si>
  <si>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</si>
  <si>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</si>
  <si>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</si>
  <si>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</si>
  <si>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</si>
  <si>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</si>
  <si>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</si>
  <si>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</si>
  <si>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</si>
  <si>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</si>
  <si>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</si>
  <si>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</si>
  <si>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</si>
  <si>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</si>
  <si>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</si>
  <si>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</si>
  <si>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</si>
  <si>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</si>
  <si>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</si>
  <si>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</si>
  <si>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</si>
  <si>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</si>
  <si>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</si>
  <si>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</si>
  <si>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</si>
  <si>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</si>
  <si>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</si>
  <si>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</si>
  <si>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</si>
  <si>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</si>
  <si>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</si>
  <si>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NOTA</t>
  </si>
  <si>
    <t>El reporte de mujeres formadas se realizara de manera mensual, y los recursos presupuestales se realizará de manera trimestral acorde con el reporte SEGPLAN</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</si>
  <si>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</si>
  <si>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</si>
  <si>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</si>
  <si>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</si>
  <si>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</si>
  <si>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</si>
  <si>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</si>
  <si>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</si>
  <si>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</si>
  <si>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</si>
  <si>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</si>
  <si>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</si>
  <si>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</si>
  <si>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</si>
  <si>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Giros a 28-feb</t>
  </si>
  <si>
    <t>Giros a 31-mar</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</si>
  <si>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</si>
  <si>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</si>
  <si>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</si>
  <si>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</si>
  <si>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</si>
  <si>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</si>
  <si>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</si>
  <si>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</si>
  <si>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</si>
  <si>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</si>
  <si>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</si>
  <si>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</si>
  <si>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</si>
  <si>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</si>
  <si>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</si>
  <si>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</si>
  <si>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</si>
  <si>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</si>
  <si>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</si>
  <si>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</si>
  <si>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</si>
  <si>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</si>
  <si>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</si>
  <si>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</si>
  <si>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</si>
  <si>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</si>
  <si>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</si>
  <si>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</si>
  <si>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</si>
  <si>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</si>
  <si>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</si>
  <si>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</si>
  <si>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</si>
  <si>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</si>
  <si>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</si>
  <si>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</si>
  <si>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</si>
  <si>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</si>
  <si>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</si>
  <si>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</si>
  <si>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</si>
  <si>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</si>
  <si>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</si>
  <si>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May</t>
  </si>
  <si>
    <t>Jun</t>
  </si>
  <si>
    <t>Jul</t>
  </si>
  <si>
    <t>Ago</t>
  </si>
  <si>
    <t>Sep</t>
  </si>
  <si>
    <t>Oct</t>
  </si>
  <si>
    <t>Nov</t>
  </si>
  <si>
    <t>Dic</t>
  </si>
  <si>
    <t>Cta x pagar</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</si>
  <si>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</si>
  <si>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</si>
  <si>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</si>
  <si>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</si>
  <si>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</si>
  <si>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</si>
  <si>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</si>
  <si>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</si>
  <si>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</si>
  <si>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</si>
  <si>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</si>
  <si>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</si>
  <si>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</si>
  <si>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</si>
  <si>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</si>
  <si>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</si>
  <si>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</si>
  <si>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</si>
  <si>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</si>
  <si>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</si>
  <si>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</si>
  <si>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</si>
  <si>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</si>
  <si>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</si>
  <si>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</si>
  <si>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</si>
  <si>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</si>
  <si>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</si>
  <si>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</si>
  <si>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</si>
  <si>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</si>
  <si>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</si>
  <si>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</si>
  <si>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</si>
  <si>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</si>
  <si>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</si>
  <si>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</si>
  <si>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</si>
  <si>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</si>
  <si>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</si>
  <si>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</si>
  <si>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</si>
  <si>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</si>
  <si>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</si>
  <si>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</si>
  <si>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</si>
  <si>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</si>
  <si>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</si>
  <si>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</si>
  <si>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</si>
  <si>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</si>
  <si>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</si>
  <si>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</si>
  <si>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</si>
  <si>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</si>
  <si>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</si>
  <si>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</si>
  <si>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</si>
  <si>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</si>
  <si>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</si>
  <si>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</si>
  <si>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</si>
  <si>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</si>
  <si>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</si>
  <si>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</si>
  <si>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</si>
  <si>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</si>
  <si>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</si>
  <si>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</si>
  <si>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</si>
  <si>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</si>
  <si>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</si>
  <si>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</si>
  <si>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</si>
  <si>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</si>
  <si>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</si>
  <si>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</si>
  <si>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</si>
  <si>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</si>
  <si>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</si>
  <si>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</si>
  <si>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</si>
  <si>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</si>
  <si>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</si>
  <si>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</si>
  <si>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</si>
  <si>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</si>
  <si>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</si>
  <si>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</si>
  <si>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</si>
  <si>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</si>
  <si>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</si>
  <si>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</si>
  <si>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</si>
  <si>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</si>
  <si>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</si>
  <si>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</si>
  <si>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</si>
  <si>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</si>
  <si>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</si>
  <si>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</si>
  <si>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</si>
  <si>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</si>
  <si>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</si>
  <si>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</si>
  <si>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</si>
  <si>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</si>
  <si>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</si>
  <si>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</si>
  <si>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</si>
  <si>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</si>
  <si>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</si>
  <si>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</si>
  <si>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</si>
  <si>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</si>
  <si>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</si>
  <si>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</si>
  <si>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</si>
  <si>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</si>
  <si>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</si>
  <si>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</si>
  <si>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</si>
  <si>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</si>
  <si>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</si>
  <si>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</si>
  <si>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</si>
  <si>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</si>
  <si>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</si>
  <si>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</si>
  <si>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</si>
  <si>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</si>
  <si>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</si>
  <si>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</si>
  <si>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</si>
  <si>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</si>
  <si>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</si>
  <si>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</si>
  <si>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</si>
  <si>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</si>
  <si>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</si>
  <si>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</si>
  <si>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</si>
  <si>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</si>
  <si>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</si>
  <si>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</si>
  <si>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</si>
  <si>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</si>
  <si>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</si>
  <si>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</si>
  <si>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</si>
  <si>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</si>
  <si>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</si>
  <si>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</si>
  <si>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</si>
  <si>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</si>
  <si>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</si>
  <si>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</si>
  <si>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</si>
  <si>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</si>
  <si>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</si>
  <si>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</si>
  <si>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</si>
  <si>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</si>
  <si>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</si>
  <si>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</si>
  <si>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</si>
  <si>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</si>
  <si>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</si>
  <si>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</si>
  <si>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</si>
  <si>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</si>
  <si>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</si>
  <si>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</si>
  <si>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</si>
  <si>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</si>
  <si>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</si>
  <si>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</si>
  <si>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</si>
  <si>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</si>
  <si>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</si>
  <si>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</si>
  <si>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</si>
  <si>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</si>
  <si>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</si>
  <si>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</si>
  <si>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</si>
  <si>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</si>
  <si>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</si>
  <si>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</si>
  <si>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</si>
  <si>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</si>
  <si>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</si>
  <si>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</si>
  <si>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</si>
  <si>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</si>
  <si>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</si>
  <si>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</si>
  <si>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</si>
  <si>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</si>
  <si>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</si>
  <si>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</si>
  <si>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</si>
  <si>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</si>
  <si>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</si>
  <si>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</si>
  <si>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</si>
  <si>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</si>
  <si>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</si>
  <si>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</si>
  <si>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</si>
  <si>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</si>
  <si>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</si>
  <si>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</si>
  <si>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</si>
  <si>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</si>
  <si>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</si>
  <si>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</si>
  <si>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</si>
  <si>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</si>
  <si>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</si>
  <si>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</si>
  <si>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</si>
  <si>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</si>
  <si>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</si>
  <si>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</si>
  <si>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</si>
  <si>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</si>
  <si>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</si>
  <si>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</si>
  <si>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</si>
  <si>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</si>
  <si>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</si>
  <si>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</si>
  <si>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</si>
  <si>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</si>
  <si>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</si>
  <si>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</si>
  <si>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</si>
  <si>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</si>
  <si>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</si>
  <si>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</si>
  <si>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</si>
  <si>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</si>
  <si>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</si>
  <si>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PROGRAMADO</t>
  </si>
  <si>
    <t>EJECUTADO</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</si>
  <si>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</si>
  <si>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</si>
  <si>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</si>
  <si>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</si>
  <si>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</si>
  <si>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</si>
  <si>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</si>
  <si>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</si>
  <si>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</si>
  <si>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</si>
  <si>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</si>
  <si>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</si>
  <si>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</si>
  <si>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</si>
  <si>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</si>
  <si>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</si>
  <si>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</si>
  <si>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</si>
  <si>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</si>
  <si>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</si>
  <si>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</si>
  <si>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</si>
  <si>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</si>
  <si>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</si>
  <si>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</si>
  <si>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</si>
  <si>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</si>
  <si>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</si>
  <si>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</si>
  <si>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</si>
  <si>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</si>
  <si>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</si>
  <si>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</si>
  <si>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</si>
  <si>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</si>
  <si>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</si>
  <si>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</si>
  <si>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</si>
  <si>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</si>
  <si>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</si>
  <si>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</si>
  <si>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feb</t>
  </si>
  <si>
    <t>mar</t>
  </si>
  <si>
    <t>abril</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</si>
  <si>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</si>
  <si>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</si>
  <si>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</si>
  <si>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</si>
  <si>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</si>
  <si>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</si>
  <si>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</si>
  <si>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</si>
  <si>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</si>
  <si>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</si>
  <si>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</si>
  <si>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</si>
  <si>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</si>
  <si>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</si>
  <si>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</si>
  <si>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</si>
  <si>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</si>
  <si>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</si>
  <si>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</si>
  <si>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</si>
  <si>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</si>
  <si>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</si>
  <si>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</si>
  <si>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</si>
  <si>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</si>
  <si>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</si>
  <si>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</si>
  <si>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</si>
  <si>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</si>
  <si>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</si>
  <si>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</si>
  <si>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</si>
  <si>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</si>
  <si>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</si>
  <si>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</si>
  <si>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</si>
  <si>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</si>
  <si>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</si>
  <si>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</si>
  <si>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</si>
  <si>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</si>
  <si>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</si>
  <si>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</si>
  <si>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</si>
  <si>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</si>
  <si>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</si>
  <si>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</si>
  <si>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</si>
  <si>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</si>
  <si>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</si>
  <si>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</si>
  <si>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</si>
  <si>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</si>
  <si>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</si>
  <si>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</si>
  <si>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</si>
  <si>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</si>
  <si>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</si>
  <si>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</si>
  <si>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</si>
  <si>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</si>
  <si>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</si>
  <si>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</si>
  <si>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</si>
  <si>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</si>
  <si>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</si>
  <si>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</si>
  <si>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</si>
  <si>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</si>
  <si>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</si>
  <si>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</si>
  <si>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</si>
  <si>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</si>
  <si>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</si>
  <si>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</si>
  <si>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</si>
  <si>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</si>
  <si>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</si>
  <si>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</si>
  <si>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</si>
  <si>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</si>
  <si>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</si>
  <si>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</si>
  <si>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</si>
  <si>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</si>
  <si>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</si>
  <si>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</si>
  <si>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</si>
  <si>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</si>
  <si>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</si>
  <si>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</si>
  <si>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</si>
  <si>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</si>
  <si>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</si>
  <si>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</si>
  <si>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</si>
  <si>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</si>
  <si>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</si>
  <si>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</si>
  <si>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</si>
  <si>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</si>
  <si>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</si>
  <si>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</si>
  <si>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</si>
  <si>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</si>
  <si>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</si>
  <si>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</si>
  <si>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</si>
  <si>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</si>
  <si>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</si>
  <si>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</si>
  <si>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</si>
  <si>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</si>
  <si>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</si>
  <si>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</si>
  <si>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</si>
  <si>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</si>
  <si>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</si>
  <si>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</si>
  <si>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</si>
  <si>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</si>
  <si>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</si>
  <si>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</si>
  <si>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</si>
  <si>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</si>
  <si>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</si>
  <si>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</si>
  <si>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</si>
  <si>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963</t>
  </si>
  <si>
    <t>7</t>
  </si>
  <si>
    <t>1488</t>
  </si>
  <si>
    <t>1634</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</si>
  <si>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</si>
  <si>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</si>
  <si>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</si>
  <si>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</si>
  <si>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</si>
  <si>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</si>
  <si>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</si>
  <si>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</si>
  <si>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</si>
  <si>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</si>
  <si>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78092</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</si>
  <si>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</si>
  <si>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</si>
  <si>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</si>
  <si>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</si>
  <si>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</si>
  <si>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</si>
  <si>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</si>
  <si>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</si>
  <si>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</si>
  <si>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</si>
  <si>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</si>
  <si>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</si>
  <si>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</si>
  <si>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</si>
  <si>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</si>
  <si>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</si>
  <si>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</si>
  <si>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</si>
  <si>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</si>
  <si>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</si>
  <si>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</si>
  <si>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</si>
  <si>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</si>
  <si>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</si>
  <si>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</si>
  <si>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</si>
  <si>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</si>
  <si>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</si>
  <si>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</si>
  <si>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</si>
  <si>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</si>
  <si>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</si>
  <si>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</si>
  <si>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</si>
  <si>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</si>
  <si>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</si>
  <si>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</si>
  <si>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</si>
  <si>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</si>
  <si>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</si>
  <si>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</si>
  <si>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</si>
  <si>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</si>
  <si>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</si>
  <si>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</si>
  <si>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</si>
  <si>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</si>
  <si>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</si>
  <si>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</si>
  <si>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</si>
  <si>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</si>
  <si>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</si>
  <si>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</si>
  <si>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</si>
  <si>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</si>
  <si>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</si>
  <si>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</si>
  <si>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</si>
  <si>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</si>
  <si>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</si>
  <si>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</si>
  <si>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</si>
  <si>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</si>
  <si>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</si>
  <si>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</si>
  <si>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</si>
  <si>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</si>
  <si>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</si>
  <si>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</si>
  <si>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</si>
  <si>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</si>
  <si>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</si>
  <si>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</si>
  <si>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</si>
  <si>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</si>
  <si>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</si>
  <si>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</si>
  <si>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</si>
  <si>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</si>
  <si>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</si>
  <si>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</si>
  <si>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</si>
  <si>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</si>
  <si>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</si>
  <si>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</si>
  <si>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</si>
  <si>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</si>
  <si>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</si>
  <si>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</si>
  <si>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</si>
  <si>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</si>
  <si>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</si>
  <si>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</si>
  <si>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</si>
  <si>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</si>
  <si>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</si>
  <si>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</si>
  <si>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</si>
  <si>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</si>
  <si>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</si>
  <si>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</si>
  <si>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</si>
  <si>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</si>
  <si>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</si>
  <si>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</si>
  <si>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</si>
  <si>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</si>
  <si>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</si>
  <si>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</si>
  <si>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</si>
  <si>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</si>
  <si>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</si>
  <si>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</si>
  <si>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</si>
  <si>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</si>
  <si>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</si>
  <si>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</si>
  <si>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</si>
  <si>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</si>
  <si>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</si>
  <si>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</si>
  <si>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</si>
  <si>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</si>
  <si>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</si>
  <si>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</si>
  <si>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</si>
  <si>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</si>
  <si>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</si>
  <si>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</si>
  <si>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</si>
  <si>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</si>
  <si>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</si>
  <si>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</si>
  <si>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</si>
  <si>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</si>
  <si>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</si>
  <si>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</si>
  <si>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</si>
  <si>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</si>
  <si>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</si>
  <si>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</si>
  <si>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</si>
  <si>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</si>
  <si>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</si>
  <si>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</si>
  <si>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</si>
  <si>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</si>
  <si>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</si>
  <si>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</si>
  <si>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</si>
  <si>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</si>
  <si>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</si>
  <si>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</si>
  <si>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</si>
  <si>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</si>
  <si>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</si>
  <si>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</si>
  <si>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</si>
  <si>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</si>
  <si>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</si>
  <si>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</si>
  <si>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</si>
  <si>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</si>
  <si>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</si>
  <si>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</si>
  <si>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</si>
  <si>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</si>
  <si>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</si>
  <si>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</si>
  <si>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</si>
  <si>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</si>
  <si>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</si>
  <si>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</si>
  <si>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</si>
  <si>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</si>
  <si>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</si>
  <si>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</si>
  <si>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</si>
  <si>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</si>
  <si>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</si>
  <si>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</si>
  <si>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</si>
  <si>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</si>
  <si>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</si>
  <si>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</si>
  <si>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</si>
  <si>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</si>
  <si>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</si>
  <si>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</si>
  <si>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</si>
  <si>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</si>
  <si>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</si>
  <si>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</si>
  <si>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</si>
  <si>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</si>
  <si>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</si>
  <si>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</si>
  <si>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</si>
  <si>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</si>
  <si>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</si>
  <si>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</si>
  <si>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</si>
  <si>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</si>
  <si>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</si>
  <si>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</si>
  <si>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</si>
  <si>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</si>
  <si>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</si>
  <si>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</si>
  <si>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</si>
  <si>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</si>
  <si>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</si>
  <si>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</si>
  <si>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</si>
  <si>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</si>
  <si>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</si>
  <si>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</si>
  <si>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</si>
  <si>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</si>
  <si>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</si>
  <si>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</si>
  <si>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</si>
  <si>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</si>
  <si>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</si>
  <si>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</si>
  <si>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</si>
  <si>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</si>
  <si>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</si>
  <si>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</si>
  <si>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</si>
  <si>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</si>
  <si>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</si>
  <si>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</si>
  <si>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</si>
  <si>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</si>
  <si>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</si>
  <si>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</si>
  <si>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</si>
  <si>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</si>
  <si>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</si>
  <si>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</si>
  <si>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</si>
  <si>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</si>
  <si>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</si>
  <si>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</si>
  <si>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</si>
  <si>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</si>
  <si>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</si>
  <si>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</si>
  <si>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</si>
  <si>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</si>
  <si>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</si>
  <si>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</si>
  <si>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</si>
  <si>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</si>
  <si>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</si>
  <si>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</si>
  <si>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</si>
  <si>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</si>
  <si>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</si>
  <si>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</si>
  <si>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</si>
  <si>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</si>
  <si>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</si>
  <si>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Las facilitadoras realizan un seguimiento y recolección de aprendizajes mediante instrumentos previamente diseñados, que favorecen la identificación de beneficios para las mujeres que participan del proceso.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</si>
  <si>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</si>
  <si>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</si>
  <si>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</si>
  <si>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</si>
  <si>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</si>
  <si>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</si>
  <si>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</si>
  <si>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</si>
  <si>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</si>
  <si>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</si>
  <si>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</si>
  <si>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</si>
  <si>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</si>
  <si>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</si>
  <si>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</si>
  <si>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</si>
  <si>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</si>
  <si>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t>
  </si>
  <si>
    <r>
      <rPr>
        <b/>
        <sz val="11"/>
        <rFont val="Times New Roman"/>
        <family val="1"/>
      </rPr>
      <t>Abril ($24.000.003)</t>
    </r>
    <r>
      <rPr>
        <sz val="11"/>
        <rFont val="Times New Roman"/>
        <family val="1"/>
      </rPr>
      <t>: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r>
  </si>
  <si>
    <r>
      <rPr>
        <b/>
        <sz val="11"/>
        <color theme="1"/>
        <rFont val="Times New Roman"/>
        <family val="1"/>
      </rPr>
      <t xml:space="preserve">Abril ($0): </t>
    </r>
    <r>
      <rPr>
        <sz val="11"/>
        <color theme="1"/>
        <rFont val="Times New Roman"/>
        <family val="1"/>
      </rPr>
      <t>No se giran ni se anulan reservas</t>
    </r>
    <r>
      <rPr>
        <b/>
        <sz val="11"/>
        <color theme="1"/>
        <rFont val="Times New Roman"/>
        <family val="1"/>
      </rPr>
      <t xml:space="preserve">
Marzo ($10.231.325,92):</t>
    </r>
    <r>
      <rPr>
        <sz val="11"/>
        <color theme="1"/>
        <rFont val="Times New Roman"/>
        <family val="1"/>
      </rPr>
      <t xml:space="preserve">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t>
    </r>
    <r>
      <rPr>
        <b/>
        <sz val="11"/>
        <color theme="1"/>
        <rFont val="Times New Roman"/>
        <family val="1"/>
      </rPr>
      <t>Febrero ($600.398,46):</t>
    </r>
    <r>
      <rPr>
        <sz val="11"/>
        <color theme="1"/>
        <rFont val="Times New Roman"/>
        <family val="1"/>
      </rPr>
      <t xml:space="preserve">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t>
    </r>
    <r>
      <rPr>
        <b/>
        <sz val="11"/>
        <color theme="1"/>
        <rFont val="Times New Roman"/>
        <family val="1"/>
      </rPr>
      <t>Enero ($1.721.304,54)</t>
    </r>
    <r>
      <rPr>
        <sz val="11"/>
        <color theme="1"/>
        <rFont val="Times New Roman"/>
        <family val="1"/>
      </rPr>
      <t>: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r>
  </si>
  <si>
    <t>ACUM I TRIM</t>
  </si>
  <si>
    <t>ACUM II TRIM</t>
  </si>
  <si>
    <t>ACUM III TRIM</t>
  </si>
  <si>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semestre.Para el cierre del primer trimestre, se han beneficiado 2.379 mujeres (689 orientaciones, 1690 registros a través de la difusión de 17 programas -distritales de empleo, generación de ingresos y formación para el trabajo y se realizaron 28.528 divulgaciones del programa Empleo Joven.Se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</si>
  <si>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abril</t>
  </si>
  <si>
    <t>Se elaboró el informe trimestral con el reporte del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y el 31 de marzo de 2022. Así las cosas, el documento se divide en cinco secciones. Dicho documento, comprende una revisión del avance a las actividades previstas en el plan de trabajo para el periodo de reporte; una segunda sección de avance a la convocatoria del programa; una tercera sección de avance a la ejecución presupuestal. Así mismo, se desarrollaron dos Cómites Técnicos entre el aliado y los integrantes de la SDMujer durante este primer trimestre. Actividad no programada para el mes de abril</t>
  </si>
  <si>
    <t>a. Informática: Microsoft Word, Excel e Internet: se han formado en total 249 mujeres (24 en febrero, 158 en marzo y 67 en abril)</t>
  </si>
  <si>
    <t>b. Herramientas TIC - Fotografía digital: se han formado 3 mujeres (1 febrero, 2 en marzo)</t>
  </si>
  <si>
    <t>c. Herramientas TIC - Manejo de Adobe PhotoShop:  se han formado 4 mujeres (2 febrero, 2 en marzo)</t>
  </si>
  <si>
    <t xml:space="preserve">d. Habilidades Socioemocionales Moodle: se han formado 49 mujeres (24 febrero, 25 en marzo) </t>
  </si>
  <si>
    <t>e. Educación Financiera Moodle: se han formado 127 mujeres (83 febrero, 41 en marzo, 3 abril)</t>
  </si>
  <si>
    <t>f.  Habilidades Socioemocionales - CID: se han formado 955 mujeres (237 febrero, 341 en marzo, 377 abril)</t>
  </si>
  <si>
    <t>g. Habilidades digitales: se han formado 639 mujeres (148 febrero, 340 en marzo, 151 abril)</t>
  </si>
  <si>
    <t>h. Introducción a los indicadores de género: se han formado 12 mujeres (4 febrero, 2 en marzo, 6 abril)</t>
  </si>
  <si>
    <t>i. Construcción y aplicación de indicadores de género en ideas de proyecto: se han formado 3 mujeres (3 febrero)</t>
  </si>
  <si>
    <t>j. Derechos de las mujeres y TIC: se han formado 40 mujeres (4 febrero, 21 en marzo, 15 abril)</t>
  </si>
  <si>
    <t>k. Prevencion de violencias digitales: se han formado 74 mujeres (19 en marzo, 55 abril)</t>
  </si>
  <si>
    <t>l. Claves para ingresar al mundo laboral: se han formado 25 mujeres (25 abril)</t>
  </si>
  <si>
    <t>m. Constructoras Tic para la Paz: se han formado 4 mujeres (4 abril)</t>
  </si>
  <si>
    <t>n. Manejo básico de herramientas Microsoft Office 2016: excel: se han formado 30 mujeres (30 abril)</t>
  </si>
  <si>
    <t>o. Manejo intermedio de herramientas Microsoft office excel 2016: se han formado 4 mujeres (7 abril)</t>
  </si>
  <si>
    <t>l. Claves para ingresar al mundo laboral</t>
  </si>
  <si>
    <t>m. Constructoras Tic para la Paz</t>
  </si>
  <si>
    <t>n. Manejo básico de herramientas Microsoft Office 2016</t>
  </si>
  <si>
    <t>o. Manejo intermedio de herramientas Microsoft office excel 2016</t>
  </si>
  <si>
    <t>a. Informática: Microsoft Word, Excel e Internet</t>
  </si>
  <si>
    <t>b. Herramientas TIC - Fotografía digital</t>
  </si>
  <si>
    <t>c. Herramientas TIC - Manejo de Adobe PhotoShop</t>
  </si>
  <si>
    <t>d. Habilidades Socioemocionales Moodle</t>
  </si>
  <si>
    <t>e. Educación Financiera Moodle</t>
  </si>
  <si>
    <t>f. Habilidades Socioemocionales - CID</t>
  </si>
  <si>
    <t>g. Habilidades digitales</t>
  </si>
  <si>
    <t>h. Introducción a los indicadores de género</t>
  </si>
  <si>
    <t>i. Construcción y aplicación de indicadores de género en ideas de proyecto</t>
  </si>
  <si>
    <t>j. Derechos de las mujeres y TIC</t>
  </si>
  <si>
    <t>k. Prevencion de violencias digitales</t>
  </si>
  <si>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t>
  </si>
  <si>
    <t>Meta no programada para el mes de abril.</t>
  </si>
  <si>
    <t xml:space="preserve">Una vez culmine la convocatoria, se tendran los datos y la información completa para la elaboración del documento. </t>
  </si>
  <si>
    <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</si>
  <si>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</si>
  <si>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r>
      <rPr>
        <b/>
        <sz val="11"/>
        <color theme="1"/>
        <rFont val="Times New Roman"/>
        <family val="1"/>
      </rPr>
      <t xml:space="preserve">Abril ($31.500.000 giros; $4.759.996 anulaciones): </t>
    </r>
    <r>
      <rPr>
        <sz val="11"/>
        <color theme="1"/>
        <rFont val="Times New Roman"/>
        <family val="1"/>
      </rPr>
      <t>Del contrato 78092-2021 con PANAMERICANA se anularon $4.759.996. Del contrato 963 de 2021 suscrito con la empresa MINDIT se giraron $31.500.000</t>
    </r>
    <r>
      <rPr>
        <b/>
        <sz val="11"/>
        <color theme="1"/>
        <rFont val="Times New Roman"/>
        <family val="1"/>
      </rPr>
      <t xml:space="preserve">
Marzo ($180.802.209):</t>
    </r>
    <r>
      <rPr>
        <sz val="11"/>
        <color theme="1"/>
        <rFont val="Times New Roman"/>
        <family val="1"/>
      </rPr>
      <t xml:space="preserve">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t>
    </r>
    <r>
      <rPr>
        <b/>
        <sz val="11"/>
        <color theme="1"/>
        <rFont val="Times New Roman"/>
        <family val="1"/>
      </rPr>
      <t>Febrero ($9.406.243)</t>
    </r>
    <r>
      <rPr>
        <sz val="11"/>
        <color theme="1"/>
        <rFont val="Times New Roman"/>
        <family val="1"/>
      </rPr>
      <t xml:space="preserve">: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t>
    </r>
    <r>
      <rPr>
        <b/>
        <sz val="11"/>
        <color theme="1"/>
        <rFont val="Times New Roman"/>
        <family val="1"/>
      </rPr>
      <t>Enero ($26.967.057):</t>
    </r>
    <r>
      <rPr>
        <sz val="11"/>
        <color theme="1"/>
        <rFont val="Times New Roman"/>
        <family val="1"/>
      </rPr>
      <t xml:space="preserve">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r>
  </si>
  <si>
    <r>
      <t xml:space="preserve">Acorde con la programación para el mes de abril se formaron un total de 740 mujeres, para un avance del 32%  (2,221 mujeres) en la meta 2022, en los siguientes procesos de formación:
a. Informática: Microsoft Word, Excel e Internet: se han formado en total 249 mujeres (24 en febrero, 158 en marzo y 67 en abril)
b. Herramientas TIC - Fotografía digital: se han formado 3 mujeres (1 febrero, 2 en marzo)
c. Herramientas TIC - Manejo de Adobe Photoshop:  se han formado 4 mujeres (2 febrero, 2 en marzo)
d. Habilidades Socioemocionales Moodle: se han formado 49 mujeres (24 febrero, 25 en marzo) 
e. Educación Financiera Moodle: se han formado 127 mujeres (83 febrero, 41 en marzo, 3 abril)
f.  Habilidades Socioemocionales - CID: se han formado 955 mujeres (237 febrero, 341 en marzo, 377 abril)
g. Habilidades digitales: se han formado 639 mujeres (148 febrero, 340 en marzo, 151 abril)
h. Introducción a los indicadores de género: se han formado 12 mujeres (4 febrero, 2 en marzo, 6 abril)
i. Construcción y aplicación de indicadores de género en ideas de proyecto: se han formado 3 mujeres (3 febrero)
j. Derechos de las mujeres y TIC: se han formado 40 mujeres (4 febrero, 21 en marzo, 15 abril)
k. Prevención de violencias digitales: se han formado 74 mujeres (19 en marzo, 55 abril)
l. Claves para ingresar al mundo laboral: se han formado 25 mujeres (25 abril)
m. Constructoras Tic para la Paz: se han formado 4 mujeres (4 abril)
n. Manejo básico de herramientas Microsoft Office 2016: Excel: se han formado 30 mujeres (30 abril)
o. Manejo intermedio de herramientas Microsoft office Excel 2016: se han formado </t>
    </r>
    <r>
      <rPr>
        <b/>
        <sz val="11"/>
        <color theme="1"/>
        <rFont val="Times New Roman"/>
        <family val="1"/>
      </rPr>
      <t>7</t>
    </r>
    <r>
      <rPr>
        <sz val="11"/>
        <color theme="1"/>
        <rFont val="Times New Roman"/>
        <family val="1"/>
      </rPr>
      <t xml:space="preserve"> mujeres (7 abril)
Las facilitadoras realizan un seguimiento y recolección de aprendizajes mediante instrumentos previamente diseñados, que favorecen la identificación de beneficios para las mujeres que participan del proceso.</t>
    </r>
  </si>
  <si>
    <t xml:space="preserve">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En los procesos de formación propios de los CID, las mujeres expresan la importancia del aprendizaje socioemocional para identificar aquellos aspectos de sus vidas que son positivos y negativos para el cumplimiento de sus metas; también ven la importancia de conocer las distintas violencias  en lod digital, en especial cuando se trata de dar información personal, cómo protegerla, y como prevenir ser víctima de alguna de estas violencias. Por su parte en los cursos básico como el de habilidades digitales para la autonomía de las mujeres, las mujeres ven aplicado lo aprendido en su vida diaria con cosas tan sencillas como aprender a pedir un taxi,  aprender a usar el WhatsApp o buscar un video en YouTube, influyendo positivamente en su autonomía. </t>
  </si>
  <si>
    <t>Febrero - 531 mujeres formadas en, Informática: Word, Excel e Internet: 24, Herramientas TIC: 1, Adobe Photoshop: 2, Socioemocionales. Moodle: 25, Edu.Fin: 83, Hab.Socioemocionales.CID: 237, Hab.Digitales: 148, Indicadores.género: 4, Aplicación.ind.género: 3 mujeres. Derechos.mujeres y TIC: 4.</t>
  </si>
  <si>
    <t>950 mujeres formadas en: Informática: Microsoft Word, Excel: 158. Fotografía digital: 2. Adobe Photoshop: 2. Hab.Socioemocionales: 24
Edu.Financiera: 41. Hab.Socioemocionales-CID: 341. Hab.digitales: 340. Int.Indicadores.género: 2. Derechos.mujeres-TIC: 21. Prevención violencias digitales: 19.</t>
  </si>
  <si>
    <r>
      <t xml:space="preserve">Acorde con la actividad programada, se realizó el diseñó y /o actualización de dos (2) contenidos  pedagógicos de formación, específicamente: 
</t>
    </r>
    <r>
      <rPr>
        <b/>
        <sz val="11"/>
        <color theme="1"/>
        <rFont val="Times New Roman"/>
        <family val="1"/>
      </rPr>
      <t xml:space="preserve">Modalidad virtual:
</t>
    </r>
    <r>
      <rPr>
        <sz val="11"/>
        <color theme="1"/>
        <rFont val="Times New Roman"/>
        <family val="1"/>
      </rPr>
      <t xml:space="preserve">1. Se diseño el curso virtual "Tres aspectos infaltables para que logres trabajar", fue cargado en la plataforma Moodle y se inició con la inscripción de ciudadanas. Se realiza el diseño de línea grafica para la virtualización del Curso, compuesto de 6 módulos cada uno en HTML, CSS y JavaScript, con sus actividades pedagógicas. En el mes de abril se inicia su implementación.
</t>
    </r>
    <r>
      <rPr>
        <b/>
        <sz val="11"/>
        <color theme="1"/>
        <rFont val="Times New Roman"/>
        <family val="1"/>
      </rPr>
      <t>Plataforma Moodle:</t>
    </r>
    <r>
      <rPr>
        <sz val="11"/>
        <color theme="1"/>
        <rFont val="Times New Roman"/>
        <family val="1"/>
      </rPr>
      <t xml:space="preserve">
2. Se realiza la implementación dentro de la Plataforma Moodle de la Secretaría Distrital de la Mujer la Escuela de Educación Emocional, diseñando y virtualizando los contenidos de acuerdo con la estrategia metodológica y las prioridades establecidas por la Dirección de Gestión del Conocimiento.
</t>
    </r>
    <r>
      <rPr>
        <b/>
        <sz val="11"/>
        <color theme="1"/>
        <rFont val="Times New Roman"/>
        <family val="1"/>
      </rPr>
      <t>Modalidad presencial:</t>
    </r>
    <r>
      <rPr>
        <sz val="11"/>
        <color theme="1"/>
        <rFont val="Times New Roman"/>
        <family val="1"/>
      </rPr>
      <t xml:space="preserve">
3. En le mes de abril se construyeron las guías para la estructura del curso "Aprendiendo Office" con un avance del 10% en los contenidos del mismo.
</t>
    </r>
    <r>
      <rPr>
        <b/>
        <sz val="11"/>
        <color theme="1"/>
        <rFont val="Times New Roman"/>
        <family val="1"/>
      </rPr>
      <t>Anexos:</t>
    </r>
    <r>
      <rPr>
        <sz val="11"/>
        <color theme="1"/>
        <rFont val="Times New Roman"/>
        <family val="1"/>
      </rPr>
      <t xml:space="preserve">
1. Soportes cursos modalidad Virtual
2. Soportes cursos Plataforma Moodle
3. Soportes cursos presenciales</t>
    </r>
  </si>
  <si>
    <r>
      <t xml:space="preserve">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 
</t>
    </r>
    <r>
      <rPr>
        <b/>
        <sz val="11"/>
        <color theme="1"/>
        <rFont val="Times New Roman"/>
        <family val="1"/>
      </rPr>
      <t xml:space="preserve">1ra jornada de reconocimiento:
</t>
    </r>
    <r>
      <rPr>
        <sz val="11"/>
        <color theme="1"/>
        <rFont val="Times New Roman"/>
        <family val="1"/>
      </rPr>
      <t xml:space="preserve">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t>
    </r>
    <r>
      <rPr>
        <b/>
        <sz val="11"/>
        <color theme="1"/>
        <rFont val="Times New Roman"/>
        <family val="1"/>
      </rPr>
      <t>Anexos:</t>
    </r>
    <r>
      <rPr>
        <sz val="11"/>
        <color theme="1"/>
        <rFont val="Times New Roman"/>
        <family val="1"/>
      </rPr>
      <t xml:space="preserve">
1. Formato de Planeación de la jornada.
2. Soportes 1ra Jornada de reconocimiento</t>
    </r>
  </si>
  <si>
    <t>5. Adecuar la infraestructura tecnológica de los Centros de Inclusión Digital, aportando a la inclusión del enfoque diferencial</t>
  </si>
  <si>
    <r>
      <t xml:space="preserve">Como parte de la planeación se coordinó con el área de almacén de la entidad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De acuerdo con el área administrativa, en abril se pintaran los CID de San Cristóbal, Antonio Nariño, Chapinero, Teusaquillo y Barrios Unidos (en ese orden).
En este periodo se avanzó  en la adecuación de los diferentes CID:  Antonio Nariño, San Cristóbal, Chapinero y Teusaquillo quedaron en funcionamiento, con unos pocos requerimientos tecnológicos pendientes. Por su parte los CID de Puente Aranda, Tunjuelito, Rafael Uribe Uribe y Fontibón quedan con Render listo para adecuaciones en el mes de Mayo y Junio.
</t>
    </r>
    <r>
      <rPr>
        <b/>
        <sz val="11"/>
        <color theme="1"/>
        <rFont val="Times New Roman"/>
        <family val="1"/>
      </rPr>
      <t>Anexos:</t>
    </r>
    <r>
      <rPr>
        <sz val="11"/>
        <color theme="1"/>
        <rFont val="Times New Roman"/>
        <family val="1"/>
      </rPr>
      <t xml:space="preserve">
a. Fotos adecuaciones CID Nuevos
b. Cronograma y seguimiento de adecuaciones.</t>
    </r>
  </si>
  <si>
    <r>
      <t xml:space="preserve">Aunque el proceso de construcción de la memoria de los procesos de formación 2022  iniciara en el mes de julio, se realizó en los meses de febrero a abril la recolección de material como fotos y videos que sirvan de insumo para la elaboración de este producto.
</t>
    </r>
    <r>
      <rPr>
        <b/>
        <sz val="11"/>
        <color theme="1"/>
        <rFont val="Times New Roman"/>
        <family val="1"/>
      </rPr>
      <t xml:space="preserve">
Anexos</t>
    </r>
    <r>
      <rPr>
        <sz val="11"/>
        <color theme="1"/>
        <rFont val="Times New Roman"/>
        <family val="1"/>
      </rPr>
      <t>:
a. Fotos y videos memoria de formación</t>
    </r>
  </si>
  <si>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</si>
  <si>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Juntas"entre otras, en  (13 localidades). Durante el mes de marzo por medio de la ruta de divulgación de la Estrategia de E&amp;E se llevaron a cabo 370 orientaciones y se realizaron 1172 registros. </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</si>
  <si>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</si>
  <si>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</si>
  <si>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</si>
  <si>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</si>
  <si>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trasversalización de enfoque de género en los programas. Anexo 1: PPT Emre Marzo 2022.</t>
  </si>
  <si>
    <t>Reporte: enero a marzo</t>
  </si>
  <si>
    <t>Abr (producto doc.lin.técnicos)</t>
  </si>
  <si>
    <t>Se avanzó en una propuesta de transición para las mujeres beneficiarias del Programa Mujeres que reverdecen y así comenzar a estructurar una propuesta brief de un nuevo programa para el primer semestre.</t>
  </si>
  <si>
    <t>Abr (ind.gestión)</t>
  </si>
  <si>
    <t xml:space="preserve">
Durante el mes de abril se asistio a 57 espacios de difusión. Así mismo a través de la Ruta de Divulgación y Orientación para Mujeres se llevaron a cabo 869 registros y 279 orientaciones de mujeres.</t>
  </si>
  <si>
    <t>Durante el mes de abril no se presentan avances para esta actividad</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</si>
  <si>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t>
  </si>
  <si>
    <t>Durante el mes de abril se avanzó en identificar 362 organizaciones de mujeres cuidadoras asociadas en la plataforma de la convocatoria de las cuales 128 pasaron al primer filtro de verificación del programa por cumplir con los términos de referencia.</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</si>
  <si>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</si>
  <si>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</si>
  <si>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 En abril se avanza en estructurar la linea base de entrada de las mujeres con base en el marco de resultados definido para el programa. (Anexo 1: línea base de entrada).</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</si>
  <si>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</si>
  <si>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</si>
  <si>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 xml:space="preserve"> En abril se registran retrasos al plan de trabajo correspondientes al proceso de contratación del equipo implementaron del PNUD, contenidos formativos y selección de las organizaciones por lo cual se reportaran avances de esta actividad en el mes de mayo.</t>
  </si>
  <si>
    <t>Para el mes de enero, febrero, marzo  no se reportan actividades puesto que el seguimiento a las horas de formación y mentoría se corrió un mes, para la fase de implementación del programa.</t>
  </si>
  <si>
    <t>Durante el mes de abril se avanza en la realización del comité del convenio y seguimiento al primer desembolso y se realiza el informe mensual de seguimiento (Anexo 1. Informe abril de seguimiento).</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</si>
  <si>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</si>
  <si>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por medio de la ruta de divulgación de la Estrategia de E&amp;E se llevaron a cabo 279 orientaciones, a través de la Ruta de Divulgación y Orientación para Mujeres. Para un total de 814 de enero a abril. Se entrega a PNUD 128 carpetas de organizaciones que pasaron a primer filtro de revisión de términos de referencia, las cuales corresponden al 35,3% del total de las postulaciones que se recibieron en la convocatoria (362).</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</si>
  <si>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</si>
  <si>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r>
      <t xml:space="preserve">En el mes de enero,  se realizó el proceso de planeación estratégica y definición de productos en el marco de lo programado para la vigencia 2022, para el mes de febrero se inicia con la estrategia de convocatoria de los procesos de formación de la Dirección de Gestión del Conocimiento, y en el mes de marzo se continuó con la implementación de la estrategia de convocatoría a partir del documento construidos, y en el mes de abril, se estabalecen las siguientes acciones:
a. Publicaciones periódicas en las redes sociales oficiales de la entidad de los cursos Manejo de Herramientas de Microsoft Office y Excel 2016, Claves para ingresar al mundo laboral, Prevención de Violencias Digitales, Habilidades TIC uso de Microsoft Word, Excel e internet y Habilidades Socioemocionales.
b. Actualización mensual de oferta formación y cargada en Portal Bogotá,  esto a través del Excel estipulado por la Alcaldía de Bogotá, para su publicación en la página web “Portal Bogotá” con el fin de convocar población exógena al target de la Secretaria Distrital de la Mujer a los procesos de formación.
c. Se elaboró documento de Estrategia de Convocatoria. En dicho documento se realiza un balance de los aciertos desaciertos y acciones de mejora con miras al 2022. Luego de ello, se describan cad auna de las acciones que se están implementando como parte de la estrategia de convocatoria, y que responden así mismos a las acciones de mejora. 
d. Se realizaron dos articulaciones con entidad del nivel nacional: USPEC y MinSalud; con el fin de formar a funcionarios y funcionarias con los cursos ofertados por la DGC, en el marco de los Planes Institucionales de Formación de las entidades.
</t>
    </r>
    <r>
      <rPr>
        <b/>
        <sz val="11"/>
        <color theme="1"/>
        <rFont val="Times New Roman"/>
        <family val="1"/>
      </rPr>
      <t>Anexos:</t>
    </r>
    <r>
      <rPr>
        <sz val="11"/>
        <color theme="1"/>
        <rFont val="Times New Roman"/>
        <family val="1"/>
      </rPr>
      <t xml:space="preserve">
1. Oferta formativa 2022 con link de inscripción
2. Pantallazos de publicaciones en redes sociales
3. Listas de Excel enviadas a "Portal Bogotá"
4. Documento de estrategia de convocatoria
5. Listado de cursos SENA 
6. Soportes articulaciones MinSalud-USPEC</t>
    </r>
  </si>
  <si>
    <r>
      <t xml:space="preserve">Los procesos de formación han alcanzando un total de 2221 mujeres en sus derechos a través de procesos de desarrollo de capacidades en el uso TIC, para un avance del 32% en la meta. Se realiza un reporte por cada uno de los procesos adelantados en el marco de la meta de formación a mujeres en temas TIC,  estos son:
</t>
    </r>
    <r>
      <rPr>
        <b/>
        <sz val="11"/>
        <color theme="1"/>
        <rFont val="Times New Roman"/>
        <family val="1"/>
      </rPr>
      <t xml:space="preserve">Proceso Moodle:
</t>
    </r>
    <r>
      <rPr>
        <sz val="11"/>
        <color theme="1"/>
        <rFont val="Times New Roman"/>
        <family val="1"/>
      </rPr>
      <t xml:space="preserve">a. Habilidades Socioemocionales Moodle: se han formado 49 mujeres (24 febrero, 25 en marzo) 
b. Educación Financiera Moodle: Se han formado 127 mujeres (83 febrero, 41 en marzo, 3 abril)
c. Claves para ingresar al mudo laboral: se han formado 25 mujeres (25 abril)
</t>
    </r>
    <r>
      <rPr>
        <b/>
        <sz val="11"/>
        <color theme="1"/>
        <rFont val="Times New Roman"/>
        <family val="1"/>
      </rPr>
      <t xml:space="preserve">Proceso CID Presencial y Virtual:
</t>
    </r>
    <r>
      <rPr>
        <sz val="11"/>
        <color theme="1"/>
        <rFont val="Times New Roman"/>
        <family val="1"/>
      </rPr>
      <t xml:space="preserve">a. Habilidades Socioemocionales: se han formado 955 mujeres (237 febrero, 341 en marzo, 377 abril)
b. Habilidades digitales: se han formado 639 mujeres (148 febrero, 340 en marzo, 151 abril)
c. Introducción a los indicadores de género: se han formado 12 mujeres (4 febrero, 2 en marzo, 6 abril)
d. Construcción y aplicación de indicadores de género en ideas de proyecto: se formaron 3 mujeres en febrero
e. Derechos de las mujeres y TIC:  se han formado 40 mujeres (4 febrero, 21 en marzo, 15 abril)
f.  Constructoras Tic para la Paz: se han formado 4 mujeres (4 abril)
g. Prevención de violencias digitales: se formaron 55 mujeres en abril
</t>
    </r>
    <r>
      <rPr>
        <b/>
        <sz val="11"/>
        <color theme="1"/>
        <rFont val="Times New Roman"/>
        <family val="1"/>
      </rPr>
      <t>Otros procesos de formación -  SENA:</t>
    </r>
    <r>
      <rPr>
        <sz val="11"/>
        <color theme="1"/>
        <rFont val="Times New Roman"/>
        <family val="1"/>
      </rPr>
      <t xml:space="preserve">
a. Informática: se han formado en total 249 mujeres (24 en febrero, 158 en marzo y 67 en abril)
b. Fotografía digital: se han formado 3 mujeres (1 febrero, 2 en marzo)
c. Manejo de Adobe Photoshop: se han formado 4 mujeres (2 febrero, 2 en marzo)
d. Microsoft Office 2016: Excel:se han formado 7 mujeres (7 abril)
Las facilitadoras realizan un seguimiento y recolección de aprendizajes mediante instrumentos previamente diseñados, que favorecen la identificación de beneficios para las mujeres que participan del proceso.
</t>
    </r>
    <r>
      <rPr>
        <b/>
        <sz val="11"/>
        <color theme="1"/>
        <rFont val="Times New Roman"/>
        <family val="1"/>
      </rPr>
      <t>Anexos:</t>
    </r>
    <r>
      <rPr>
        <sz val="11"/>
        <color theme="1"/>
        <rFont val="Times New Roman"/>
        <family val="1"/>
      </rPr>
      <t xml:space="preserve">
a. Base  de datos consolidad CID
b. Base de datos consolidada SENA
c. Base de datos consolidada Moodle </t>
    </r>
  </si>
  <si>
    <r>
      <rPr>
        <sz val="11"/>
        <rFont val="Times New Roman"/>
        <family val="1"/>
      </rPr>
      <t>Durante el primer trimestre del 202</t>
    </r>
    <r>
      <rPr>
        <b/>
        <sz val="11"/>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t>
    </r>
  </si>
  <si>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</si>
  <si>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t>Acorde con la programación para el mes de abril se formaron un total de 740 mujeres, para un avance del 32%  (2,221 mujeres) en la meta 2022, en los siguientes procesos de formación:
a. Informática: Microsoft Word, Excel e Internet: se han formado en total 249 mujeres (24 en febrero, 158 en marzo y 67 en abril)
b. Herramientas TIC - Fotografía digital: se han formado 3 mujeres (1 febrero, 2 en marzo)
c. Herramientas TIC - Manejo de Adobe Photoshop:  se han formado 4 mujeres (2 febrero, 2 en marzo)
d. Habilidades Socioemocionales Moodle: se han formado 49 mujeres (24 febrero, 25 en marzo) 
e. Educación Financiera Moodle: se han formado 127 mujeres (83 febrero, 41 en marzo, 3 abril)
f.  Habilidades Socioemocionales - CID: se han formado 955 mujeres (237 febrero, 341 en marzo, 377 abril)
g. Habilidades digitales: se han formado 639 mujeres (148 febrero, 340 en marzo, 151 abril)
h. Introducción a los indicadores de género: se han formado 12 mujeres (4 febrero, 2 en marzo, 6 abril)
i. Construcción y aplicación de indicadores de género en ideas de proyecto: se han formado 3 mujeres (3 febrero)
j. Derechos de las mujeres y TIC: se han formado 40 mujeres (4 febrero, 21 en marzo, 15 abril)
k. Prevención de violencias digitales: se han formado 74 mujeres (19 en marzo, 55 abril)
l. Claves para ingresar al mundo laboral: se han formado 25 mujeres (25 abril)
m. Constructoras Tic para la Paz: se han formado 4 mujeres (4 abril)
n. Manejo básico de herramientas Microsoft Office 2016: Excel: se han formado 30 mujeres (30 abril)
o. Manejo intermedio de herramientas Microsoft office Excel 2016: se han formado 7 mujeres (7 abril)
Las facilitadoras realizan un seguimiento y recolección de aprendizajes mediante instrumentos previamente diseñados, que favorecen la identificación de beneficios para las mujeres que participan del proceso.</t>
  </si>
  <si>
    <t xml:space="preserve">Para el mes de abril no se encuentra programado la realización el informe de alianzas. Sin embargo durante este periodo se gestionaron alianzas con 7 actores nacionales, internacionales, públicos y privados, con el fin de favorecer iniciativas asociadas a la Política Pública de Mujeres y Equidad de Género del Distrito Capital que derivaron en acciones concretas: 
1.	ONU Mujeres. i) Reunión para la presentación de los resultados finales de la consultoría de Mónica Agudelo sobre alianzas con el sector privado para el Sistema de Cuidado. (04.04.22). ii)  Gestiones para apoyar la adenda al Convenio 819 firmado con ONU Mujeres. (06 y 22 de abril). iii) Reunión con la Embajada de Suecia, ONU Mujeres, en la cual la subsecretaria Diana Parra presentó a la Cooperación Sueca los elementos de avance y oportunidades con relación al vínculo entre los enfoques de derechos de la mujeres e igualdad de género, gobernanza y paz sostenibles. (06.04.22). iv) Reporte secop soportes ejecución convenio 819 (11.04.22). v) Reporte matriz de cooperación internacional I trim 2022 Convenio 819 (19.04.22).  
2.	ONU Hábitat. Taller de intercambio de conocimientos con la ciudad de Lima, Perú, en el cual la Secretaria Diana Rodríguez, presento el Sistema de Cuidado. El taller hace parte del programa Ciudades Incluyentes de ONU Hábitat, en el que participan ACNUR y la UE. (04.04.22). 
3.	UNICEF. Gestiones para apoyar la organización del evento de lanzamiento de la colección “Género y primera Infancia para niños” en el marco de la Feria Internacional del Libro de Bogotá. (07-18.04.22). El lanzamiento tuvo lugar el 23 de abril de 2022.
4.	Save the Children. Entrega de la segunda sala de lactancia y de un espacio pedagógico en el CIOM, entidad ancla de la Manzana del Cuidado de Santafé. (08.04.22).
5.	Vicala. i) Firma del memorando de entendimiento entre Periferia Consultoría Social y la SDMujer. (25.04.22) ii) Reunión sobre el inicio del piloto del proyecto para desarrollar acciones que aporten a la dignidad menstrual de mujeres privadas de la libertad, en el marco de la implementación de la estrategia Distrital de Cuidado Menstrual de Bogotá (27.04.22). El piloto dará inicio el 02 de mayo de 2022.
6.	Banco Interamericano de Desarrollo –BID BPR. Reunión de seguimiento a los avances en el marco del proyecto Comunidades Cuidadoras, ganador de la Convocatoria Bienes Públicos Regionales, con la participación de las ciudades de Montevideo, Lima, Río de Janeiro y Bogotá. (27.04.22).
7.	Google. i) Reunión para definir los puntos principales de la articulación. (05.04.22). ii) Firma del acuerdo de confidencialidad. (18.04.22). iii) Reunión interna de revisión del plan de trabajo propuesto por Google y envío propuesta a la empresa. (28.04.22).
ANEXOS:
1)Evidencias reuniones, correos electrónicos, presentación Power Point, evidencia redes, matriz reporte cooperación internacional. 2)Correos electrónicos. 3) Correos electrónicos, evidencia asistencia a reunión, evidencia lanzamiento . 4)Acta de entrega, fotos. 5) Memorando de entendimiento, evidencia asistencia a reunión . 6)Evidencia asistencia reunión 7)Evidencia asistencia a reuniones, correos electrónicos, acuerdo de confidencialidad, plan de trabajo.
II- Alianzas Gestionadas.
Durante el mes de abril se gestionaron alianzas con 18 actores nacionales, internacionales, públicos y privados, con el fin de favorecer iniciativas asociadas a la Política Pública de Mujeres y Equidad de Género del Distrito Capital que aún no cuentan con un resultado específico: 
1.	Consorcio AK68. Reunión para generar articulación y brindar asistencia técnica para la implementación del enfoque de género. (01.04.22).
2.	Transportadora de Gas Internacional – TGI. Reunión de articulación que contó con la presencia de la Dirección de Derechos y Diseño de Política y Alianzas Estratégicas. Se realizó la presentación del portafolio de asistencia técnica para la implementación del enfoque de género. (06.04.22).
3.	Premio Interamericano a las Buenas Prácticas sobre el liderazgo de las mujeres. Gestiones para lograr la participación de la SDMujer en este premio que es Iniciativa interinstitucional de organizaciones miembros de Task Force Interamericano sobre el liderazgo de las mujeres (06.04.22).
4.	International Rescue Commite. Reunión que contó con la participación de Diana Parra, la Dirección de Enfoque Diferencial, el equipo de E&amp;E y Alianzas Estratégicas, para revisar las posibilidades de articulación con el proyecto Dos Generaciones, que se ha venido implementando en las ciudades de Cali, Medellín y Soacha y el Sistema de Cuidado. (12.04.22).
5.	Fundación Sésamo. Reunión interna que contó con la participación de los equipos del área de Contratación, la Dirección de Enfoque Diferencial, la Asesora del Despacho y Alianzas Estratégicas, en la cual se definió que dada la vigencia actual de la ley de garantías, no es posible recibir en donación los dispositivos electrónicos por parte de la Fundación. (07.04.22).
6.	Unión Europea. i) Reunión que contó con la participación de la Secretaría Distrital de Ambiente, la Secretaría Distrital de Movilidad y de la SDMujer para el proyecto del sistema de transporte de Bogotá como catalizador de la sostenibilidad ambiental y la igualdad de género en la era post COVID-19 – MoToRECE con Metrópolis (05.04.22). 
7.	I Foro de Alcaldesas y Concejalas Iberoamericanas. i) Reunión Comisión Política Extraordinaria con el fin de poner a consideración de las ciudades participantes en el I Foro, la posibilidad de cambiar las fechas de los cursos de formación y verificar avances en el desarrollo de la página web y de la imagen gráfica del foro. (25.04.22). ii) Gestiones para lograr la participación de Concejalas y Edilesas en los cursos de formación sobre liderazgo y agenda feminista para las electas iberoamericanas que hace parte del I Foro de Alcaldesas y Electas Iberoamericanas. (07 al 28.04.22).
8.	Barcelona Time Use Iniciative. i) Gestiones para adhesión de la ciudad de Bogotá a la Declaración de Barcelona en Políticas del Tiempo. (08.04.22). ii) Elaboración borrador del concepto técnico para lograr la adhesión a la Declaración de Barcelona en Políticas del Tiempo. (27.04.22)
9.	Ayuntamiento de Barcelona. Gestiones para definir participación de la ciudad de Bogotá en una convocatoria de Horizon Europe sobre el diseño de una metodología para evaluar las políticas públicas locales en cuanto al uso del tiempo de las personas y de la organización. Debido a que el proyecto supera la vigencia de esta administración, no es posible participar (11 y 27 de abril)
10.	RECA. Reunión de articulación con Reca,  para evaluar la posibilidad de participar de manera conjunta en la convocatoria de USAID y su programa Generando Equidad. La Fundación presentará una propuesta sobre los puntos de trabajo. (13.04.22).
11.	USAID. i) Reunión de articulación con USAID por medio de su programa Integra, para explorar temas de trabajo en beneficio de las mujeres migrantes de la ciudad. Asimismo se proponen temas de fortalecimiento de capacidades institucional. (20.04.22) ii) Gestiones para lograr articulación con el programa Generando Equidad. (20.04.22). iii) Reunión para revisar la agenda de la reunión que se llevará a cabo el día 05 de mayo, con la participación de USAID, Tetratech quien opera el programa Generando Equidad de USAID, la Secretaría de Cultura y la SDMujer. (27.04.22)
12.	IDARTES. Gestiones para la entrega de las 100 colecciones de libros donados por UNICEF a la SDMujer, en el marco del convenio firmado con IDARTES. (20.04.22)
13.	PNUD. Reunión para socializar y revisar la propuesta de la Secretaría Distrital de la Mujer (en adelante SDMujer) para la implementación del Programa de Cuidado Casa a Casa en el marco del premio otorgado a la Alcaldía Mayor de Bogotá: Desafío Mundial de Alcaldes 2021 por Bloomberg Philanthropies. (20.04.22).
14.	Asociación Amigos del Parque 93. Reunión para presentar la propuesta de articulación por parte de la Asociación, con el fin de brindar espacios para promover las actividades que desde la SDMujer se realizan. (21.04.22).
15.	GIZ. Reunión de seguimiento a las posibilidades de articulación con GIZ, para lograr el fortalecimiento de su iniciativa Bogotá 2.0, por medio de la implementación del enfoque de género, en pro de las mujeres migrantes venezolanas. (22.04.22).
16.	L´Oréal CEAN. Gestiones para lograr la articulación para trabajar de manera conjunta en una campaña que L´Oréal ha desarrollado contra la prevención del acoso callejero denominada Stand up. (04 al 26.04.22).
17.	 Universidades Distrital y Pedagógica. Preicfes. Reunión interna con los equipos de la Dirección de Derechos y Diseño de Política y la Dirección de Enfoque Diferencial, para hacer claridad sobre el instrumento idóneo para formalizar la alianzas con la Universidad Distrital y la Universidad Pedagógica, con el fin de apoyar la preparación de las mujeres a través del Pre-Icfes, para la presentación de las pruebas Saber 11. (28.04.22).
18.	Cemex. Gestiones para brindar la asistencia técnica  para la implementación del enfoque de género. (28.04.22)
ANEXOS
1)Evidencia asistencia a reunión. 2)Evidencia asistencia a reunión, correo electrónico compromisos. 3)Correo electrónico 4)Correos electrónicos, evidencia asistencia a reunión. 5) Evidencia asistencia a reunión, correo electrónico. 6)Evidencias asistencia reunión  7)Evidencia asistencia a reunión, correos electrónicos. 8)Correos electrónicos, concepto técnico . 9)Evidencia asistencia a reunión, correos electrónicos . 10)Evidencia asistencia reunión . 11)Evidencia asistencia a reuniones, correos electrónicos. 12)Correos electrónicos. 13)Evidencia asistencia a reunión. 14)Correo electrónico, propuesta, evidencia asistencia reunión. 15)Evidencia asistencia a reunión. 16)Correos electrónicos.  17)Evidencia asistencia a reunión. 18.Correos electrónicos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</si>
</sst>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s>
  <fonts count="89">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9"/>
      <color indexed="8"/>
      <name val="Times New Roman"/>
      <family val="1"/>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sz val="8"/>
      <color theme="1"/>
      <name val="Times New Roman"/>
      <family val="1"/>
    </font>
  </fonts>
  <fills count="4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s>
  <cellStyleXfs count="35">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cellStyleXfs>
  <cellXfs count="1108">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4"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32" xfId="10" applyNumberFormat="1" applyFont="1" applyBorder="1" applyAlignment="1">
      <alignment vertical="center"/>
    </xf>
    <xf numFmtId="9" fontId="20" fillId="0" borderId="9" xfId="27" applyFont="1" applyBorder="1" applyAlignment="1">
      <alignment vertical="center"/>
    </xf>
    <xf numFmtId="9" fontId="20" fillId="0" borderId="33" xfId="27" applyFont="1" applyBorder="1" applyAlignment="1">
      <alignment vertical="center"/>
    </xf>
    <xf numFmtId="9" fontId="20" fillId="0" borderId="34" xfId="27"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7" fillId="0" borderId="1" xfId="0" applyFont="1" applyBorder="1" applyAlignment="1">
      <alignment horizontal="center" vertical="center" wrapText="1"/>
    </xf>
    <xf numFmtId="3" fontId="32" fillId="0" borderId="1" xfId="0" applyNumberFormat="1" applyFont="1" applyBorder="1" applyAlignment="1">
      <alignment horizontal="center" vertical="center"/>
    </xf>
    <xf numFmtId="2" fontId="12" fillId="0" borderId="10" xfId="21" applyNumberFormat="1" applyFont="1" applyBorder="1" applyAlignment="1">
      <alignment horizontal="center" vertical="center" wrapText="1"/>
    </xf>
    <xf numFmtId="0" fontId="12" fillId="9" borderId="10" xfId="21" applyFont="1" applyFill="1" applyBorder="1" applyAlignment="1">
      <alignment horizontal="left" vertical="center" wrapText="1"/>
    </xf>
    <xf numFmtId="9" fontId="12" fillId="0" borderId="1"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8" fontId="46" fillId="29" borderId="0" xfId="0" applyNumberFormat="1" applyFont="1" applyFill="1" applyAlignment="1">
      <alignment horizontal="center" vertical="center"/>
    </xf>
    <xf numFmtId="178" fontId="47" fillId="29" borderId="0" xfId="0" applyNumberFormat="1" applyFont="1" applyFill="1" applyAlignment="1">
      <alignment horizontal="center" vertical="center"/>
    </xf>
    <xf numFmtId="0" fontId="46" fillId="30" borderId="0" xfId="0" applyFont="1" applyFill="1" applyAlignment="1">
      <alignment horizontal="center" vertical="center"/>
    </xf>
    <xf numFmtId="179"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5" fontId="20" fillId="0" borderId="32" xfId="10" applyNumberFormat="1" applyFont="1" applyBorder="1" applyAlignment="1">
      <alignment vertical="center"/>
    </xf>
    <xf numFmtId="5" fontId="20" fillId="0" borderId="1" xfId="10" applyNumberFormat="1" applyFont="1" applyBorder="1" applyAlignment="1">
      <alignment vertical="center"/>
    </xf>
    <xf numFmtId="0" fontId="48" fillId="32" borderId="1" xfId="33" applyFont="1" applyFill="1" applyBorder="1" applyAlignment="1">
      <alignment horizontal="center" vertical="center" wrapText="1"/>
    </xf>
    <xf numFmtId="0" fontId="48" fillId="33" borderId="1" xfId="33" applyFont="1" applyFill="1" applyBorder="1" applyAlignment="1">
      <alignment horizontal="center" vertical="center" wrapText="1"/>
    </xf>
    <xf numFmtId="0" fontId="48" fillId="15" borderId="1" xfId="33"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4" applyFont="1" applyFill="1" applyBorder="1" applyAlignment="1">
      <alignment horizontal="center" vertical="center" wrapText="1"/>
    </xf>
    <xf numFmtId="181" fontId="48" fillId="15" borderId="1" xfId="33" applyNumberFormat="1" applyFont="1" applyFill="1" applyBorder="1" applyAlignment="1">
      <alignment horizontal="center" vertical="center" wrapText="1"/>
    </xf>
    <xf numFmtId="181" fontId="49"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7" fontId="58"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7"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1" fontId="62" fillId="0" borderId="0" xfId="0" applyNumberFormat="1" applyFont="1"/>
    <xf numFmtId="182" fontId="63" fillId="0" borderId="0" xfId="0" applyNumberFormat="1" applyFont="1"/>
    <xf numFmtId="182" fontId="63" fillId="18" borderId="0" xfId="0" applyNumberFormat="1" applyFont="1" applyFill="1"/>
    <xf numFmtId="182" fontId="63" fillId="27" borderId="0" xfId="0" applyNumberFormat="1" applyFont="1" applyFill="1"/>
    <xf numFmtId="182" fontId="62" fillId="0" borderId="0" xfId="0" applyNumberFormat="1" applyFont="1"/>
    <xf numFmtId="171"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2"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7"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2"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7"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2" fillId="0" borderId="0" xfId="0" applyNumberFormat="1" applyFont="1" applyAlignment="1">
      <alignment wrapText="1"/>
    </xf>
    <xf numFmtId="182" fontId="62" fillId="18" borderId="0" xfId="0" applyNumberFormat="1" applyFont="1" applyFill="1" applyAlignment="1">
      <alignment wrapText="1"/>
    </xf>
    <xf numFmtId="182" fontId="62" fillId="18" borderId="0" xfId="0" applyNumberFormat="1" applyFont="1" applyFill="1"/>
    <xf numFmtId="182" fontId="65" fillId="18" borderId="0" xfId="0" applyNumberFormat="1" applyFont="1" applyFill="1" applyAlignment="1">
      <alignment wrapText="1"/>
    </xf>
    <xf numFmtId="182" fontId="65" fillId="18" borderId="0" xfId="0" applyNumberFormat="1" applyFont="1" applyFill="1"/>
    <xf numFmtId="182" fontId="62" fillId="27" borderId="0" xfId="0" applyNumberFormat="1" applyFont="1" applyFill="1" applyAlignment="1">
      <alignment wrapText="1"/>
    </xf>
    <xf numFmtId="182" fontId="62" fillId="27" borderId="0" xfId="0" applyNumberFormat="1" applyFont="1" applyFill="1"/>
    <xf numFmtId="182" fontId="64" fillId="27" borderId="0" xfId="0" applyNumberFormat="1" applyFont="1" applyFill="1" applyAlignment="1">
      <alignment horizontal="right" vertical="center"/>
    </xf>
    <xf numFmtId="182" fontId="62" fillId="35" borderId="0" xfId="0" applyNumberFormat="1" applyFont="1" applyFill="1" applyAlignment="1">
      <alignment wrapText="1"/>
    </xf>
    <xf numFmtId="182" fontId="62" fillId="0" borderId="0" xfId="0" applyNumberFormat="1" applyFont="1" applyAlignment="1">
      <alignment vertical="center" wrapText="1"/>
    </xf>
    <xf numFmtId="182" fontId="69" fillId="27" borderId="0" xfId="0" applyNumberFormat="1" applyFont="1" applyFill="1" applyAlignment="1">
      <alignment horizontal="right" vertical="center"/>
    </xf>
    <xf numFmtId="4" fontId="0" fillId="0" borderId="0" xfId="0" applyNumberFormat="1"/>
    <xf numFmtId="182"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8" fontId="47"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3" fontId="32" fillId="0" borderId="1" xfId="27" applyNumberFormat="1" applyFont="1" applyFill="1" applyBorder="1" applyAlignment="1">
      <alignment horizontal="center" vertical="center" wrapText="1"/>
    </xf>
    <xf numFmtId="171" fontId="20" fillId="0" borderId="32" xfId="10" applyNumberFormat="1" applyFont="1" applyBorder="1" applyAlignment="1">
      <alignment vertical="center"/>
    </xf>
    <xf numFmtId="171" fontId="20" fillId="0" borderId="4" xfId="10" applyNumberFormat="1" applyFont="1" applyBorder="1" applyAlignment="1">
      <alignment vertical="center"/>
    </xf>
    <xf numFmtId="171" fontId="20" fillId="0" borderId="1" xfId="10" applyNumberFormat="1" applyFont="1" applyBorder="1" applyAlignment="1">
      <alignment vertical="center"/>
    </xf>
    <xf numFmtId="171" fontId="20" fillId="0" borderId="19" xfId="10" applyNumberFormat="1" applyFont="1" applyBorder="1" applyAlignment="1">
      <alignment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7"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172" fontId="20" fillId="0" borderId="57" xfId="10" applyNumberFormat="1" applyFont="1" applyBorder="1" applyAlignment="1">
      <alignment vertical="center"/>
    </xf>
    <xf numFmtId="172" fontId="20" fillId="0" borderId="58" xfId="10" applyNumberFormat="1" applyFont="1" applyBorder="1" applyAlignment="1">
      <alignment vertical="center"/>
    </xf>
    <xf numFmtId="0" fontId="12" fillId="19" borderId="42" xfId="21" applyFont="1" applyFill="1" applyBorder="1" applyAlignment="1">
      <alignment vertical="center" wrapText="1"/>
    </xf>
    <xf numFmtId="172" fontId="20" fillId="0" borderId="34" xfId="10" applyNumberFormat="1" applyFont="1" applyBorder="1" applyAlignment="1">
      <alignment vertical="center"/>
    </xf>
    <xf numFmtId="172" fontId="20" fillId="0" borderId="9" xfId="10" applyNumberFormat="1" applyFont="1" applyBorder="1" applyAlignment="1">
      <alignment vertical="center"/>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3" fontId="71" fillId="15" borderId="0" xfId="34" applyNumberFormat="1" applyFont="1" applyFill="1" applyProtection="1">
      <protection locked="0"/>
    </xf>
    <xf numFmtId="9" fontId="0" fillId="0" borderId="0" xfId="27" applyFont="1" applyAlignment="1">
      <alignment vertical="center"/>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166" fontId="32" fillId="0" borderId="1" xfId="11" applyFont="1" applyFill="1" applyBorder="1" applyAlignment="1">
      <alignment horizontal="center" vertical="center" wrapText="1"/>
    </xf>
    <xf numFmtId="0" fontId="32" fillId="0" borderId="1" xfId="0" applyFont="1" applyBorder="1" applyAlignment="1">
      <alignment horizontal="justify" vertical="center" wrapText="1"/>
    </xf>
    <xf numFmtId="9" fontId="32" fillId="0" borderId="1" xfId="27"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171" fontId="13" fillId="22" borderId="1" xfId="0" applyNumberFormat="1" applyFont="1" applyFill="1" applyBorder="1" applyAlignment="1">
      <alignment horizontal="center" vertical="center"/>
    </xf>
    <xf numFmtId="0" fontId="32" fillId="0" borderId="2"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23" xfId="0" applyFont="1" applyBorder="1" applyAlignment="1">
      <alignment horizontal="center" vertical="center" wrapText="1"/>
    </xf>
    <xf numFmtId="0" fontId="43" fillId="31" borderId="0" xfId="0" applyFont="1" applyFill="1" applyAlignment="1">
      <alignment vertical="center"/>
    </xf>
    <xf numFmtId="180" fontId="45" fillId="31" borderId="0" xfId="0" applyNumberFormat="1" applyFont="1" applyFill="1" applyAlignment="1">
      <alignment horizontal="center" vertical="center"/>
    </xf>
    <xf numFmtId="178" fontId="45" fillId="31" borderId="0" xfId="0" applyNumberFormat="1" applyFont="1" applyFill="1" applyAlignment="1">
      <alignment horizontal="center" vertical="center"/>
    </xf>
    <xf numFmtId="0" fontId="11" fillId="0" borderId="0" xfId="0" applyFont="1" applyAlignment="1">
      <alignment vertical="center"/>
    </xf>
    <xf numFmtId="179" fontId="43"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34" fillId="9" borderId="8" xfId="0" applyFont="1" applyFill="1" applyBorder="1" applyAlignment="1">
      <alignment horizontal="center" vertical="center" wrapText="1"/>
    </xf>
    <xf numFmtId="0" fontId="32" fillId="0" borderId="8" xfId="0" applyFont="1" applyBorder="1" applyAlignment="1">
      <alignment horizontal="center" vertical="center"/>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12" fillId="9" borderId="10" xfId="0" applyFont="1" applyFill="1" applyBorder="1" applyAlignment="1">
      <alignment horizontal="center"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4" fontId="17" fillId="23" borderId="1" xfId="0" applyNumberFormat="1" applyFont="1" applyFill="1" applyBorder="1" applyAlignment="1">
      <alignment horizontal="center" vertical="center"/>
    </xf>
    <xf numFmtId="185" fontId="13" fillId="22" borderId="1" xfId="0" applyNumberFormat="1" applyFont="1" applyFill="1"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7" fontId="12" fillId="9" borderId="19" xfId="27" applyNumberFormat="1" applyFont="1" applyFill="1" applyBorder="1" applyAlignment="1" applyProtection="1">
      <alignment horizontal="center" vertical="center" wrapText="1"/>
    </xf>
    <xf numFmtId="187" fontId="11" fillId="9" borderId="19" xfId="29" applyNumberFormat="1" applyFont="1" applyFill="1" applyBorder="1" applyAlignment="1" applyProtection="1">
      <alignment horizontal="center" vertical="center" wrapText="1"/>
    </xf>
    <xf numFmtId="4" fontId="73" fillId="24" borderId="0" xfId="0" applyNumberFormat="1" applyFont="1" applyFill="1" applyAlignment="1">
      <alignment horizontal="center" vertical="center"/>
    </xf>
    <xf numFmtId="0" fontId="60" fillId="0" borderId="0" xfId="0" applyFont="1" applyAlignment="1">
      <alignment horizontal="center" vertical="center" wrapText="1"/>
    </xf>
    <xf numFmtId="5" fontId="0" fillId="0" borderId="1" xfId="10" applyNumberFormat="1" applyFont="1" applyBorder="1" applyAlignment="1">
      <alignment vertical="center"/>
    </xf>
    <xf numFmtId="2" fontId="32" fillId="9" borderId="10" xfId="29" applyNumberFormat="1" applyFont="1" applyFill="1" applyBorder="1" applyAlignment="1" applyProtection="1">
      <alignment horizontal="center" vertical="center" wrapText="1"/>
    </xf>
    <xf numFmtId="1" fontId="32" fillId="9" borderId="10" xfId="29" applyNumberFormat="1" applyFont="1" applyFill="1" applyBorder="1" applyAlignment="1" applyProtection="1">
      <alignment horizontal="center" vertical="center" wrapText="1"/>
    </xf>
    <xf numFmtId="173" fontId="12" fillId="9" borderId="10" xfId="27" applyNumberFormat="1" applyFont="1" applyFill="1" applyBorder="1" applyAlignment="1" applyProtection="1">
      <alignment vertical="center" wrapText="1"/>
    </xf>
    <xf numFmtId="1" fontId="12" fillId="9" borderId="10" xfId="27" applyNumberFormat="1" applyFont="1" applyFill="1" applyBorder="1" applyAlignment="1" applyProtection="1">
      <alignment horizontal="center" vertical="center" wrapText="1"/>
    </xf>
    <xf numFmtId="165" fontId="20" fillId="0" borderId="0" xfId="14" applyFont="1" applyAlignment="1">
      <alignment horizontal="center" vertical="center"/>
    </xf>
    <xf numFmtId="5" fontId="20" fillId="0" borderId="58" xfId="10" applyNumberFormat="1" applyFont="1" applyBorder="1" applyAlignment="1">
      <alignment vertical="center"/>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5" fontId="20" fillId="0" borderId="57" xfId="10" applyNumberFormat="1" applyFont="1" applyBorder="1" applyAlignment="1">
      <alignment vertical="center"/>
    </xf>
    <xf numFmtId="0" fontId="16" fillId="2" borderId="0" xfId="21" applyFont="1" applyFill="1" applyAlignment="1">
      <alignment horizontal="center" vertical="center" wrapText="1"/>
    </xf>
    <xf numFmtId="3" fontId="32" fillId="0" borderId="8" xfId="0" applyNumberFormat="1" applyFont="1" applyBorder="1" applyAlignment="1">
      <alignment horizontal="center" vertical="center"/>
    </xf>
    <xf numFmtId="3" fontId="32" fillId="0" borderId="9"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32" fillId="0" borderId="1" xfId="27" applyNumberFormat="1" applyFont="1" applyFill="1" applyBorder="1" applyAlignment="1">
      <alignment horizontal="justify" vertical="center" wrapText="1"/>
    </xf>
    <xf numFmtId="0" fontId="11" fillId="0" borderId="9" xfId="0" applyFont="1" applyBorder="1" applyAlignment="1">
      <alignment horizontal="justify" vertical="center" wrapText="1"/>
    </xf>
    <xf numFmtId="0" fontId="33" fillId="0" borderId="9" xfId="0" applyFont="1" applyBorder="1" applyAlignment="1">
      <alignment horizontal="justify" vertical="center" wrapText="1"/>
    </xf>
    <xf numFmtId="0" fontId="32" fillId="0" borderId="9" xfId="27" applyNumberFormat="1" applyFont="1" applyFill="1" applyBorder="1" applyAlignment="1">
      <alignment horizontal="justify" vertical="center" wrapText="1"/>
    </xf>
    <xf numFmtId="172" fontId="20" fillId="0" borderId="25" xfId="10" applyNumberFormat="1" applyFont="1" applyBorder="1" applyAlignment="1">
      <alignment vertical="center"/>
    </xf>
    <xf numFmtId="172" fontId="20" fillId="0" borderId="5" xfId="10" applyNumberFormat="1" applyFont="1" applyBorder="1" applyAlignment="1">
      <alignment vertical="center"/>
    </xf>
    <xf numFmtId="171" fontId="20" fillId="0" borderId="57" xfId="10" applyNumberFormat="1" applyFont="1" applyBorder="1" applyAlignment="1">
      <alignment vertical="center"/>
    </xf>
    <xf numFmtId="0" fontId="11" fillId="19" borderId="42" xfId="21" applyFont="1" applyFill="1" applyBorder="1" applyAlignment="1">
      <alignment vertical="center" wrapText="1"/>
    </xf>
    <xf numFmtId="5" fontId="20" fillId="0" borderId="19" xfId="10" applyNumberFormat="1" applyFont="1" applyBorder="1" applyAlignment="1">
      <alignment vertical="center"/>
    </xf>
    <xf numFmtId="0" fontId="0" fillId="0" borderId="0" xfId="0" applyAlignment="1">
      <alignment vertical="top"/>
    </xf>
    <xf numFmtId="14" fontId="0" fillId="0" borderId="0" xfId="0" applyNumberFormat="1" applyAlignment="1">
      <alignment horizontal="right" vertical="top"/>
    </xf>
    <xf numFmtId="3" fontId="0" fillId="0" borderId="0" xfId="0" applyNumberFormat="1" applyAlignment="1">
      <alignment horizontal="right" vertical="top"/>
    </xf>
    <xf numFmtId="171" fontId="20" fillId="0" borderId="31" xfId="10" applyNumberFormat="1" applyFont="1" applyBorder="1" applyAlignment="1">
      <alignment vertical="center"/>
    </xf>
    <xf numFmtId="171" fontId="12" fillId="19" borderId="0" xfId="21" applyNumberFormat="1" applyFont="1" applyFill="1" applyAlignment="1">
      <alignment horizontal="left" vertical="center" wrapText="1"/>
    </xf>
    <xf numFmtId="171" fontId="0" fillId="0" borderId="0" xfId="0" applyNumberFormat="1"/>
    <xf numFmtId="171" fontId="31" fillId="0" borderId="0" xfId="0" applyNumberFormat="1" applyFont="1"/>
    <xf numFmtId="42" fontId="13" fillId="22" borderId="1" xfId="0" applyNumberFormat="1" applyFont="1" applyFill="1" applyBorder="1" applyAlignment="1">
      <alignment horizontal="center" vertical="center"/>
    </xf>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0" fontId="11" fillId="0" borderId="18" xfId="21" applyFont="1" applyBorder="1" applyAlignment="1">
      <alignment horizontal="center" vertical="center" wrapText="1"/>
    </xf>
    <xf numFmtId="5" fontId="20" fillId="0" borderId="4" xfId="10" applyNumberFormat="1" applyFont="1" applyBorder="1" applyAlignment="1">
      <alignment vertical="center"/>
    </xf>
    <xf numFmtId="0" fontId="32" fillId="0" borderId="0" xfId="0" applyFont="1" applyAlignment="1">
      <alignment horizontal="center" vertical="center" wrapText="1"/>
    </xf>
    <xf numFmtId="42" fontId="80" fillId="22" borderId="0" xfId="0" applyNumberFormat="1" applyFont="1" applyFill="1" applyAlignment="1">
      <alignment horizontal="justify" vertical="top" wrapText="1"/>
    </xf>
    <xf numFmtId="165" fontId="31" fillId="0" borderId="0" xfId="14" applyFont="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171" fontId="0" fillId="0" borderId="0" xfId="0" applyNumberFormat="1" applyAlignment="1">
      <alignment horizontal="center" vertical="center" wrapText="1"/>
    </xf>
    <xf numFmtId="165" fontId="20" fillId="0" borderId="0" xfId="14" applyFont="1" applyAlignment="1">
      <alignment horizontal="center" vertical="center" wrapText="1"/>
    </xf>
    <xf numFmtId="165" fontId="31" fillId="0" borderId="0" xfId="14"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82"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5" fillId="0" borderId="0" xfId="0" applyNumberFormat="1" applyFont="1" applyAlignment="1">
      <alignment vertical="top"/>
    </xf>
    <xf numFmtId="171" fontId="20" fillId="0" borderId="58" xfId="10" applyNumberFormat="1" applyFont="1" applyBorder="1" applyAlignment="1">
      <alignment vertical="center"/>
    </xf>
    <xf numFmtId="4" fontId="11" fillId="0" borderId="1" xfId="21" applyNumberFormat="1" applyFont="1" applyBorder="1" applyAlignment="1">
      <alignment horizontal="center" vertical="center" wrapText="1"/>
    </xf>
    <xf numFmtId="3" fontId="34" fillId="9" borderId="22" xfId="0" applyNumberFormat="1" applyFont="1" applyFill="1" applyBorder="1" applyAlignment="1">
      <alignment horizontal="center" vertical="center"/>
    </xf>
    <xf numFmtId="3" fontId="34" fillId="9" borderId="23" xfId="0" applyNumberFormat="1" applyFont="1" applyFill="1" applyBorder="1" applyAlignment="1">
      <alignment horizontal="center" vertical="center"/>
    </xf>
    <xf numFmtId="3" fontId="34" fillId="9" borderId="24"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xf>
    <xf numFmtId="3" fontId="34" fillId="9" borderId="25" xfId="0" applyNumberFormat="1" applyFont="1" applyFill="1" applyBorder="1" applyAlignment="1">
      <alignment horizontal="center" vertical="center"/>
    </xf>
    <xf numFmtId="3" fontId="12" fillId="9" borderId="8"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9" borderId="9" xfId="0" applyNumberFormat="1" applyFont="1" applyFill="1" applyBorder="1" applyAlignment="1">
      <alignment horizontal="center" vertical="center" wrapText="1"/>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9" borderId="83" xfId="0" applyNumberFormat="1" applyFont="1" applyFill="1" applyBorder="1" applyAlignment="1">
      <alignment horizontal="center" vertical="center" wrapText="1"/>
    </xf>
    <xf numFmtId="3" fontId="32" fillId="0" borderId="1" xfId="27" applyNumberFormat="1" applyFont="1" applyFill="1" applyBorder="1" applyAlignment="1">
      <alignment horizontal="center" vertical="center"/>
    </xf>
    <xf numFmtId="0" fontId="12" fillId="20" borderId="93" xfId="21" applyFont="1" applyFill="1" applyBorder="1" applyAlignment="1">
      <alignment horizontal="center" vertical="center" wrapText="1"/>
    </xf>
    <xf numFmtId="5" fontId="20" fillId="0" borderId="5" xfId="10" applyNumberFormat="1" applyFont="1" applyBorder="1" applyAlignment="1">
      <alignment vertical="center"/>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32" fillId="0" borderId="5" xfId="0" applyFont="1" applyBorder="1" applyAlignment="1">
      <alignment horizontal="justify" vertical="center"/>
    </xf>
    <xf numFmtId="3" fontId="32" fillId="0" borderId="19" xfId="27" applyNumberFormat="1" applyFont="1" applyFill="1" applyBorder="1" applyAlignment="1">
      <alignment horizontal="center" vertical="center" wrapText="1"/>
    </xf>
    <xf numFmtId="166" fontId="32" fillId="0" borderId="19" xfId="11" applyFont="1" applyFill="1" applyBorder="1" applyAlignment="1">
      <alignment horizontal="center" vertical="center" wrapText="1"/>
    </xf>
    <xf numFmtId="0" fontId="32" fillId="0" borderId="19" xfId="0" applyFont="1" applyBorder="1" applyAlignment="1">
      <alignment horizontal="justify" vertical="center" wrapText="1"/>
    </xf>
    <xf numFmtId="3" fontId="32" fillId="0" borderId="19" xfId="0" applyNumberFormat="1" applyFont="1" applyBorder="1" applyAlignment="1">
      <alignment horizontal="center" vertical="center"/>
    </xf>
    <xf numFmtId="0" fontId="32" fillId="0" borderId="19" xfId="27" applyNumberFormat="1" applyFont="1" applyFill="1" applyBorder="1" applyAlignment="1">
      <alignment horizontal="justify" vertical="center" wrapText="1"/>
    </xf>
    <xf numFmtId="0" fontId="33" fillId="0" borderId="33" xfId="0" applyFont="1" applyBorder="1" applyAlignment="1">
      <alignment horizontal="justify" vertical="center" wrapText="1"/>
    </xf>
    <xf numFmtId="0" fontId="32" fillId="0" borderId="31" xfId="0" applyFont="1" applyBorder="1" applyAlignment="1">
      <alignment horizontal="center" vertical="center"/>
    </xf>
    <xf numFmtId="0" fontId="32" fillId="0" borderId="19" xfId="0" applyFont="1" applyBorder="1" applyAlignment="1">
      <alignment horizontal="center" vertical="center"/>
    </xf>
    <xf numFmtId="0" fontId="11" fillId="0" borderId="19" xfId="0" applyFont="1" applyBorder="1" applyAlignment="1">
      <alignment horizontal="justify" vertical="center" wrapText="1"/>
    </xf>
    <xf numFmtId="0" fontId="32" fillId="0" borderId="19" xfId="0" applyFont="1" applyBorder="1" applyAlignment="1">
      <alignment horizontal="center" vertical="center" wrapText="1"/>
    </xf>
    <xf numFmtId="0" fontId="32" fillId="0" borderId="1" xfId="0" applyFont="1" applyBorder="1" applyAlignment="1">
      <alignment horizontal="justify" vertical="center"/>
    </xf>
    <xf numFmtId="0" fontId="32" fillId="0" borderId="5" xfId="0" applyFont="1" applyBorder="1" applyAlignment="1">
      <alignment horizontal="justify" vertical="center" wrapText="1"/>
    </xf>
    <xf numFmtId="0" fontId="11" fillId="0" borderId="4" xfId="0" applyFont="1" applyBorder="1" applyAlignment="1">
      <alignment horizontal="center" vertical="center" wrapText="1"/>
    </xf>
    <xf numFmtId="0" fontId="60" fillId="0" borderId="0" xfId="0" applyFont="1" applyAlignment="1">
      <alignment horizontal="center" vertical="top"/>
    </xf>
    <xf numFmtId="0" fontId="31" fillId="13" borderId="0" xfId="0" applyFont="1" applyFill="1" applyAlignment="1">
      <alignment horizontal="center" vertical="top"/>
    </xf>
    <xf numFmtId="0" fontId="0" fillId="0" borderId="0" xfId="0"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14" fontId="0" fillId="0" borderId="0" xfId="0" applyNumberFormat="1" applyAlignment="1">
      <alignment horizontal="center" vertical="top"/>
    </xf>
    <xf numFmtId="0" fontId="31" fillId="13" borderId="0" xfId="0" applyFont="1" applyFill="1" applyAlignment="1">
      <alignment horizontal="center"/>
    </xf>
    <xf numFmtId="9" fontId="20" fillId="0" borderId="33" xfId="27" applyFont="1" applyFill="1" applyBorder="1" applyAlignment="1">
      <alignment vertical="center"/>
    </xf>
    <xf numFmtId="44" fontId="83" fillId="0" borderId="0" xfId="34" applyFont="1" applyAlignment="1">
      <alignment horizontal="center" vertical="center" wrapText="1"/>
    </xf>
    <xf numFmtId="44" fontId="82" fillId="13" borderId="0" xfId="34" applyFont="1" applyFill="1" applyAlignment="1">
      <alignment vertical="top"/>
    </xf>
    <xf numFmtId="44" fontId="60" fillId="0" borderId="0" xfId="34" applyFont="1" applyAlignment="1">
      <alignment vertical="top"/>
    </xf>
    <xf numFmtId="44" fontId="83" fillId="0" borderId="0" xfId="34" applyFont="1" applyAlignment="1">
      <alignment horizontal="center" vertical="center"/>
    </xf>
    <xf numFmtId="44" fontId="0" fillId="0" borderId="0" xfId="34" applyFont="1"/>
    <xf numFmtId="44" fontId="82"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60"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166" fontId="32" fillId="0" borderId="2" xfId="11" applyFont="1" applyFill="1" applyBorder="1" applyAlignment="1">
      <alignment horizontal="left" vertical="center" wrapText="1"/>
    </xf>
    <xf numFmtId="49" fontId="32" fillId="0" borderId="2" xfId="11" applyNumberFormat="1" applyFont="1" applyFill="1" applyBorder="1" applyAlignment="1">
      <alignment horizontal="left" vertical="center" wrapText="1"/>
    </xf>
    <xf numFmtId="184" fontId="32" fillId="0" borderId="1" xfId="0" applyNumberFormat="1" applyFont="1" applyBorder="1" applyAlignment="1">
      <alignment horizontal="center" vertical="center"/>
    </xf>
    <xf numFmtId="0" fontId="32" fillId="0" borderId="5" xfId="27" applyNumberFormat="1" applyFont="1" applyFill="1" applyBorder="1" applyAlignment="1">
      <alignment horizontal="justify" vertical="center" wrapText="1"/>
    </xf>
    <xf numFmtId="0" fontId="32" fillId="0" borderId="5" xfId="27" applyNumberFormat="1" applyFont="1" applyFill="1" applyBorder="1" applyAlignment="1">
      <alignment vertical="center" wrapText="1"/>
    </xf>
    <xf numFmtId="3" fontId="34" fillId="9" borderId="8" xfId="0" applyNumberFormat="1" applyFont="1" applyFill="1" applyBorder="1" applyAlignment="1">
      <alignment horizontal="center" vertical="center" wrapText="1"/>
    </xf>
    <xf numFmtId="0" fontId="34" fillId="9" borderId="9" xfId="0" applyFont="1" applyFill="1" applyBorder="1" applyAlignment="1">
      <alignment horizontal="center" vertical="center" wrapText="1"/>
    </xf>
    <xf numFmtId="9" fontId="32" fillId="0" borderId="9" xfId="27" applyFont="1" applyFill="1" applyBorder="1" applyAlignment="1">
      <alignment horizontal="center" vertical="center"/>
    </xf>
    <xf numFmtId="4" fontId="32" fillId="0" borderId="8" xfId="0" applyNumberFormat="1" applyFont="1" applyBorder="1" applyAlignment="1">
      <alignment horizontal="center" vertical="center"/>
    </xf>
    <xf numFmtId="10" fontId="32" fillId="0" borderId="9" xfId="27" applyNumberFormat="1" applyFont="1" applyFill="1" applyBorder="1" applyAlignment="1">
      <alignment horizontal="center" vertical="center"/>
    </xf>
    <xf numFmtId="3" fontId="32" fillId="0" borderId="31" xfId="0" applyNumberFormat="1" applyFont="1" applyBorder="1" applyAlignment="1">
      <alignment horizontal="center" vertical="center"/>
    </xf>
    <xf numFmtId="9" fontId="32" fillId="0" borderId="33" xfId="27" applyFont="1" applyFill="1" applyBorder="1" applyAlignment="1">
      <alignment horizontal="center" vertical="center"/>
    </xf>
    <xf numFmtId="3" fontId="34" fillId="9" borderId="0" xfId="0" applyNumberFormat="1" applyFont="1" applyFill="1" applyAlignment="1">
      <alignment horizontal="center" vertical="center"/>
    </xf>
    <xf numFmtId="0" fontId="32" fillId="0" borderId="21" xfId="0" applyFont="1" applyBorder="1" applyAlignment="1">
      <alignment horizontal="justify" vertical="center" wrapText="1"/>
    </xf>
    <xf numFmtId="0" fontId="11" fillId="0" borderId="58" xfId="0" applyFont="1" applyBorder="1" applyAlignment="1">
      <alignment horizontal="center" vertical="center" wrapText="1"/>
    </xf>
    <xf numFmtId="0" fontId="11" fillId="0" borderId="49" xfId="0" applyFont="1" applyBorder="1" applyAlignment="1">
      <alignment horizontal="center" vertical="center" wrapText="1"/>
    </xf>
    <xf numFmtId="9" fontId="32" fillId="0" borderId="19" xfId="27" applyFont="1" applyFill="1" applyBorder="1" applyAlignment="1">
      <alignment horizontal="center" vertical="center" wrapText="1"/>
    </xf>
    <xf numFmtId="166" fontId="32" fillId="0" borderId="21" xfId="11" applyFont="1" applyFill="1" applyBorder="1" applyAlignment="1">
      <alignment horizontal="left" vertical="center" wrapText="1"/>
    </xf>
    <xf numFmtId="3" fontId="32" fillId="0" borderId="19" xfId="27" applyNumberFormat="1" applyFont="1" applyFill="1" applyBorder="1" applyAlignment="1">
      <alignment horizontal="center" vertical="center"/>
    </xf>
    <xf numFmtId="3" fontId="32" fillId="0" borderId="33" xfId="0" applyNumberFormat="1" applyFont="1" applyBorder="1" applyAlignment="1">
      <alignment horizontal="center" vertical="center"/>
    </xf>
    <xf numFmtId="165" fontId="0" fillId="0" borderId="0" xfId="14" applyFont="1" applyAlignment="1">
      <alignment horizontal="center" vertical="center" wrapText="1"/>
    </xf>
    <xf numFmtId="178" fontId="0" fillId="0" borderId="0" xfId="0" applyNumberFormat="1"/>
    <xf numFmtId="0" fontId="12" fillId="0" borderId="10" xfId="21" applyFont="1" applyBorder="1" applyAlignment="1">
      <alignment horizontal="center" vertical="center" wrapText="1"/>
    </xf>
    <xf numFmtId="0" fontId="12" fillId="9" borderId="10" xfId="0" applyFont="1" applyFill="1" applyBorder="1" applyAlignment="1">
      <alignment horizontal="center" vertical="center" wrapText="1"/>
    </xf>
    <xf numFmtId="0" fontId="82" fillId="0" borderId="0" xfId="0" applyFont="1" applyAlignment="1">
      <alignment vertical="top"/>
    </xf>
    <xf numFmtId="0" fontId="83"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82" fillId="0" borderId="0" xfId="34" applyFont="1" applyAlignment="1">
      <alignment vertical="top"/>
    </xf>
    <xf numFmtId="3" fontId="85" fillId="0" borderId="0" xfId="0" applyNumberFormat="1" applyFont="1" applyAlignment="1">
      <alignment vertical="top"/>
    </xf>
    <xf numFmtId="0" fontId="83" fillId="0" borderId="0" xfId="0" applyFont="1" applyAlignment="1">
      <alignment vertical="top"/>
    </xf>
    <xf numFmtId="3" fontId="83" fillId="0" borderId="0" xfId="0" applyNumberFormat="1" applyFont="1" applyAlignment="1">
      <alignment vertical="top"/>
    </xf>
    <xf numFmtId="44" fontId="83" fillId="0" borderId="0" xfId="34" applyFont="1" applyAlignment="1">
      <alignment vertical="top"/>
    </xf>
    <xf numFmtId="44" fontId="83" fillId="0" borderId="0" xfId="34" applyFont="1" applyFill="1" applyAlignment="1">
      <alignment vertical="top"/>
    </xf>
    <xf numFmtId="0" fontId="86"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7"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188" fontId="13" fillId="22" borderId="1" xfId="14" applyNumberFormat="1" applyFont="1" applyFill="1" applyBorder="1" applyAlignment="1">
      <alignment horizontal="center" vertical="center"/>
    </xf>
    <xf numFmtId="0" fontId="17" fillId="23" borderId="1" xfId="0" applyFont="1" applyFill="1" applyBorder="1" applyAlignment="1">
      <alignment vertical="center"/>
    </xf>
    <xf numFmtId="0" fontId="86" fillId="22" borderId="1" xfId="0" applyFont="1" applyFill="1" applyBorder="1" applyAlignment="1">
      <alignment horizontal="center"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4" fontId="11" fillId="0" borderId="8" xfId="21" applyNumberFormat="1" applyFont="1" applyBorder="1" applyAlignment="1">
      <alignment horizontal="center" vertical="center" wrapText="1"/>
    </xf>
    <xf numFmtId="4" fontId="11" fillId="0" borderId="9" xfId="21" applyNumberFormat="1" applyFont="1" applyBorder="1" applyAlignment="1">
      <alignment horizontal="center" vertical="center" wrapText="1"/>
    </xf>
    <xf numFmtId="0" fontId="11" fillId="0" borderId="1" xfId="27" applyNumberFormat="1" applyFont="1" applyFill="1" applyBorder="1" applyAlignment="1">
      <alignment horizontal="justify" vertical="center" wrapText="1"/>
    </xf>
    <xf numFmtId="9" fontId="32" fillId="0" borderId="1" xfId="27" applyFont="1" applyFill="1" applyBorder="1" applyAlignment="1">
      <alignment horizontal="center" vertical="center"/>
    </xf>
    <xf numFmtId="9" fontId="32" fillId="0" borderId="1" xfId="27" applyFont="1" applyBorder="1" applyAlignment="1">
      <alignment horizontal="center" vertical="center"/>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4" fillId="0" borderId="0" xfId="34" applyNumberFormat="1" applyFont="1" applyBorder="1" applyAlignment="1">
      <alignment horizontal="justify" vertical="center" wrapText="1"/>
    </xf>
    <xf numFmtId="9" fontId="20" fillId="0" borderId="0" xfId="27" applyFont="1" applyBorder="1" applyAlignment="1">
      <alignment horizontal="justify" vertical="center" wrapText="1"/>
    </xf>
    <xf numFmtId="165" fontId="20" fillId="0" borderId="0" xfId="14" applyFont="1" applyAlignment="1">
      <alignment horizontal="justify" vertical="center" wrapText="1"/>
    </xf>
    <xf numFmtId="165" fontId="31" fillId="0" borderId="0" xfId="14" applyFont="1" applyAlignment="1">
      <alignment horizontal="justify" vertical="center" wrapText="1"/>
    </xf>
    <xf numFmtId="165" fontId="0" fillId="0" borderId="0" xfId="0" applyNumberFormat="1" applyAlignment="1">
      <alignment horizontal="justify" vertical="center" wrapText="1"/>
    </xf>
    <xf numFmtId="37" fontId="20" fillId="0" borderId="0" xfId="10" applyNumberFormat="1" applyFont="1" applyAlignment="1">
      <alignment horizontal="center" vertical="center" wrapText="1"/>
    </xf>
    <xf numFmtId="171" fontId="20" fillId="27" borderId="1" xfId="10"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wrapText="1"/>
    </xf>
    <xf numFmtId="165" fontId="31" fillId="0" borderId="0" xfId="14" applyFont="1" applyBorder="1" applyAlignment="1">
      <alignment horizontal="center" vertical="center" wrapText="1"/>
    </xf>
    <xf numFmtId="9" fontId="81" fillId="0" borderId="0" xfId="21" applyNumberFormat="1" applyFont="1" applyBorder="1" applyAlignment="1">
      <alignment vertical="center" wrapText="1"/>
    </xf>
    <xf numFmtId="9" fontId="12" fillId="0" borderId="0" xfId="21" applyNumberFormat="1" applyFont="1" applyBorder="1" applyAlignment="1">
      <alignment vertical="center" wrapText="1"/>
    </xf>
    <xf numFmtId="1" fontId="12" fillId="0" borderId="0" xfId="27" applyNumberFormat="1" applyFont="1" applyAlignment="1">
      <alignment vertical="center" wrapText="1"/>
    </xf>
    <xf numFmtId="0" fontId="0" fillId="0" borderId="0" xfId="0" applyBorder="1" applyAlignment="1">
      <alignment horizontal="justify" vertical="center" wrapText="1"/>
    </xf>
    <xf numFmtId="0" fontId="44" fillId="0" borderId="0" xfId="0" applyFont="1" applyAlignment="1">
      <alignment horizontal="justify" vertical="center" wrapText="1"/>
    </xf>
    <xf numFmtId="0" fontId="46" fillId="0" borderId="0" xfId="0" applyFont="1" applyAlignment="1">
      <alignment horizontal="justify" vertical="center" wrapText="1"/>
    </xf>
    <xf numFmtId="0" fontId="45" fillId="0" borderId="0" xfId="0" applyFont="1" applyAlignment="1">
      <alignment horizontal="justify" vertical="center" wrapText="1"/>
    </xf>
    <xf numFmtId="0" fontId="32" fillId="0" borderId="0" xfId="0" applyFont="1" applyAlignment="1">
      <alignment horizontal="justify" vertical="center" wrapText="1"/>
    </xf>
    <xf numFmtId="0" fontId="31" fillId="0" borderId="0" xfId="0" applyFont="1" applyBorder="1" applyAlignment="1">
      <alignment horizontal="center" vertical="center" wrapText="1"/>
    </xf>
    <xf numFmtId="3" fontId="32" fillId="0" borderId="19" xfId="0" applyNumberFormat="1" applyFont="1" applyFill="1" applyBorder="1" applyAlignment="1">
      <alignment horizontal="center" vertical="center"/>
    </xf>
    <xf numFmtId="3" fontId="20" fillId="0" borderId="0" xfId="14" applyNumberFormat="1" applyFont="1" applyAlignment="1">
      <alignment horizontal="center" vertical="center"/>
    </xf>
    <xf numFmtId="3" fontId="20" fillId="0" borderId="0" xfId="14" applyNumberFormat="1" applyFont="1" applyAlignment="1">
      <alignment vertical="center"/>
    </xf>
    <xf numFmtId="3" fontId="0" fillId="0" borderId="0" xfId="0" applyNumberFormat="1" applyAlignment="1">
      <alignment vertical="center"/>
    </xf>
    <xf numFmtId="3" fontId="31" fillId="0" borderId="0" xfId="14" applyNumberFormat="1" applyFont="1" applyAlignment="1">
      <alignment horizontal="center" vertical="center" wrapText="1"/>
    </xf>
    <xf numFmtId="177" fontId="31" fillId="0" borderId="0" xfId="14" applyNumberFormat="1" applyFont="1" applyAlignment="1">
      <alignment horizontal="center" vertical="center" wrapText="1"/>
    </xf>
    <xf numFmtId="0" fontId="31" fillId="0" borderId="0" xfId="0" applyFont="1" applyAlignment="1">
      <alignment horizontal="justify" vertical="center" wrapText="1"/>
    </xf>
    <xf numFmtId="177" fontId="20" fillId="0" borderId="0" xfId="14" applyNumberFormat="1" applyFont="1" applyAlignment="1">
      <alignment horizontal="center" vertical="center" wrapText="1"/>
    </xf>
    <xf numFmtId="9" fontId="11" fillId="0" borderId="0" xfId="21" applyNumberFormat="1" applyFont="1" applyBorder="1" applyAlignment="1">
      <alignment vertical="center" wrapText="1"/>
    </xf>
    <xf numFmtId="172" fontId="20" fillId="0" borderId="4" xfId="10" applyNumberFormat="1" applyFont="1" applyFill="1" applyBorder="1" applyAlignment="1">
      <alignment vertical="center"/>
    </xf>
    <xf numFmtId="0" fontId="11" fillId="0" borderId="9" xfId="0" applyFont="1" applyFill="1" applyBorder="1" applyAlignment="1">
      <alignment horizontal="justify" vertical="center" wrapText="1"/>
    </xf>
    <xf numFmtId="0" fontId="88" fillId="0" borderId="49" xfId="27" applyNumberFormat="1" applyFont="1" applyFill="1" applyBorder="1" applyAlignment="1">
      <alignment horizontal="justify" vertical="center" wrapText="1"/>
    </xf>
    <xf numFmtId="184" fontId="32" fillId="0" borderId="1" xfId="0" applyNumberFormat="1" applyFont="1" applyFill="1" applyBorder="1" applyAlignment="1">
      <alignment horizontal="center" vertical="center"/>
    </xf>
    <xf numFmtId="3" fontId="32" fillId="0" borderId="1"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4" fontId="32" fillId="0" borderId="8" xfId="0" applyNumberFormat="1" applyFont="1" applyFill="1" applyBorder="1" applyAlignment="1">
      <alignment horizontal="center" vertical="center"/>
    </xf>
    <xf numFmtId="0" fontId="32" fillId="0" borderId="5" xfId="0" applyFont="1" applyFill="1" applyBorder="1" applyAlignment="1">
      <alignment horizontal="justify" vertical="center"/>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9" fontId="32" fillId="0" borderId="1" xfId="21" applyNumberFormat="1" applyFont="1" applyBorder="1" applyAlignment="1">
      <alignment horizontal="justify" vertical="center" wrapText="1"/>
    </xf>
    <xf numFmtId="9" fontId="32" fillId="0" borderId="1" xfId="21" applyNumberFormat="1" applyFont="1" applyFill="1" applyBorder="1" applyAlignment="1" applyProtection="1">
      <alignment horizontal="justify" vertical="center" wrapText="1"/>
      <protection locked="0"/>
    </xf>
    <xf numFmtId="9" fontId="32" fillId="0" borderId="1" xfId="21" applyNumberFormat="1" applyFont="1" applyFill="1" applyBorder="1" applyAlignment="1">
      <alignment horizontal="justify" vertical="center" wrapText="1"/>
    </xf>
    <xf numFmtId="0" fontId="12" fillId="20" borderId="20" xfId="21" applyFont="1" applyFill="1" applyBorder="1" applyAlignment="1">
      <alignment horizontal="center" vertical="center" wrapText="1"/>
    </xf>
    <xf numFmtId="0" fontId="12" fillId="20" borderId="3" xfId="21" applyFont="1" applyFill="1" applyBorder="1" applyAlignment="1">
      <alignment horizontal="center"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center" vertical="center" wrapText="1"/>
    </xf>
    <xf numFmtId="0" fontId="11" fillId="0" borderId="79" xfId="21" applyFont="1" applyBorder="1" applyAlignment="1">
      <alignment horizontal="center" vertical="center" wrapText="1"/>
    </xf>
    <xf numFmtId="9" fontId="12" fillId="0" borderId="10" xfId="21" applyNumberFormat="1" applyFont="1" applyBorder="1" applyAlignment="1">
      <alignment horizontal="center" vertical="center" wrapText="1"/>
    </xf>
    <xf numFmtId="0" fontId="12" fillId="0" borderId="35" xfId="21" applyFont="1" applyBorder="1" applyAlignment="1">
      <alignment horizontal="center"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23" xfId="29" applyFont="1" applyFill="1" applyBorder="1" applyAlignment="1" applyProtection="1">
      <alignment horizontal="justify" vertical="center" wrapText="1"/>
    </xf>
    <xf numFmtId="9" fontId="32" fillId="0" borderId="64" xfId="29" applyFont="1" applyFill="1" applyBorder="1" applyAlignment="1" applyProtection="1">
      <alignment horizontal="justify" vertical="center" wrapText="1"/>
    </xf>
    <xf numFmtId="9" fontId="32" fillId="0" borderId="0" xfId="29" applyFont="1" applyFill="1" applyBorder="1" applyAlignment="1" applyProtection="1">
      <alignment horizontal="justify" vertical="center" wrapText="1"/>
    </xf>
    <xf numFmtId="9" fontId="32" fillId="0" borderId="24" xfId="29" applyFont="1" applyFill="1" applyBorder="1" applyAlignment="1" applyProtection="1">
      <alignment horizontal="justify" vertical="center" wrapText="1"/>
    </xf>
    <xf numFmtId="0" fontId="12" fillId="20" borderId="1"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2" fillId="0" borderId="1" xfId="21" applyFont="1" applyBorder="1" applyAlignment="1">
      <alignment horizontal="left" vertical="center" wrapText="1"/>
    </xf>
    <xf numFmtId="0" fontId="32" fillId="0" borderId="9" xfId="21" applyFont="1" applyBorder="1" applyAlignment="1">
      <alignment horizontal="left" vertical="center" wrapText="1"/>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2" fillId="20" borderId="8" xfId="21" applyFont="1" applyFill="1" applyBorder="1" applyAlignment="1">
      <alignment horizontal="center" vertical="center" wrapText="1"/>
    </xf>
    <xf numFmtId="0" fontId="11" fillId="20" borderId="1" xfId="21" applyFont="1" applyFill="1" applyBorder="1" applyAlignment="1">
      <alignment horizontal="center" vertical="center" wrapText="1"/>
    </xf>
    <xf numFmtId="0" fontId="12" fillId="20" borderId="9"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38" xfId="21" applyFont="1" applyFill="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4"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0" fontId="12" fillId="0" borderId="58" xfId="21" applyFont="1" applyBorder="1" applyAlignment="1">
      <alignment horizontal="center"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23"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9" fontId="11" fillId="0" borderId="0" xfId="21" applyNumberFormat="1" applyFont="1" applyBorder="1" applyAlignment="1">
      <alignment horizontal="justify" vertical="center" wrapText="1"/>
    </xf>
    <xf numFmtId="9" fontId="45" fillId="0" borderId="77" xfId="0" applyNumberFormat="1" applyFont="1" applyBorder="1" applyAlignment="1">
      <alignment horizontal="center" vertical="center" wrapText="1"/>
    </xf>
    <xf numFmtId="0" fontId="44" fillId="0" borderId="82" xfId="0" applyFont="1" applyBorder="1" applyAlignment="1"/>
    <xf numFmtId="0" fontId="43" fillId="28" borderId="77" xfId="0" applyFont="1" applyFill="1" applyBorder="1" applyAlignment="1">
      <alignment horizontal="center" vertical="center" wrapText="1"/>
    </xf>
    <xf numFmtId="2" fontId="11" fillId="0" borderId="8" xfId="21" applyNumberFormat="1" applyFont="1" applyBorder="1" applyAlignment="1">
      <alignment horizontal="justify" vertical="center" wrapText="1"/>
    </xf>
    <xf numFmtId="9" fontId="12" fillId="0" borderId="58"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1" xfId="21" applyNumberFormat="1" applyFont="1" applyBorder="1" applyAlignment="1">
      <alignment horizontal="left" vertical="center" wrapText="1"/>
    </xf>
    <xf numFmtId="9" fontId="36" fillId="0" borderId="9" xfId="21" applyNumberFormat="1" applyFont="1" applyBorder="1" applyAlignment="1">
      <alignment horizontal="left" vertical="center" wrapText="1"/>
    </xf>
    <xf numFmtId="9" fontId="36" fillId="0" borderId="1" xfId="21" applyNumberFormat="1" applyFont="1" applyFill="1" applyBorder="1" applyAlignment="1">
      <alignment horizontal="left" vertical="center" wrapText="1"/>
    </xf>
    <xf numFmtId="9" fontId="36" fillId="0" borderId="2" xfId="21" applyNumberFormat="1" applyFont="1" applyFill="1" applyBorder="1" applyAlignment="1">
      <alignment horizontal="left" vertical="center" wrapText="1"/>
    </xf>
    <xf numFmtId="0" fontId="12" fillId="20" borderId="42" xfId="21" applyFont="1" applyFill="1" applyBorder="1" applyAlignment="1">
      <alignment horizontal="center" vertical="center"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9" fontId="36" fillId="0" borderId="55" xfId="29" applyFont="1" applyFill="1" applyBorder="1" applyAlignment="1" applyProtection="1">
      <alignment horizontal="left" vertical="center" wrapText="1"/>
    </xf>
    <xf numFmtId="9" fontId="36" fillId="0" borderId="22" xfId="29" applyFont="1" applyFill="1" applyBorder="1" applyAlignment="1" applyProtection="1">
      <alignment horizontal="left" vertical="center" wrapText="1"/>
    </xf>
    <xf numFmtId="9" fontId="36" fillId="0" borderId="23" xfId="29" applyFont="1" applyFill="1" applyBorder="1" applyAlignment="1" applyProtection="1">
      <alignment horizontal="left" vertical="center" wrapText="1"/>
    </xf>
    <xf numFmtId="9" fontId="36" fillId="0" borderId="59" xfId="29" applyFont="1" applyFill="1" applyBorder="1" applyAlignment="1" applyProtection="1">
      <alignment horizontal="left" vertical="center" wrapText="1"/>
    </xf>
    <xf numFmtId="9" fontId="36" fillId="0" borderId="15" xfId="29" applyFont="1" applyFill="1" applyBorder="1" applyAlignment="1" applyProtection="1">
      <alignment horizontal="left" vertical="center" wrapText="1"/>
    </xf>
    <xf numFmtId="9" fontId="36" fillId="0" borderId="60" xfId="29" applyFont="1" applyFill="1" applyBorder="1" applyAlignment="1" applyProtection="1">
      <alignment horizontal="left" vertical="center" wrapText="1"/>
    </xf>
    <xf numFmtId="9" fontId="36"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35" xfId="21" applyFont="1" applyFill="1" applyBorder="1" applyAlignment="1">
      <alignment horizontal="center" vertical="center" wrapText="1"/>
    </xf>
    <xf numFmtId="0" fontId="12" fillId="20" borderId="22" xfId="21" applyFont="1" applyFill="1" applyBorder="1" applyAlignment="1">
      <alignment horizontal="center" vertical="center" wrapText="1"/>
    </xf>
    <xf numFmtId="2" fontId="11" fillId="0" borderId="40"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9" fontId="36" fillId="0" borderId="1" xfId="21" applyNumberFormat="1" applyFont="1" applyFill="1" applyBorder="1" applyAlignment="1">
      <alignment horizontal="justify" vertical="center" wrapText="1"/>
    </xf>
    <xf numFmtId="9" fontId="36" fillId="0" borderId="2" xfId="21" applyNumberFormat="1" applyFont="1" applyFill="1" applyBorder="1" applyAlignment="1">
      <alignment horizontal="justify" vertical="center" wrapText="1"/>
    </xf>
    <xf numFmtId="9" fontId="36" fillId="0" borderId="1" xfId="21" applyNumberFormat="1" applyFont="1" applyBorder="1" applyAlignment="1">
      <alignment horizontal="justify" vertical="center" wrapText="1"/>
    </xf>
    <xf numFmtId="9" fontId="36" fillId="0" borderId="9" xfId="21" applyNumberFormat="1" applyFont="1" applyBorder="1" applyAlignment="1">
      <alignment horizontal="justify" vertical="center" wrapText="1"/>
    </xf>
    <xf numFmtId="0" fontId="43" fillId="28" borderId="80" xfId="0" applyFont="1" applyFill="1" applyBorder="1" applyAlignment="1">
      <alignment horizontal="center" vertical="center" wrapText="1"/>
    </xf>
    <xf numFmtId="0" fontId="44" fillId="0" borderId="81" xfId="0" applyFont="1" applyBorder="1" applyAlignment="1"/>
    <xf numFmtId="0" fontId="44" fillId="0" borderId="78" xfId="0" applyFont="1" applyBorder="1" applyAlignment="1"/>
    <xf numFmtId="9" fontId="12" fillId="0" borderId="4" xfId="27" applyFont="1" applyBorder="1" applyAlignment="1">
      <alignment horizontal="center" vertical="center" wrapText="1"/>
    </xf>
    <xf numFmtId="9" fontId="36" fillId="0" borderId="55" xfId="21" applyNumberFormat="1" applyFont="1" applyBorder="1" applyAlignment="1">
      <alignment horizontal="justify" vertical="center" wrapText="1"/>
    </xf>
    <xf numFmtId="9" fontId="36" fillId="0" borderId="22" xfId="21" applyNumberFormat="1" applyFont="1" applyBorder="1" applyAlignment="1">
      <alignment horizontal="justify" vertical="center" wrapText="1"/>
    </xf>
    <xf numFmtId="9" fontId="36" fillId="0" borderId="61" xfId="21" applyNumberFormat="1" applyFont="1" applyBorder="1" applyAlignment="1">
      <alignment horizontal="justify" vertical="center" wrapText="1"/>
    </xf>
    <xf numFmtId="9" fontId="36" fillId="0" borderId="64" xfId="21" applyNumberFormat="1" applyFont="1" applyBorder="1" applyAlignment="1">
      <alignment horizontal="justify" vertical="center" wrapText="1"/>
    </xf>
    <xf numFmtId="9" fontId="36" fillId="0" borderId="0" xfId="21" applyNumberFormat="1" applyFont="1" applyAlignment="1">
      <alignment horizontal="justify" vertical="center" wrapText="1"/>
    </xf>
    <xf numFmtId="9" fontId="36" fillId="0" borderId="14" xfId="21" applyNumberFormat="1" applyFont="1" applyBorder="1" applyAlignment="1">
      <alignment horizontal="justify" vertical="center" wrapText="1"/>
    </xf>
    <xf numFmtId="9" fontId="36" fillId="0" borderId="55"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64" xfId="21" applyNumberFormat="1" applyFont="1" applyBorder="1" applyAlignment="1">
      <alignment horizontal="left" vertical="center" wrapText="1"/>
    </xf>
    <xf numFmtId="9" fontId="36" fillId="0" borderId="0" xfId="21" applyNumberFormat="1" applyFont="1" applyAlignment="1">
      <alignment horizontal="left" vertical="center" wrapText="1"/>
    </xf>
    <xf numFmtId="9" fontId="36" fillId="0" borderId="14" xfId="21" applyNumberFormat="1" applyFont="1" applyBorder="1" applyAlignment="1">
      <alignment horizontal="left" vertical="center" wrapText="1"/>
    </xf>
    <xf numFmtId="0" fontId="12" fillId="20" borderId="21" xfId="21" applyFont="1" applyFill="1" applyBorder="1" applyAlignment="1">
      <alignment horizontal="center" vertical="center" wrapText="1"/>
    </xf>
    <xf numFmtId="9" fontId="36" fillId="0" borderId="61" xfId="29" applyFont="1" applyFill="1" applyBorder="1" applyAlignment="1" applyProtection="1">
      <alignment horizontal="justify" vertical="center" wrapText="1"/>
    </xf>
    <xf numFmtId="9" fontId="36" fillId="0" borderId="16" xfId="29" applyFont="1" applyFill="1" applyBorder="1" applyAlignment="1" applyProtection="1">
      <alignment horizontal="justify" vertical="center" wrapText="1"/>
    </xf>
    <xf numFmtId="9" fontId="12" fillId="0" borderId="10" xfId="27" applyFont="1" applyBorder="1" applyAlignment="1">
      <alignment horizontal="center" vertical="center" wrapText="1"/>
    </xf>
    <xf numFmtId="9" fontId="36" fillId="0" borderId="59" xfId="21" applyNumberFormat="1" applyFont="1" applyBorder="1" applyAlignment="1">
      <alignment horizontal="justify" vertical="center" wrapText="1"/>
    </xf>
    <xf numFmtId="9" fontId="36" fillId="0" borderId="15" xfId="21" applyNumberFormat="1" applyFont="1" applyBorder="1" applyAlignment="1">
      <alignment horizontal="justify" vertical="center" wrapText="1"/>
    </xf>
    <xf numFmtId="9" fontId="36" fillId="0" borderId="16" xfId="21" applyNumberFormat="1" applyFont="1" applyBorder="1" applyAlignment="1">
      <alignment horizontal="justify"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10"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39" xfId="21" applyFont="1" applyFill="1" applyBorder="1" applyAlignment="1">
      <alignment horizontal="center" vertical="center" wrapText="1"/>
    </xf>
    <xf numFmtId="0" fontId="12" fillId="20" borderId="15"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19" borderId="0" xfId="21" applyFont="1" applyFill="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58" xfId="21" applyNumberFormat="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0" fontId="12" fillId="19" borderId="6"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12" fillId="19" borderId="1" xfId="21" applyFont="1" applyFill="1" applyBorder="1" applyAlignment="1">
      <alignment horizontal="left" vertical="center" wrapText="1"/>
    </xf>
    <xf numFmtId="0" fontId="12" fillId="19" borderId="9" xfId="21"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Fill="1" applyBorder="1" applyAlignment="1">
      <alignment horizontal="center" vertical="center"/>
    </xf>
    <xf numFmtId="0" fontId="40" fillId="0" borderId="1" xfId="0" applyFont="1" applyFill="1" applyBorder="1" applyAlignment="1">
      <alignment horizontal="center" vertical="center"/>
    </xf>
    <xf numFmtId="0" fontId="34" fillId="0" borderId="1" xfId="0" applyFont="1" applyBorder="1" applyAlignment="1">
      <alignment horizontal="center" vertical="center" wrapText="1"/>
    </xf>
    <xf numFmtId="0" fontId="12" fillId="19" borderId="19" xfId="21" applyFont="1" applyFill="1" applyBorder="1" applyAlignment="1">
      <alignment horizontal="left" vertical="center" wrapText="1"/>
    </xf>
    <xf numFmtId="0" fontId="12" fillId="19" borderId="33" xfId="21"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56"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3" fontId="12" fillId="23" borderId="1" xfId="21" applyNumberFormat="1" applyFont="1" applyFill="1" applyBorder="1" applyAlignment="1">
      <alignment horizontal="center" vertical="center" wrapText="1"/>
    </xf>
    <xf numFmtId="3" fontId="12" fillId="23" borderId="19" xfId="21" applyNumberFormat="1"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23" borderId="8" xfId="21" applyFont="1" applyFill="1" applyBorder="1" applyAlignment="1">
      <alignment horizontal="center" vertical="center" wrapText="1"/>
    </xf>
    <xf numFmtId="0" fontId="34" fillId="23" borderId="1" xfId="21" applyFont="1" applyFill="1" applyBorder="1" applyAlignment="1">
      <alignment horizontal="center" vertical="center" wrapText="1"/>
    </xf>
    <xf numFmtId="0" fontId="34" fillId="23" borderId="31" xfId="21" applyFont="1" applyFill="1" applyBorder="1" applyAlignment="1">
      <alignment horizontal="center" vertical="center" wrapText="1"/>
    </xf>
    <xf numFmtId="0" fontId="34" fillId="23" borderId="19" xfId="21"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1" xfId="21" applyFont="1" applyFill="1" applyBorder="1" applyAlignment="1">
      <alignment horizontal="left" vertical="center" wrapText="1"/>
    </xf>
    <xf numFmtId="0" fontId="12" fillId="19" borderId="65" xfId="21" applyFont="1" applyFill="1" applyBorder="1" applyAlignment="1">
      <alignment horizontal="left" vertical="center" wrapText="1"/>
    </xf>
    <xf numFmtId="0" fontId="12" fillId="19" borderId="49" xfId="21" applyFont="1" applyFill="1" applyBorder="1" applyAlignment="1">
      <alignment horizontal="left" vertical="center" wrapText="1"/>
    </xf>
    <xf numFmtId="3" fontId="12" fillId="19" borderId="1" xfId="21" applyNumberFormat="1" applyFont="1" applyFill="1" applyBorder="1" applyAlignment="1">
      <alignment horizontal="left" vertical="center" wrapText="1"/>
    </xf>
    <xf numFmtId="3" fontId="12" fillId="19" borderId="19" xfId="21" applyNumberFormat="1" applyFont="1" applyFill="1" applyBorder="1" applyAlignment="1">
      <alignment horizontal="lef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3" fontId="34" fillId="9" borderId="51" xfId="0" applyNumberFormat="1" applyFont="1" applyFill="1" applyBorder="1" applyAlignment="1">
      <alignment horizontal="center" vertical="center"/>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0" fontId="12" fillId="23" borderId="1" xfId="21" applyFont="1" applyFill="1" applyBorder="1" applyAlignment="1">
      <alignment horizontal="center" vertical="center" wrapText="1"/>
    </xf>
    <xf numFmtId="0" fontId="12" fillId="23" borderId="19" xfId="21" applyFont="1" applyFill="1" applyBorder="1" applyAlignment="1">
      <alignment horizontal="center" vertical="center" wrapText="1"/>
    </xf>
    <xf numFmtId="0" fontId="12" fillId="19" borderId="2" xfId="21" applyFont="1" applyFill="1" applyBorder="1" applyAlignment="1">
      <alignment horizontal="left" vertical="center" wrapText="1"/>
    </xf>
    <xf numFmtId="0" fontId="12" fillId="19" borderId="56" xfId="21" applyFont="1" applyFill="1" applyBorder="1" applyAlignment="1">
      <alignment horizontal="left" vertical="center" wrapText="1"/>
    </xf>
    <xf numFmtId="0" fontId="12" fillId="19" borderId="5" xfId="21" applyFont="1" applyFill="1" applyBorder="1" applyAlignment="1">
      <alignment horizontal="left" vertical="center" wrapText="1"/>
    </xf>
    <xf numFmtId="0" fontId="32" fillId="0" borderId="6" xfId="0" applyFont="1" applyBorder="1" applyAlignment="1">
      <alignment horizontal="left" vertical="center"/>
    </xf>
    <xf numFmtId="0" fontId="32" fillId="0" borderId="3" xfId="0" applyFont="1" applyBorder="1" applyAlignment="1">
      <alignment horizontal="left" vertical="center"/>
    </xf>
    <xf numFmtId="0" fontId="32" fillId="0" borderId="7" xfId="0" applyFont="1" applyBorder="1" applyAlignment="1">
      <alignment horizontal="left" vertical="center"/>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xf>
    <xf numFmtId="44" fontId="31" fillId="0" borderId="0" xfId="34" applyFont="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7</xdr:row>
      <xdr:rowOff>19050</xdr:rowOff>
    </xdr:from>
    <xdr:to>
      <xdr:col>13</xdr:col>
      <xdr:colOff>278833</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76300" y="1524000"/>
          <a:ext cx="9394258" cy="243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ocuments/Nana/SPI/2022%20SCPI/2022%20Instrumentos.Planeaci&#243;n/01.%20Enero.2022/01.%207673%20Seg.ene.2022%2007-feb-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vila/Downloads/Seg%207673%20meta%201%20y%20territorializacion%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uest/Downloads/7673%20Seg.ene.2022%2007-feb-2022%20enviado%20Diana%20Parra.aju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Instructivo"/>
      <sheetName val="Generalidades"/>
      <sheetName val="Hoja2"/>
      <sheetName val="Hoja13"/>
      <sheetName val="Hoja1"/>
    </sheetNames>
    <sheetDataSet>
      <sheetData sheetId="0"/>
      <sheetData sheetId="1">
        <row r="24">
          <cell r="D24">
            <v>0</v>
          </cell>
        </row>
      </sheetData>
      <sheetData sheetId="2">
        <row r="24">
          <cell r="D24">
            <v>4533333</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22">
          <cell r="Q22">
            <v>1390832000</v>
          </cell>
          <cell r="R22">
            <v>0</v>
          </cell>
          <cell r="S22">
            <v>5539000</v>
          </cell>
          <cell r="T22">
            <v>57865000</v>
          </cell>
          <cell r="U22">
            <v>462556907.29999995</v>
          </cell>
          <cell r="V22">
            <v>131550627.86000001</v>
          </cell>
          <cell r="W22">
            <v>342977252</v>
          </cell>
          <cell r="X22">
            <v>0</v>
          </cell>
          <cell r="Y22">
            <v>10550000</v>
          </cell>
          <cell r="Z22">
            <v>0</v>
          </cell>
          <cell r="AA22">
            <v>0</v>
          </cell>
          <cell r="AB22">
            <v>0</v>
          </cell>
        </row>
        <row r="23">
          <cell r="Q23">
            <v>1342336167</v>
          </cell>
          <cell r="R23">
            <v>0</v>
          </cell>
          <cell r="S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1..n"/>
      <sheetName val="Meta 4"/>
      <sheetName val="Indicadores PA "/>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35">
          <cell r="D35"/>
          <cell r="J35"/>
          <cell r="K35"/>
          <cell r="L35"/>
          <cell r="M35"/>
          <cell r="N35"/>
          <cell r="O35"/>
        </row>
      </sheetData>
      <sheetData sheetId="1">
        <row r="35">
          <cell r="D35">
            <v>0</v>
          </cell>
        </row>
      </sheetData>
      <sheetData sheetId="2">
        <row r="35">
          <cell r="D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4" dT="2022-05-04T21:26:15.31" personId="{114774B9-990D-4578-8FE7-0DC23A1405F0}" id="{15F6D739-AFC6-4720-8C41-E8BE9D98CD43}">
    <text>Al total de la reserva se restan $4.759.996 la liberación del contrato con PANAMERICAN.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theme="7" tint="0.39997558519241921"/>
    <pageSetUpPr fitToPage="1"/>
  </sheetPr>
  <dimension ref="A1:AR51"/>
  <sheetViews>
    <sheetView showGridLines="0" view="pageBreakPreview" zoomScale="55" zoomScaleNormal="75" zoomScaleSheetLayoutView="55" workbookViewId="0">
      <selection sqref="A1:A4"/>
    </sheetView>
  </sheetViews>
  <sheetFormatPr baseColWidth="10" defaultColWidth="10.85546875" defaultRowHeight="15"/>
  <cols>
    <col min="1" max="1" width="38.5703125" style="50" customWidth="1"/>
    <col min="2" max="2" width="11.42578125" style="50" customWidth="1"/>
    <col min="3" max="3" width="19.85546875" style="50" customWidth="1"/>
    <col min="4" max="4" width="16.42578125" style="50" customWidth="1"/>
    <col min="5" max="5" width="16" style="50" bestFit="1" customWidth="1"/>
    <col min="6" max="6" width="15.28515625" style="50" bestFit="1" customWidth="1"/>
    <col min="7" max="14" width="9.7109375" style="50" customWidth="1"/>
    <col min="15" max="15" width="16" style="50" bestFit="1" customWidth="1"/>
    <col min="16" max="27" width="18.140625" style="50" customWidth="1"/>
    <col min="28" max="28" width="22.7109375" style="50" customWidth="1"/>
    <col min="29" max="29" width="19" style="50" customWidth="1"/>
    <col min="30" max="30" width="19.42578125" style="50" customWidth="1"/>
    <col min="31" max="31" width="10" style="50" bestFit="1" customWidth="1"/>
    <col min="32" max="32" width="10" style="50" customWidth="1"/>
    <col min="33" max="33" width="14.7109375" style="624" customWidth="1"/>
    <col min="34" max="34" width="32.28515625" style="624" bestFit="1" customWidth="1"/>
    <col min="35" max="36" width="14.7109375" style="624" customWidth="1"/>
    <col min="37" max="37" width="5.7109375" style="624" customWidth="1"/>
    <col min="38" max="38" width="18.42578125" style="624" bestFit="1" customWidth="1"/>
    <col min="39" max="39" width="4.7109375" style="624" customWidth="1"/>
    <col min="40" max="40" width="23" style="624" bestFit="1" customWidth="1"/>
    <col min="41" max="41" width="10.85546875" style="624"/>
    <col min="42" max="42" width="18.42578125" style="50" bestFit="1" customWidth="1"/>
    <col min="43" max="43" width="16.140625" style="50" customWidth="1"/>
    <col min="44" max="257" width="10.85546875" style="50"/>
    <col min="258" max="258" width="42" style="50" customWidth="1"/>
    <col min="259" max="259" width="21.7109375" style="50" customWidth="1"/>
    <col min="260" max="271" width="20.7109375" style="50" customWidth="1"/>
    <col min="272" max="272" width="16.140625" style="50" customWidth="1"/>
    <col min="273" max="284" width="18.140625" style="50" customWidth="1"/>
    <col min="285" max="285" width="22.7109375" style="50" customWidth="1"/>
    <col min="286" max="286" width="19" style="50" customWidth="1"/>
    <col min="287" max="287" width="19.42578125" style="50" customWidth="1"/>
    <col min="288" max="288" width="6.28515625" style="50" bestFit="1" customWidth="1"/>
    <col min="289" max="289" width="22.85546875" style="50" customWidth="1"/>
    <col min="290" max="290" width="18.42578125" style="50" bestFit="1" customWidth="1"/>
    <col min="291" max="291" width="8.42578125" style="50" customWidth="1"/>
    <col min="292" max="292" width="18.42578125" style="50" bestFit="1" customWidth="1"/>
    <col min="293" max="293" width="5.7109375" style="50" customWidth="1"/>
    <col min="294" max="294" width="18.42578125" style="50" bestFit="1" customWidth="1"/>
    <col min="295" max="295" width="4.7109375" style="50" customWidth="1"/>
    <col min="296" max="296" width="23" style="50" bestFit="1" customWidth="1"/>
    <col min="297" max="297" width="10.85546875" style="50"/>
    <col min="298" max="298" width="18.42578125" style="50" bestFit="1" customWidth="1"/>
    <col min="299" max="299" width="16.140625" style="50" customWidth="1"/>
    <col min="300" max="513" width="10.85546875" style="50"/>
    <col min="514" max="514" width="42" style="50" customWidth="1"/>
    <col min="515" max="515" width="21.7109375" style="50" customWidth="1"/>
    <col min="516" max="527" width="20.7109375" style="50" customWidth="1"/>
    <col min="528" max="528" width="16.140625" style="50" customWidth="1"/>
    <col min="529" max="540" width="18.140625" style="50" customWidth="1"/>
    <col min="541" max="541" width="22.7109375" style="50" customWidth="1"/>
    <col min="542" max="542" width="19" style="50" customWidth="1"/>
    <col min="543" max="543" width="19.42578125" style="50" customWidth="1"/>
    <col min="544" max="544" width="6.28515625" style="50" bestFit="1" customWidth="1"/>
    <col min="545" max="545" width="22.85546875" style="50" customWidth="1"/>
    <col min="546" max="546" width="18.42578125" style="50" bestFit="1" customWidth="1"/>
    <col min="547" max="547" width="8.42578125" style="50" customWidth="1"/>
    <col min="548" max="548" width="18.42578125" style="50" bestFit="1" customWidth="1"/>
    <col min="549" max="549" width="5.7109375" style="50" customWidth="1"/>
    <col min="550" max="550" width="18.42578125" style="50" bestFit="1" customWidth="1"/>
    <col min="551" max="551" width="4.7109375" style="50" customWidth="1"/>
    <col min="552" max="552" width="23" style="50" bestFit="1" customWidth="1"/>
    <col min="553" max="553" width="10.85546875" style="50"/>
    <col min="554" max="554" width="18.42578125" style="50" bestFit="1" customWidth="1"/>
    <col min="555" max="555" width="16.140625" style="50" customWidth="1"/>
    <col min="556" max="769" width="10.85546875" style="50"/>
    <col min="770" max="770" width="42" style="50" customWidth="1"/>
    <col min="771" max="771" width="21.7109375" style="50" customWidth="1"/>
    <col min="772" max="783" width="20.7109375" style="50" customWidth="1"/>
    <col min="784" max="784" width="16.140625" style="50" customWidth="1"/>
    <col min="785" max="796" width="18.140625" style="50" customWidth="1"/>
    <col min="797" max="797" width="22.7109375" style="50" customWidth="1"/>
    <col min="798" max="798" width="19" style="50" customWidth="1"/>
    <col min="799" max="799" width="19.42578125" style="50" customWidth="1"/>
    <col min="800" max="800" width="6.28515625" style="50" bestFit="1" customWidth="1"/>
    <col min="801" max="801" width="22.85546875" style="50" customWidth="1"/>
    <col min="802" max="802" width="18.42578125" style="50" bestFit="1" customWidth="1"/>
    <col min="803" max="803" width="8.42578125" style="50" customWidth="1"/>
    <col min="804" max="804" width="18.42578125" style="50" bestFit="1" customWidth="1"/>
    <col min="805" max="805" width="5.7109375" style="50" customWidth="1"/>
    <col min="806" max="806" width="18.42578125" style="50" bestFit="1" customWidth="1"/>
    <col min="807" max="807" width="4.7109375" style="50" customWidth="1"/>
    <col min="808" max="808" width="23" style="50" bestFit="1" customWidth="1"/>
    <col min="809" max="809" width="10.85546875" style="50"/>
    <col min="810" max="810" width="18.42578125" style="50" bestFit="1" customWidth="1"/>
    <col min="811" max="811" width="16.140625" style="50" customWidth="1"/>
    <col min="812" max="1025" width="10.85546875" style="50"/>
    <col min="1026" max="1026" width="42" style="50" customWidth="1"/>
    <col min="1027" max="1027" width="21.7109375" style="50" customWidth="1"/>
    <col min="1028" max="1039" width="20.7109375" style="50" customWidth="1"/>
    <col min="1040" max="1040" width="16.140625" style="50" customWidth="1"/>
    <col min="1041" max="1052" width="18.140625" style="50" customWidth="1"/>
    <col min="1053" max="1053" width="22.7109375" style="50" customWidth="1"/>
    <col min="1054" max="1054" width="19" style="50" customWidth="1"/>
    <col min="1055" max="1055" width="19.42578125" style="50" customWidth="1"/>
    <col min="1056" max="1056" width="6.28515625" style="50" bestFit="1" customWidth="1"/>
    <col min="1057" max="1057" width="22.85546875" style="50" customWidth="1"/>
    <col min="1058" max="1058" width="18.42578125" style="50" bestFit="1" customWidth="1"/>
    <col min="1059" max="1059" width="8.42578125" style="50" customWidth="1"/>
    <col min="1060" max="1060" width="18.42578125" style="50" bestFit="1" customWidth="1"/>
    <col min="1061" max="1061" width="5.7109375" style="50" customWidth="1"/>
    <col min="1062" max="1062" width="18.42578125" style="50" bestFit="1" customWidth="1"/>
    <col min="1063" max="1063" width="4.7109375" style="50" customWidth="1"/>
    <col min="1064" max="1064" width="23" style="50" bestFit="1" customWidth="1"/>
    <col min="1065" max="1065" width="10.85546875" style="50"/>
    <col min="1066" max="1066" width="18.42578125" style="50" bestFit="1" customWidth="1"/>
    <col min="1067" max="1067" width="16.140625" style="50" customWidth="1"/>
    <col min="1068" max="1281" width="10.85546875" style="50"/>
    <col min="1282" max="1282" width="42" style="50" customWidth="1"/>
    <col min="1283" max="1283" width="21.7109375" style="50" customWidth="1"/>
    <col min="1284" max="1295" width="20.7109375" style="50" customWidth="1"/>
    <col min="1296" max="1296" width="16.140625" style="50" customWidth="1"/>
    <col min="1297" max="1308" width="18.140625" style="50" customWidth="1"/>
    <col min="1309" max="1309" width="22.7109375" style="50" customWidth="1"/>
    <col min="1310" max="1310" width="19" style="50" customWidth="1"/>
    <col min="1311" max="1311" width="19.42578125" style="50" customWidth="1"/>
    <col min="1312" max="1312" width="6.28515625" style="50" bestFit="1" customWidth="1"/>
    <col min="1313" max="1313" width="22.85546875" style="50" customWidth="1"/>
    <col min="1314" max="1314" width="18.42578125" style="50" bestFit="1" customWidth="1"/>
    <col min="1315" max="1315" width="8.42578125" style="50" customWidth="1"/>
    <col min="1316" max="1316" width="18.42578125" style="50" bestFit="1" customWidth="1"/>
    <col min="1317" max="1317" width="5.7109375" style="50" customWidth="1"/>
    <col min="1318" max="1318" width="18.42578125" style="50" bestFit="1" customWidth="1"/>
    <col min="1319" max="1319" width="4.7109375" style="50" customWidth="1"/>
    <col min="1320" max="1320" width="23" style="50" bestFit="1" customWidth="1"/>
    <col min="1321" max="1321" width="10.85546875" style="50"/>
    <col min="1322" max="1322" width="18.42578125" style="50" bestFit="1" customWidth="1"/>
    <col min="1323" max="1323" width="16.140625" style="50" customWidth="1"/>
    <col min="1324" max="1537" width="10.85546875" style="50"/>
    <col min="1538" max="1538" width="42" style="50" customWidth="1"/>
    <col min="1539" max="1539" width="21.7109375" style="50" customWidth="1"/>
    <col min="1540" max="1551" width="20.7109375" style="50" customWidth="1"/>
    <col min="1552" max="1552" width="16.140625" style="50" customWidth="1"/>
    <col min="1553" max="1564" width="18.140625" style="50" customWidth="1"/>
    <col min="1565" max="1565" width="22.7109375" style="50" customWidth="1"/>
    <col min="1566" max="1566" width="19" style="50" customWidth="1"/>
    <col min="1567" max="1567" width="19.42578125" style="50" customWidth="1"/>
    <col min="1568" max="1568" width="6.28515625" style="50" bestFit="1" customWidth="1"/>
    <col min="1569" max="1569" width="22.85546875" style="50" customWidth="1"/>
    <col min="1570" max="1570" width="18.42578125" style="50" bestFit="1" customWidth="1"/>
    <col min="1571" max="1571" width="8.42578125" style="50" customWidth="1"/>
    <col min="1572" max="1572" width="18.42578125" style="50" bestFit="1" customWidth="1"/>
    <col min="1573" max="1573" width="5.7109375" style="50" customWidth="1"/>
    <col min="1574" max="1574" width="18.42578125" style="50" bestFit="1" customWidth="1"/>
    <col min="1575" max="1575" width="4.7109375" style="50" customWidth="1"/>
    <col min="1576" max="1576" width="23" style="50" bestFit="1" customWidth="1"/>
    <col min="1577" max="1577" width="10.85546875" style="50"/>
    <col min="1578" max="1578" width="18.42578125" style="50" bestFit="1" customWidth="1"/>
    <col min="1579" max="1579" width="16.140625" style="50" customWidth="1"/>
    <col min="1580" max="1793" width="10.85546875" style="50"/>
    <col min="1794" max="1794" width="42" style="50" customWidth="1"/>
    <col min="1795" max="1795" width="21.7109375" style="50" customWidth="1"/>
    <col min="1796" max="1807" width="20.7109375" style="50" customWidth="1"/>
    <col min="1808" max="1808" width="16.140625" style="50" customWidth="1"/>
    <col min="1809" max="1820" width="18.140625" style="50" customWidth="1"/>
    <col min="1821" max="1821" width="22.7109375" style="50" customWidth="1"/>
    <col min="1822" max="1822" width="19" style="50" customWidth="1"/>
    <col min="1823" max="1823" width="19.42578125" style="50" customWidth="1"/>
    <col min="1824" max="1824" width="6.28515625" style="50" bestFit="1" customWidth="1"/>
    <col min="1825" max="1825" width="22.85546875" style="50" customWidth="1"/>
    <col min="1826" max="1826" width="18.42578125" style="50" bestFit="1" customWidth="1"/>
    <col min="1827" max="1827" width="8.42578125" style="50" customWidth="1"/>
    <col min="1828" max="1828" width="18.42578125" style="50" bestFit="1" customWidth="1"/>
    <col min="1829" max="1829" width="5.7109375" style="50" customWidth="1"/>
    <col min="1830" max="1830" width="18.42578125" style="50" bestFit="1" customWidth="1"/>
    <col min="1831" max="1831" width="4.7109375" style="50" customWidth="1"/>
    <col min="1832" max="1832" width="23" style="50" bestFit="1" customWidth="1"/>
    <col min="1833" max="1833" width="10.85546875" style="50"/>
    <col min="1834" max="1834" width="18.42578125" style="50" bestFit="1" customWidth="1"/>
    <col min="1835" max="1835" width="16.140625" style="50" customWidth="1"/>
    <col min="1836" max="2049" width="10.85546875" style="50"/>
    <col min="2050" max="2050" width="42" style="50" customWidth="1"/>
    <col min="2051" max="2051" width="21.7109375" style="50" customWidth="1"/>
    <col min="2052" max="2063" width="20.7109375" style="50" customWidth="1"/>
    <col min="2064" max="2064" width="16.140625" style="50" customWidth="1"/>
    <col min="2065" max="2076" width="18.140625" style="50" customWidth="1"/>
    <col min="2077" max="2077" width="22.7109375" style="50" customWidth="1"/>
    <col min="2078" max="2078" width="19" style="50" customWidth="1"/>
    <col min="2079" max="2079" width="19.42578125" style="50" customWidth="1"/>
    <col min="2080" max="2080" width="6.28515625" style="50" bestFit="1" customWidth="1"/>
    <col min="2081" max="2081" width="22.85546875" style="50" customWidth="1"/>
    <col min="2082" max="2082" width="18.42578125" style="50" bestFit="1" customWidth="1"/>
    <col min="2083" max="2083" width="8.42578125" style="50" customWidth="1"/>
    <col min="2084" max="2084" width="18.42578125" style="50" bestFit="1" customWidth="1"/>
    <col min="2085" max="2085" width="5.7109375" style="50" customWidth="1"/>
    <col min="2086" max="2086" width="18.42578125" style="50" bestFit="1" customWidth="1"/>
    <col min="2087" max="2087" width="4.7109375" style="50" customWidth="1"/>
    <col min="2088" max="2088" width="23" style="50" bestFit="1" customWidth="1"/>
    <col min="2089" max="2089" width="10.85546875" style="50"/>
    <col min="2090" max="2090" width="18.42578125" style="50" bestFit="1" customWidth="1"/>
    <col min="2091" max="2091" width="16.140625" style="50" customWidth="1"/>
    <col min="2092" max="2305" width="10.85546875" style="50"/>
    <col min="2306" max="2306" width="42" style="50" customWidth="1"/>
    <col min="2307" max="2307" width="21.7109375" style="50" customWidth="1"/>
    <col min="2308" max="2319" width="20.7109375" style="50" customWidth="1"/>
    <col min="2320" max="2320" width="16.140625" style="50" customWidth="1"/>
    <col min="2321" max="2332" width="18.140625" style="50" customWidth="1"/>
    <col min="2333" max="2333" width="22.7109375" style="50" customWidth="1"/>
    <col min="2334" max="2334" width="19" style="50" customWidth="1"/>
    <col min="2335" max="2335" width="19.42578125" style="50" customWidth="1"/>
    <col min="2336" max="2336" width="6.28515625" style="50" bestFit="1" customWidth="1"/>
    <col min="2337" max="2337" width="22.85546875" style="50" customWidth="1"/>
    <col min="2338" max="2338" width="18.42578125" style="50" bestFit="1" customWidth="1"/>
    <col min="2339" max="2339" width="8.42578125" style="50" customWidth="1"/>
    <col min="2340" max="2340" width="18.42578125" style="50" bestFit="1" customWidth="1"/>
    <col min="2341" max="2341" width="5.7109375" style="50" customWidth="1"/>
    <col min="2342" max="2342" width="18.42578125" style="50" bestFit="1" customWidth="1"/>
    <col min="2343" max="2343" width="4.7109375" style="50" customWidth="1"/>
    <col min="2344" max="2344" width="23" style="50" bestFit="1" customWidth="1"/>
    <col min="2345" max="2345" width="10.85546875" style="50"/>
    <col min="2346" max="2346" width="18.42578125" style="50" bestFit="1" customWidth="1"/>
    <col min="2347" max="2347" width="16.140625" style="50" customWidth="1"/>
    <col min="2348" max="2561" width="10.85546875" style="50"/>
    <col min="2562" max="2562" width="42" style="50" customWidth="1"/>
    <col min="2563" max="2563" width="21.7109375" style="50" customWidth="1"/>
    <col min="2564" max="2575" width="20.7109375" style="50" customWidth="1"/>
    <col min="2576" max="2576" width="16.140625" style="50" customWidth="1"/>
    <col min="2577" max="2588" width="18.140625" style="50" customWidth="1"/>
    <col min="2589" max="2589" width="22.7109375" style="50" customWidth="1"/>
    <col min="2590" max="2590" width="19" style="50" customWidth="1"/>
    <col min="2591" max="2591" width="19.42578125" style="50" customWidth="1"/>
    <col min="2592" max="2592" width="6.28515625" style="50" bestFit="1" customWidth="1"/>
    <col min="2593" max="2593" width="22.85546875" style="50" customWidth="1"/>
    <col min="2594" max="2594" width="18.42578125" style="50" bestFit="1" customWidth="1"/>
    <col min="2595" max="2595" width="8.42578125" style="50" customWidth="1"/>
    <col min="2596" max="2596" width="18.42578125" style="50" bestFit="1" customWidth="1"/>
    <col min="2597" max="2597" width="5.7109375" style="50" customWidth="1"/>
    <col min="2598" max="2598" width="18.42578125" style="50" bestFit="1" customWidth="1"/>
    <col min="2599" max="2599" width="4.7109375" style="50" customWidth="1"/>
    <col min="2600" max="2600" width="23" style="50" bestFit="1" customWidth="1"/>
    <col min="2601" max="2601" width="10.85546875" style="50"/>
    <col min="2602" max="2602" width="18.42578125" style="50" bestFit="1" customWidth="1"/>
    <col min="2603" max="2603" width="16.140625" style="50" customWidth="1"/>
    <col min="2604" max="2817" width="10.85546875" style="50"/>
    <col min="2818" max="2818" width="42" style="50" customWidth="1"/>
    <col min="2819" max="2819" width="21.7109375" style="50" customWidth="1"/>
    <col min="2820" max="2831" width="20.7109375" style="50" customWidth="1"/>
    <col min="2832" max="2832" width="16.140625" style="50" customWidth="1"/>
    <col min="2833" max="2844" width="18.140625" style="50" customWidth="1"/>
    <col min="2845" max="2845" width="22.7109375" style="50" customWidth="1"/>
    <col min="2846" max="2846" width="19" style="50" customWidth="1"/>
    <col min="2847" max="2847" width="19.42578125" style="50" customWidth="1"/>
    <col min="2848" max="2848" width="6.28515625" style="50" bestFit="1" customWidth="1"/>
    <col min="2849" max="2849" width="22.85546875" style="50" customWidth="1"/>
    <col min="2850" max="2850" width="18.42578125" style="50" bestFit="1" customWidth="1"/>
    <col min="2851" max="2851" width="8.42578125" style="50" customWidth="1"/>
    <col min="2852" max="2852" width="18.42578125" style="50" bestFit="1" customWidth="1"/>
    <col min="2853" max="2853" width="5.7109375" style="50" customWidth="1"/>
    <col min="2854" max="2854" width="18.42578125" style="50" bestFit="1" customWidth="1"/>
    <col min="2855" max="2855" width="4.7109375" style="50" customWidth="1"/>
    <col min="2856" max="2856" width="23" style="50" bestFit="1" customWidth="1"/>
    <col min="2857" max="2857" width="10.85546875" style="50"/>
    <col min="2858" max="2858" width="18.42578125" style="50" bestFit="1" customWidth="1"/>
    <col min="2859" max="2859" width="16.140625" style="50" customWidth="1"/>
    <col min="2860" max="3073" width="10.85546875" style="50"/>
    <col min="3074" max="3074" width="42" style="50" customWidth="1"/>
    <col min="3075" max="3075" width="21.7109375" style="50" customWidth="1"/>
    <col min="3076" max="3087" width="20.7109375" style="50" customWidth="1"/>
    <col min="3088" max="3088" width="16.140625" style="50" customWidth="1"/>
    <col min="3089" max="3100" width="18.140625" style="50" customWidth="1"/>
    <col min="3101" max="3101" width="22.7109375" style="50" customWidth="1"/>
    <col min="3102" max="3102" width="19" style="50" customWidth="1"/>
    <col min="3103" max="3103" width="19.42578125" style="50" customWidth="1"/>
    <col min="3104" max="3104" width="6.28515625" style="50" bestFit="1" customWidth="1"/>
    <col min="3105" max="3105" width="22.85546875" style="50" customWidth="1"/>
    <col min="3106" max="3106" width="18.42578125" style="50" bestFit="1" customWidth="1"/>
    <col min="3107" max="3107" width="8.42578125" style="50" customWidth="1"/>
    <col min="3108" max="3108" width="18.42578125" style="50" bestFit="1" customWidth="1"/>
    <col min="3109" max="3109" width="5.7109375" style="50" customWidth="1"/>
    <col min="3110" max="3110" width="18.42578125" style="50" bestFit="1" customWidth="1"/>
    <col min="3111" max="3111" width="4.7109375" style="50" customWidth="1"/>
    <col min="3112" max="3112" width="23" style="50" bestFit="1" customWidth="1"/>
    <col min="3113" max="3113" width="10.85546875" style="50"/>
    <col min="3114" max="3114" width="18.42578125" style="50" bestFit="1" customWidth="1"/>
    <col min="3115" max="3115" width="16.140625" style="50" customWidth="1"/>
    <col min="3116" max="3329" width="10.85546875" style="50"/>
    <col min="3330" max="3330" width="42" style="50" customWidth="1"/>
    <col min="3331" max="3331" width="21.7109375" style="50" customWidth="1"/>
    <col min="3332" max="3343" width="20.7109375" style="50" customWidth="1"/>
    <col min="3344" max="3344" width="16.140625" style="50" customWidth="1"/>
    <col min="3345" max="3356" width="18.140625" style="50" customWidth="1"/>
    <col min="3357" max="3357" width="22.7109375" style="50" customWidth="1"/>
    <col min="3358" max="3358" width="19" style="50" customWidth="1"/>
    <col min="3359" max="3359" width="19.42578125" style="50" customWidth="1"/>
    <col min="3360" max="3360" width="6.28515625" style="50" bestFit="1" customWidth="1"/>
    <col min="3361" max="3361" width="22.85546875" style="50" customWidth="1"/>
    <col min="3362" max="3362" width="18.42578125" style="50" bestFit="1" customWidth="1"/>
    <col min="3363" max="3363" width="8.42578125" style="50" customWidth="1"/>
    <col min="3364" max="3364" width="18.42578125" style="50" bestFit="1" customWidth="1"/>
    <col min="3365" max="3365" width="5.7109375" style="50" customWidth="1"/>
    <col min="3366" max="3366" width="18.42578125" style="50" bestFit="1" customWidth="1"/>
    <col min="3367" max="3367" width="4.7109375" style="50" customWidth="1"/>
    <col min="3368" max="3368" width="23" style="50" bestFit="1" customWidth="1"/>
    <col min="3369" max="3369" width="10.85546875" style="50"/>
    <col min="3370" max="3370" width="18.42578125" style="50" bestFit="1" customWidth="1"/>
    <col min="3371" max="3371" width="16.140625" style="50" customWidth="1"/>
    <col min="3372" max="3585" width="10.85546875" style="50"/>
    <col min="3586" max="3586" width="42" style="50" customWidth="1"/>
    <col min="3587" max="3587" width="21.7109375" style="50" customWidth="1"/>
    <col min="3588" max="3599" width="20.7109375" style="50" customWidth="1"/>
    <col min="3600" max="3600" width="16.140625" style="50" customWidth="1"/>
    <col min="3601" max="3612" width="18.140625" style="50" customWidth="1"/>
    <col min="3613" max="3613" width="22.7109375" style="50" customWidth="1"/>
    <col min="3614" max="3614" width="19" style="50" customWidth="1"/>
    <col min="3615" max="3615" width="19.42578125" style="50" customWidth="1"/>
    <col min="3616" max="3616" width="6.28515625" style="50" bestFit="1" customWidth="1"/>
    <col min="3617" max="3617" width="22.85546875" style="50" customWidth="1"/>
    <col min="3618" max="3618" width="18.42578125" style="50" bestFit="1" customWidth="1"/>
    <col min="3619" max="3619" width="8.42578125" style="50" customWidth="1"/>
    <col min="3620" max="3620" width="18.42578125" style="50" bestFit="1" customWidth="1"/>
    <col min="3621" max="3621" width="5.7109375" style="50" customWidth="1"/>
    <col min="3622" max="3622" width="18.42578125" style="50" bestFit="1" customWidth="1"/>
    <col min="3623" max="3623" width="4.7109375" style="50" customWidth="1"/>
    <col min="3624" max="3624" width="23" style="50" bestFit="1" customWidth="1"/>
    <col min="3625" max="3625" width="10.85546875" style="50"/>
    <col min="3626" max="3626" width="18.42578125" style="50" bestFit="1" customWidth="1"/>
    <col min="3627" max="3627" width="16.140625" style="50" customWidth="1"/>
    <col min="3628" max="3841" width="10.85546875" style="50"/>
    <col min="3842" max="3842" width="42" style="50" customWidth="1"/>
    <col min="3843" max="3843" width="21.7109375" style="50" customWidth="1"/>
    <col min="3844" max="3855" width="20.7109375" style="50" customWidth="1"/>
    <col min="3856" max="3856" width="16.140625" style="50" customWidth="1"/>
    <col min="3857" max="3868" width="18.140625" style="50" customWidth="1"/>
    <col min="3869" max="3869" width="22.7109375" style="50" customWidth="1"/>
    <col min="3870" max="3870" width="19" style="50" customWidth="1"/>
    <col min="3871" max="3871" width="19.42578125" style="50" customWidth="1"/>
    <col min="3872" max="3872" width="6.28515625" style="50" bestFit="1" customWidth="1"/>
    <col min="3873" max="3873" width="22.85546875" style="50" customWidth="1"/>
    <col min="3874" max="3874" width="18.42578125" style="50" bestFit="1" customWidth="1"/>
    <col min="3875" max="3875" width="8.42578125" style="50" customWidth="1"/>
    <col min="3876" max="3876" width="18.42578125" style="50" bestFit="1" customWidth="1"/>
    <col min="3877" max="3877" width="5.7109375" style="50" customWidth="1"/>
    <col min="3878" max="3878" width="18.42578125" style="50" bestFit="1" customWidth="1"/>
    <col min="3879" max="3879" width="4.7109375" style="50" customWidth="1"/>
    <col min="3880" max="3880" width="23" style="50" bestFit="1" customWidth="1"/>
    <col min="3881" max="3881" width="10.85546875" style="50"/>
    <col min="3882" max="3882" width="18.42578125" style="50" bestFit="1" customWidth="1"/>
    <col min="3883" max="3883" width="16.140625" style="50" customWidth="1"/>
    <col min="3884" max="4097" width="10.85546875" style="50"/>
    <col min="4098" max="4098" width="42" style="50" customWidth="1"/>
    <col min="4099" max="4099" width="21.7109375" style="50" customWidth="1"/>
    <col min="4100" max="4111" width="20.7109375" style="50" customWidth="1"/>
    <col min="4112" max="4112" width="16.140625" style="50" customWidth="1"/>
    <col min="4113" max="4124" width="18.140625" style="50" customWidth="1"/>
    <col min="4125" max="4125" width="22.7109375" style="50" customWidth="1"/>
    <col min="4126" max="4126" width="19" style="50" customWidth="1"/>
    <col min="4127" max="4127" width="19.42578125" style="50" customWidth="1"/>
    <col min="4128" max="4128" width="6.28515625" style="50" bestFit="1" customWidth="1"/>
    <col min="4129" max="4129" width="22.85546875" style="50" customWidth="1"/>
    <col min="4130" max="4130" width="18.42578125" style="50" bestFit="1" customWidth="1"/>
    <col min="4131" max="4131" width="8.42578125" style="50" customWidth="1"/>
    <col min="4132" max="4132" width="18.42578125" style="50" bestFit="1" customWidth="1"/>
    <col min="4133" max="4133" width="5.7109375" style="50" customWidth="1"/>
    <col min="4134" max="4134" width="18.42578125" style="50" bestFit="1" customWidth="1"/>
    <col min="4135" max="4135" width="4.7109375" style="50" customWidth="1"/>
    <col min="4136" max="4136" width="23" style="50" bestFit="1" customWidth="1"/>
    <col min="4137" max="4137" width="10.85546875" style="50"/>
    <col min="4138" max="4138" width="18.42578125" style="50" bestFit="1" customWidth="1"/>
    <col min="4139" max="4139" width="16.140625" style="50" customWidth="1"/>
    <col min="4140" max="4353" width="10.85546875" style="50"/>
    <col min="4354" max="4354" width="42" style="50" customWidth="1"/>
    <col min="4355" max="4355" width="21.7109375" style="50" customWidth="1"/>
    <col min="4356" max="4367" width="20.7109375" style="50" customWidth="1"/>
    <col min="4368" max="4368" width="16.140625" style="50" customWidth="1"/>
    <col min="4369" max="4380" width="18.140625" style="50" customWidth="1"/>
    <col min="4381" max="4381" width="22.7109375" style="50" customWidth="1"/>
    <col min="4382" max="4382" width="19" style="50" customWidth="1"/>
    <col min="4383" max="4383" width="19.42578125" style="50" customWidth="1"/>
    <col min="4384" max="4384" width="6.28515625" style="50" bestFit="1" customWidth="1"/>
    <col min="4385" max="4385" width="22.85546875" style="50" customWidth="1"/>
    <col min="4386" max="4386" width="18.42578125" style="50" bestFit="1" customWidth="1"/>
    <col min="4387" max="4387" width="8.42578125" style="50" customWidth="1"/>
    <col min="4388" max="4388" width="18.42578125" style="50" bestFit="1" customWidth="1"/>
    <col min="4389" max="4389" width="5.7109375" style="50" customWidth="1"/>
    <col min="4390" max="4390" width="18.42578125" style="50" bestFit="1" customWidth="1"/>
    <col min="4391" max="4391" width="4.7109375" style="50" customWidth="1"/>
    <col min="4392" max="4392" width="23" style="50" bestFit="1" customWidth="1"/>
    <col min="4393" max="4393" width="10.85546875" style="50"/>
    <col min="4394" max="4394" width="18.42578125" style="50" bestFit="1" customWidth="1"/>
    <col min="4395" max="4395" width="16.140625" style="50" customWidth="1"/>
    <col min="4396" max="4609" width="10.85546875" style="50"/>
    <col min="4610" max="4610" width="42" style="50" customWidth="1"/>
    <col min="4611" max="4611" width="21.7109375" style="50" customWidth="1"/>
    <col min="4612" max="4623" width="20.7109375" style="50" customWidth="1"/>
    <col min="4624" max="4624" width="16.140625" style="50" customWidth="1"/>
    <col min="4625" max="4636" width="18.140625" style="50" customWidth="1"/>
    <col min="4637" max="4637" width="22.7109375" style="50" customWidth="1"/>
    <col min="4638" max="4638" width="19" style="50" customWidth="1"/>
    <col min="4639" max="4639" width="19.42578125" style="50" customWidth="1"/>
    <col min="4640" max="4640" width="6.28515625" style="50" bestFit="1" customWidth="1"/>
    <col min="4641" max="4641" width="22.85546875" style="50" customWidth="1"/>
    <col min="4642" max="4642" width="18.42578125" style="50" bestFit="1" customWidth="1"/>
    <col min="4643" max="4643" width="8.42578125" style="50" customWidth="1"/>
    <col min="4644" max="4644" width="18.42578125" style="50" bestFit="1" customWidth="1"/>
    <col min="4645" max="4645" width="5.7109375" style="50" customWidth="1"/>
    <col min="4646" max="4646" width="18.42578125" style="50" bestFit="1" customWidth="1"/>
    <col min="4647" max="4647" width="4.7109375" style="50" customWidth="1"/>
    <col min="4648" max="4648" width="23" style="50" bestFit="1" customWidth="1"/>
    <col min="4649" max="4649" width="10.85546875" style="50"/>
    <col min="4650" max="4650" width="18.42578125" style="50" bestFit="1" customWidth="1"/>
    <col min="4651" max="4651" width="16.140625" style="50" customWidth="1"/>
    <col min="4652" max="4865" width="10.85546875" style="50"/>
    <col min="4866" max="4866" width="42" style="50" customWidth="1"/>
    <col min="4867" max="4867" width="21.7109375" style="50" customWidth="1"/>
    <col min="4868" max="4879" width="20.7109375" style="50" customWidth="1"/>
    <col min="4880" max="4880" width="16.140625" style="50" customWidth="1"/>
    <col min="4881" max="4892" width="18.140625" style="50" customWidth="1"/>
    <col min="4893" max="4893" width="22.7109375" style="50" customWidth="1"/>
    <col min="4894" max="4894" width="19" style="50" customWidth="1"/>
    <col min="4895" max="4895" width="19.42578125" style="50" customWidth="1"/>
    <col min="4896" max="4896" width="6.28515625" style="50" bestFit="1" customWidth="1"/>
    <col min="4897" max="4897" width="22.85546875" style="50" customWidth="1"/>
    <col min="4898" max="4898" width="18.42578125" style="50" bestFit="1" customWidth="1"/>
    <col min="4899" max="4899" width="8.42578125" style="50" customWidth="1"/>
    <col min="4900" max="4900" width="18.42578125" style="50" bestFit="1" customWidth="1"/>
    <col min="4901" max="4901" width="5.7109375" style="50" customWidth="1"/>
    <col min="4902" max="4902" width="18.42578125" style="50" bestFit="1" customWidth="1"/>
    <col min="4903" max="4903" width="4.7109375" style="50" customWidth="1"/>
    <col min="4904" max="4904" width="23" style="50" bestFit="1" customWidth="1"/>
    <col min="4905" max="4905" width="10.85546875" style="50"/>
    <col min="4906" max="4906" width="18.42578125" style="50" bestFit="1" customWidth="1"/>
    <col min="4907" max="4907" width="16.140625" style="50" customWidth="1"/>
    <col min="4908" max="5121" width="10.85546875" style="50"/>
    <col min="5122" max="5122" width="42" style="50" customWidth="1"/>
    <col min="5123" max="5123" width="21.7109375" style="50" customWidth="1"/>
    <col min="5124" max="5135" width="20.7109375" style="50" customWidth="1"/>
    <col min="5136" max="5136" width="16.140625" style="50" customWidth="1"/>
    <col min="5137" max="5148" width="18.140625" style="50" customWidth="1"/>
    <col min="5149" max="5149" width="22.7109375" style="50" customWidth="1"/>
    <col min="5150" max="5150" width="19" style="50" customWidth="1"/>
    <col min="5151" max="5151" width="19.42578125" style="50" customWidth="1"/>
    <col min="5152" max="5152" width="6.28515625" style="50" bestFit="1" customWidth="1"/>
    <col min="5153" max="5153" width="22.85546875" style="50" customWidth="1"/>
    <col min="5154" max="5154" width="18.42578125" style="50" bestFit="1" customWidth="1"/>
    <col min="5155" max="5155" width="8.42578125" style="50" customWidth="1"/>
    <col min="5156" max="5156" width="18.42578125" style="50" bestFit="1" customWidth="1"/>
    <col min="5157" max="5157" width="5.7109375" style="50" customWidth="1"/>
    <col min="5158" max="5158" width="18.42578125" style="50" bestFit="1" customWidth="1"/>
    <col min="5159" max="5159" width="4.7109375" style="50" customWidth="1"/>
    <col min="5160" max="5160" width="23" style="50" bestFit="1" customWidth="1"/>
    <col min="5161" max="5161" width="10.85546875" style="50"/>
    <col min="5162" max="5162" width="18.42578125" style="50" bestFit="1" customWidth="1"/>
    <col min="5163" max="5163" width="16.140625" style="50" customWidth="1"/>
    <col min="5164" max="5377" width="10.85546875" style="50"/>
    <col min="5378" max="5378" width="42" style="50" customWidth="1"/>
    <col min="5379" max="5379" width="21.7109375" style="50" customWidth="1"/>
    <col min="5380" max="5391" width="20.7109375" style="50" customWidth="1"/>
    <col min="5392" max="5392" width="16.140625" style="50" customWidth="1"/>
    <col min="5393" max="5404" width="18.140625" style="50" customWidth="1"/>
    <col min="5405" max="5405" width="22.7109375" style="50" customWidth="1"/>
    <col min="5406" max="5406" width="19" style="50" customWidth="1"/>
    <col min="5407" max="5407" width="19.42578125" style="50" customWidth="1"/>
    <col min="5408" max="5408" width="6.28515625" style="50" bestFit="1" customWidth="1"/>
    <col min="5409" max="5409" width="22.85546875" style="50" customWidth="1"/>
    <col min="5410" max="5410" width="18.42578125" style="50" bestFit="1" customWidth="1"/>
    <col min="5411" max="5411" width="8.42578125" style="50" customWidth="1"/>
    <col min="5412" max="5412" width="18.42578125" style="50" bestFit="1" customWidth="1"/>
    <col min="5413" max="5413" width="5.7109375" style="50" customWidth="1"/>
    <col min="5414" max="5414" width="18.42578125" style="50" bestFit="1" customWidth="1"/>
    <col min="5415" max="5415" width="4.7109375" style="50" customWidth="1"/>
    <col min="5416" max="5416" width="23" style="50" bestFit="1" customWidth="1"/>
    <col min="5417" max="5417" width="10.85546875" style="50"/>
    <col min="5418" max="5418" width="18.42578125" style="50" bestFit="1" customWidth="1"/>
    <col min="5419" max="5419" width="16.140625" style="50" customWidth="1"/>
    <col min="5420" max="5633" width="10.85546875" style="50"/>
    <col min="5634" max="5634" width="42" style="50" customWidth="1"/>
    <col min="5635" max="5635" width="21.7109375" style="50" customWidth="1"/>
    <col min="5636" max="5647" width="20.7109375" style="50" customWidth="1"/>
    <col min="5648" max="5648" width="16.140625" style="50" customWidth="1"/>
    <col min="5649" max="5660" width="18.140625" style="50" customWidth="1"/>
    <col min="5661" max="5661" width="22.7109375" style="50" customWidth="1"/>
    <col min="5662" max="5662" width="19" style="50" customWidth="1"/>
    <col min="5663" max="5663" width="19.42578125" style="50" customWidth="1"/>
    <col min="5664" max="5664" width="6.28515625" style="50" bestFit="1" customWidth="1"/>
    <col min="5665" max="5665" width="22.85546875" style="50" customWidth="1"/>
    <col min="5666" max="5666" width="18.42578125" style="50" bestFit="1" customWidth="1"/>
    <col min="5667" max="5667" width="8.42578125" style="50" customWidth="1"/>
    <col min="5668" max="5668" width="18.42578125" style="50" bestFit="1" customWidth="1"/>
    <col min="5669" max="5669" width="5.7109375" style="50" customWidth="1"/>
    <col min="5670" max="5670" width="18.42578125" style="50" bestFit="1" customWidth="1"/>
    <col min="5671" max="5671" width="4.7109375" style="50" customWidth="1"/>
    <col min="5672" max="5672" width="23" style="50" bestFit="1" customWidth="1"/>
    <col min="5673" max="5673" width="10.85546875" style="50"/>
    <col min="5674" max="5674" width="18.42578125" style="50" bestFit="1" customWidth="1"/>
    <col min="5675" max="5675" width="16.140625" style="50" customWidth="1"/>
    <col min="5676" max="5889" width="10.85546875" style="50"/>
    <col min="5890" max="5890" width="42" style="50" customWidth="1"/>
    <col min="5891" max="5891" width="21.7109375" style="50" customWidth="1"/>
    <col min="5892" max="5903" width="20.7109375" style="50" customWidth="1"/>
    <col min="5904" max="5904" width="16.140625" style="50" customWidth="1"/>
    <col min="5905" max="5916" width="18.140625" style="50" customWidth="1"/>
    <col min="5917" max="5917" width="22.7109375" style="50" customWidth="1"/>
    <col min="5918" max="5918" width="19" style="50" customWidth="1"/>
    <col min="5919" max="5919" width="19.42578125" style="50" customWidth="1"/>
    <col min="5920" max="5920" width="6.28515625" style="50" bestFit="1" customWidth="1"/>
    <col min="5921" max="5921" width="22.85546875" style="50" customWidth="1"/>
    <col min="5922" max="5922" width="18.42578125" style="50" bestFit="1" customWidth="1"/>
    <col min="5923" max="5923" width="8.42578125" style="50" customWidth="1"/>
    <col min="5924" max="5924" width="18.42578125" style="50" bestFit="1" customWidth="1"/>
    <col min="5925" max="5925" width="5.7109375" style="50" customWidth="1"/>
    <col min="5926" max="5926" width="18.42578125" style="50" bestFit="1" customWidth="1"/>
    <col min="5927" max="5927" width="4.7109375" style="50" customWidth="1"/>
    <col min="5928" max="5928" width="23" style="50" bestFit="1" customWidth="1"/>
    <col min="5929" max="5929" width="10.85546875" style="50"/>
    <col min="5930" max="5930" width="18.42578125" style="50" bestFit="1" customWidth="1"/>
    <col min="5931" max="5931" width="16.140625" style="50" customWidth="1"/>
    <col min="5932" max="6145" width="10.85546875" style="50"/>
    <col min="6146" max="6146" width="42" style="50" customWidth="1"/>
    <col min="6147" max="6147" width="21.7109375" style="50" customWidth="1"/>
    <col min="6148" max="6159" width="20.7109375" style="50" customWidth="1"/>
    <col min="6160" max="6160" width="16.140625" style="50" customWidth="1"/>
    <col min="6161" max="6172" width="18.140625" style="50" customWidth="1"/>
    <col min="6173" max="6173" width="22.7109375" style="50" customWidth="1"/>
    <col min="6174" max="6174" width="19" style="50" customWidth="1"/>
    <col min="6175" max="6175" width="19.42578125" style="50" customWidth="1"/>
    <col min="6176" max="6176" width="6.28515625" style="50" bestFit="1" customWidth="1"/>
    <col min="6177" max="6177" width="22.85546875" style="50" customWidth="1"/>
    <col min="6178" max="6178" width="18.42578125" style="50" bestFit="1" customWidth="1"/>
    <col min="6179" max="6179" width="8.42578125" style="50" customWidth="1"/>
    <col min="6180" max="6180" width="18.42578125" style="50" bestFit="1" customWidth="1"/>
    <col min="6181" max="6181" width="5.7109375" style="50" customWidth="1"/>
    <col min="6182" max="6182" width="18.42578125" style="50" bestFit="1" customWidth="1"/>
    <col min="6183" max="6183" width="4.7109375" style="50" customWidth="1"/>
    <col min="6184" max="6184" width="23" style="50" bestFit="1" customWidth="1"/>
    <col min="6185" max="6185" width="10.85546875" style="50"/>
    <col min="6186" max="6186" width="18.42578125" style="50" bestFit="1" customWidth="1"/>
    <col min="6187" max="6187" width="16.140625" style="50" customWidth="1"/>
    <col min="6188" max="6401" width="10.85546875" style="50"/>
    <col min="6402" max="6402" width="42" style="50" customWidth="1"/>
    <col min="6403" max="6403" width="21.7109375" style="50" customWidth="1"/>
    <col min="6404" max="6415" width="20.7109375" style="50" customWidth="1"/>
    <col min="6416" max="6416" width="16.140625" style="50" customWidth="1"/>
    <col min="6417" max="6428" width="18.140625" style="50" customWidth="1"/>
    <col min="6429" max="6429" width="22.7109375" style="50" customWidth="1"/>
    <col min="6430" max="6430" width="19" style="50" customWidth="1"/>
    <col min="6431" max="6431" width="19.42578125" style="50" customWidth="1"/>
    <col min="6432" max="6432" width="6.28515625" style="50" bestFit="1" customWidth="1"/>
    <col min="6433" max="6433" width="22.85546875" style="50" customWidth="1"/>
    <col min="6434" max="6434" width="18.42578125" style="50" bestFit="1" customWidth="1"/>
    <col min="6435" max="6435" width="8.42578125" style="50" customWidth="1"/>
    <col min="6436" max="6436" width="18.42578125" style="50" bestFit="1" customWidth="1"/>
    <col min="6437" max="6437" width="5.7109375" style="50" customWidth="1"/>
    <col min="6438" max="6438" width="18.42578125" style="50" bestFit="1" customWidth="1"/>
    <col min="6439" max="6439" width="4.7109375" style="50" customWidth="1"/>
    <col min="6440" max="6440" width="23" style="50" bestFit="1" customWidth="1"/>
    <col min="6441" max="6441" width="10.85546875" style="50"/>
    <col min="6442" max="6442" width="18.42578125" style="50" bestFit="1" customWidth="1"/>
    <col min="6443" max="6443" width="16.140625" style="50" customWidth="1"/>
    <col min="6444" max="6657" width="10.85546875" style="50"/>
    <col min="6658" max="6658" width="42" style="50" customWidth="1"/>
    <col min="6659" max="6659" width="21.7109375" style="50" customWidth="1"/>
    <col min="6660" max="6671" width="20.7109375" style="50" customWidth="1"/>
    <col min="6672" max="6672" width="16.140625" style="50" customWidth="1"/>
    <col min="6673" max="6684" width="18.140625" style="50" customWidth="1"/>
    <col min="6685" max="6685" width="22.7109375" style="50" customWidth="1"/>
    <col min="6686" max="6686" width="19" style="50" customWidth="1"/>
    <col min="6687" max="6687" width="19.42578125" style="50" customWidth="1"/>
    <col min="6688" max="6688" width="6.28515625" style="50" bestFit="1" customWidth="1"/>
    <col min="6689" max="6689" width="22.85546875" style="50" customWidth="1"/>
    <col min="6690" max="6690" width="18.42578125" style="50" bestFit="1" customWidth="1"/>
    <col min="6691" max="6691" width="8.42578125" style="50" customWidth="1"/>
    <col min="6692" max="6692" width="18.42578125" style="50" bestFit="1" customWidth="1"/>
    <col min="6693" max="6693" width="5.7109375" style="50" customWidth="1"/>
    <col min="6694" max="6694" width="18.42578125" style="50" bestFit="1" customWidth="1"/>
    <col min="6695" max="6695" width="4.7109375" style="50" customWidth="1"/>
    <col min="6696" max="6696" width="23" style="50" bestFit="1" customWidth="1"/>
    <col min="6697" max="6697" width="10.85546875" style="50"/>
    <col min="6698" max="6698" width="18.42578125" style="50" bestFit="1" customWidth="1"/>
    <col min="6699" max="6699" width="16.140625" style="50" customWidth="1"/>
    <col min="6700" max="6913" width="10.85546875" style="50"/>
    <col min="6914" max="6914" width="42" style="50" customWidth="1"/>
    <col min="6915" max="6915" width="21.7109375" style="50" customWidth="1"/>
    <col min="6916" max="6927" width="20.7109375" style="50" customWidth="1"/>
    <col min="6928" max="6928" width="16.140625" style="50" customWidth="1"/>
    <col min="6929" max="6940" width="18.140625" style="50" customWidth="1"/>
    <col min="6941" max="6941" width="22.7109375" style="50" customWidth="1"/>
    <col min="6942" max="6942" width="19" style="50" customWidth="1"/>
    <col min="6943" max="6943" width="19.42578125" style="50" customWidth="1"/>
    <col min="6944" max="6944" width="6.28515625" style="50" bestFit="1" customWidth="1"/>
    <col min="6945" max="6945" width="22.85546875" style="50" customWidth="1"/>
    <col min="6946" max="6946" width="18.42578125" style="50" bestFit="1" customWidth="1"/>
    <col min="6947" max="6947" width="8.42578125" style="50" customWidth="1"/>
    <col min="6948" max="6948" width="18.42578125" style="50" bestFit="1" customWidth="1"/>
    <col min="6949" max="6949" width="5.7109375" style="50" customWidth="1"/>
    <col min="6950" max="6950" width="18.42578125" style="50" bestFit="1" customWidth="1"/>
    <col min="6951" max="6951" width="4.7109375" style="50" customWidth="1"/>
    <col min="6952" max="6952" width="23" style="50" bestFit="1" customWidth="1"/>
    <col min="6953" max="6953" width="10.85546875" style="50"/>
    <col min="6954" max="6954" width="18.42578125" style="50" bestFit="1" customWidth="1"/>
    <col min="6955" max="6955" width="16.140625" style="50" customWidth="1"/>
    <col min="6956" max="7169" width="10.85546875" style="50"/>
    <col min="7170" max="7170" width="42" style="50" customWidth="1"/>
    <col min="7171" max="7171" width="21.7109375" style="50" customWidth="1"/>
    <col min="7172" max="7183" width="20.7109375" style="50" customWidth="1"/>
    <col min="7184" max="7184" width="16.140625" style="50" customWidth="1"/>
    <col min="7185" max="7196" width="18.140625" style="50" customWidth="1"/>
    <col min="7197" max="7197" width="22.7109375" style="50" customWidth="1"/>
    <col min="7198" max="7198" width="19" style="50" customWidth="1"/>
    <col min="7199" max="7199" width="19.42578125" style="50" customWidth="1"/>
    <col min="7200" max="7200" width="6.28515625" style="50" bestFit="1" customWidth="1"/>
    <col min="7201" max="7201" width="22.85546875" style="50" customWidth="1"/>
    <col min="7202" max="7202" width="18.42578125" style="50" bestFit="1" customWidth="1"/>
    <col min="7203" max="7203" width="8.42578125" style="50" customWidth="1"/>
    <col min="7204" max="7204" width="18.42578125" style="50" bestFit="1" customWidth="1"/>
    <col min="7205" max="7205" width="5.7109375" style="50" customWidth="1"/>
    <col min="7206" max="7206" width="18.42578125" style="50" bestFit="1" customWidth="1"/>
    <col min="7207" max="7207" width="4.7109375" style="50" customWidth="1"/>
    <col min="7208" max="7208" width="23" style="50" bestFit="1" customWidth="1"/>
    <col min="7209" max="7209" width="10.85546875" style="50"/>
    <col min="7210" max="7210" width="18.42578125" style="50" bestFit="1" customWidth="1"/>
    <col min="7211" max="7211" width="16.140625" style="50" customWidth="1"/>
    <col min="7212" max="7425" width="10.85546875" style="50"/>
    <col min="7426" max="7426" width="42" style="50" customWidth="1"/>
    <col min="7427" max="7427" width="21.7109375" style="50" customWidth="1"/>
    <col min="7428" max="7439" width="20.7109375" style="50" customWidth="1"/>
    <col min="7440" max="7440" width="16.140625" style="50" customWidth="1"/>
    <col min="7441" max="7452" width="18.140625" style="50" customWidth="1"/>
    <col min="7453" max="7453" width="22.7109375" style="50" customWidth="1"/>
    <col min="7454" max="7454" width="19" style="50" customWidth="1"/>
    <col min="7455" max="7455" width="19.42578125" style="50" customWidth="1"/>
    <col min="7456" max="7456" width="6.28515625" style="50" bestFit="1" customWidth="1"/>
    <col min="7457" max="7457" width="22.85546875" style="50" customWidth="1"/>
    <col min="7458" max="7458" width="18.42578125" style="50" bestFit="1" customWidth="1"/>
    <col min="7459" max="7459" width="8.42578125" style="50" customWidth="1"/>
    <col min="7460" max="7460" width="18.42578125" style="50" bestFit="1" customWidth="1"/>
    <col min="7461" max="7461" width="5.7109375" style="50" customWidth="1"/>
    <col min="7462" max="7462" width="18.42578125" style="50" bestFit="1" customWidth="1"/>
    <col min="7463" max="7463" width="4.7109375" style="50" customWidth="1"/>
    <col min="7464" max="7464" width="23" style="50" bestFit="1" customWidth="1"/>
    <col min="7465" max="7465" width="10.85546875" style="50"/>
    <col min="7466" max="7466" width="18.42578125" style="50" bestFit="1" customWidth="1"/>
    <col min="7467" max="7467" width="16.140625" style="50" customWidth="1"/>
    <col min="7468" max="7681" width="10.85546875" style="50"/>
    <col min="7682" max="7682" width="42" style="50" customWidth="1"/>
    <col min="7683" max="7683" width="21.7109375" style="50" customWidth="1"/>
    <col min="7684" max="7695" width="20.7109375" style="50" customWidth="1"/>
    <col min="7696" max="7696" width="16.140625" style="50" customWidth="1"/>
    <col min="7697" max="7708" width="18.140625" style="50" customWidth="1"/>
    <col min="7709" max="7709" width="22.7109375" style="50" customWidth="1"/>
    <col min="7710" max="7710" width="19" style="50" customWidth="1"/>
    <col min="7711" max="7711" width="19.42578125" style="50" customWidth="1"/>
    <col min="7712" max="7712" width="6.28515625" style="50" bestFit="1" customWidth="1"/>
    <col min="7713" max="7713" width="22.85546875" style="50" customWidth="1"/>
    <col min="7714" max="7714" width="18.42578125" style="50" bestFit="1" customWidth="1"/>
    <col min="7715" max="7715" width="8.42578125" style="50" customWidth="1"/>
    <col min="7716" max="7716" width="18.42578125" style="50" bestFit="1" customWidth="1"/>
    <col min="7717" max="7717" width="5.7109375" style="50" customWidth="1"/>
    <col min="7718" max="7718" width="18.42578125" style="50" bestFit="1" customWidth="1"/>
    <col min="7719" max="7719" width="4.7109375" style="50" customWidth="1"/>
    <col min="7720" max="7720" width="23" style="50" bestFit="1" customWidth="1"/>
    <col min="7721" max="7721" width="10.85546875" style="50"/>
    <col min="7722" max="7722" width="18.42578125" style="50" bestFit="1" customWidth="1"/>
    <col min="7723" max="7723" width="16.140625" style="50" customWidth="1"/>
    <col min="7724" max="7937" width="10.85546875" style="50"/>
    <col min="7938" max="7938" width="42" style="50" customWidth="1"/>
    <col min="7939" max="7939" width="21.7109375" style="50" customWidth="1"/>
    <col min="7940" max="7951" width="20.7109375" style="50" customWidth="1"/>
    <col min="7952" max="7952" width="16.140625" style="50" customWidth="1"/>
    <col min="7953" max="7964" width="18.140625" style="50" customWidth="1"/>
    <col min="7965" max="7965" width="22.7109375" style="50" customWidth="1"/>
    <col min="7966" max="7966" width="19" style="50" customWidth="1"/>
    <col min="7967" max="7967" width="19.42578125" style="50" customWidth="1"/>
    <col min="7968" max="7968" width="6.28515625" style="50" bestFit="1" customWidth="1"/>
    <col min="7969" max="7969" width="22.85546875" style="50" customWidth="1"/>
    <col min="7970" max="7970" width="18.42578125" style="50" bestFit="1" customWidth="1"/>
    <col min="7971" max="7971" width="8.42578125" style="50" customWidth="1"/>
    <col min="7972" max="7972" width="18.42578125" style="50" bestFit="1" customWidth="1"/>
    <col min="7973" max="7973" width="5.7109375" style="50" customWidth="1"/>
    <col min="7974" max="7974" width="18.42578125" style="50" bestFit="1" customWidth="1"/>
    <col min="7975" max="7975" width="4.7109375" style="50" customWidth="1"/>
    <col min="7976" max="7976" width="23" style="50" bestFit="1" customWidth="1"/>
    <col min="7977" max="7977" width="10.85546875" style="50"/>
    <col min="7978" max="7978" width="18.42578125" style="50" bestFit="1" customWidth="1"/>
    <col min="7979" max="7979" width="16.140625" style="50" customWidth="1"/>
    <col min="7980" max="8193" width="10.85546875" style="50"/>
    <col min="8194" max="8194" width="42" style="50" customWidth="1"/>
    <col min="8195" max="8195" width="21.7109375" style="50" customWidth="1"/>
    <col min="8196" max="8207" width="20.7109375" style="50" customWidth="1"/>
    <col min="8208" max="8208" width="16.140625" style="50" customWidth="1"/>
    <col min="8209" max="8220" width="18.140625" style="50" customWidth="1"/>
    <col min="8221" max="8221" width="22.7109375" style="50" customWidth="1"/>
    <col min="8222" max="8222" width="19" style="50" customWidth="1"/>
    <col min="8223" max="8223" width="19.42578125" style="50" customWidth="1"/>
    <col min="8224" max="8224" width="6.28515625" style="50" bestFit="1" customWidth="1"/>
    <col min="8225" max="8225" width="22.85546875" style="50" customWidth="1"/>
    <col min="8226" max="8226" width="18.42578125" style="50" bestFit="1" customWidth="1"/>
    <col min="8227" max="8227" width="8.42578125" style="50" customWidth="1"/>
    <col min="8228" max="8228" width="18.42578125" style="50" bestFit="1" customWidth="1"/>
    <col min="8229" max="8229" width="5.7109375" style="50" customWidth="1"/>
    <col min="8230" max="8230" width="18.42578125" style="50" bestFit="1" customWidth="1"/>
    <col min="8231" max="8231" width="4.7109375" style="50" customWidth="1"/>
    <col min="8232" max="8232" width="23" style="50" bestFit="1" customWidth="1"/>
    <col min="8233" max="8233" width="10.85546875" style="50"/>
    <col min="8234" max="8234" width="18.42578125" style="50" bestFit="1" customWidth="1"/>
    <col min="8235" max="8235" width="16.140625" style="50" customWidth="1"/>
    <col min="8236" max="8449" width="10.85546875" style="50"/>
    <col min="8450" max="8450" width="42" style="50" customWidth="1"/>
    <col min="8451" max="8451" width="21.7109375" style="50" customWidth="1"/>
    <col min="8452" max="8463" width="20.7109375" style="50" customWidth="1"/>
    <col min="8464" max="8464" width="16.140625" style="50" customWidth="1"/>
    <col min="8465" max="8476" width="18.140625" style="50" customWidth="1"/>
    <col min="8477" max="8477" width="22.7109375" style="50" customWidth="1"/>
    <col min="8478" max="8478" width="19" style="50" customWidth="1"/>
    <col min="8479" max="8479" width="19.42578125" style="50" customWidth="1"/>
    <col min="8480" max="8480" width="6.28515625" style="50" bestFit="1" customWidth="1"/>
    <col min="8481" max="8481" width="22.85546875" style="50" customWidth="1"/>
    <col min="8482" max="8482" width="18.42578125" style="50" bestFit="1" customWidth="1"/>
    <col min="8483" max="8483" width="8.42578125" style="50" customWidth="1"/>
    <col min="8484" max="8484" width="18.42578125" style="50" bestFit="1" customWidth="1"/>
    <col min="8485" max="8485" width="5.7109375" style="50" customWidth="1"/>
    <col min="8486" max="8486" width="18.42578125" style="50" bestFit="1" customWidth="1"/>
    <col min="8487" max="8487" width="4.7109375" style="50" customWidth="1"/>
    <col min="8488" max="8488" width="23" style="50" bestFit="1" customWidth="1"/>
    <col min="8489" max="8489" width="10.85546875" style="50"/>
    <col min="8490" max="8490" width="18.42578125" style="50" bestFit="1" customWidth="1"/>
    <col min="8491" max="8491" width="16.140625" style="50" customWidth="1"/>
    <col min="8492" max="8705" width="10.85546875" style="50"/>
    <col min="8706" max="8706" width="42" style="50" customWidth="1"/>
    <col min="8707" max="8707" width="21.7109375" style="50" customWidth="1"/>
    <col min="8708" max="8719" width="20.7109375" style="50" customWidth="1"/>
    <col min="8720" max="8720" width="16.140625" style="50" customWidth="1"/>
    <col min="8721" max="8732" width="18.140625" style="50" customWidth="1"/>
    <col min="8733" max="8733" width="22.7109375" style="50" customWidth="1"/>
    <col min="8734" max="8734" width="19" style="50" customWidth="1"/>
    <col min="8735" max="8735" width="19.42578125" style="50" customWidth="1"/>
    <col min="8736" max="8736" width="6.28515625" style="50" bestFit="1" customWidth="1"/>
    <col min="8737" max="8737" width="22.85546875" style="50" customWidth="1"/>
    <col min="8738" max="8738" width="18.42578125" style="50" bestFit="1" customWidth="1"/>
    <col min="8739" max="8739" width="8.42578125" style="50" customWidth="1"/>
    <col min="8740" max="8740" width="18.42578125" style="50" bestFit="1" customWidth="1"/>
    <col min="8741" max="8741" width="5.7109375" style="50" customWidth="1"/>
    <col min="8742" max="8742" width="18.42578125" style="50" bestFit="1" customWidth="1"/>
    <col min="8743" max="8743" width="4.7109375" style="50" customWidth="1"/>
    <col min="8744" max="8744" width="23" style="50" bestFit="1" customWidth="1"/>
    <col min="8745" max="8745" width="10.85546875" style="50"/>
    <col min="8746" max="8746" width="18.42578125" style="50" bestFit="1" customWidth="1"/>
    <col min="8747" max="8747" width="16.140625" style="50" customWidth="1"/>
    <col min="8748" max="8961" width="10.85546875" style="50"/>
    <col min="8962" max="8962" width="42" style="50" customWidth="1"/>
    <col min="8963" max="8963" width="21.7109375" style="50" customWidth="1"/>
    <col min="8964" max="8975" width="20.7109375" style="50" customWidth="1"/>
    <col min="8976" max="8976" width="16.140625" style="50" customWidth="1"/>
    <col min="8977" max="8988" width="18.140625" style="50" customWidth="1"/>
    <col min="8989" max="8989" width="22.7109375" style="50" customWidth="1"/>
    <col min="8990" max="8990" width="19" style="50" customWidth="1"/>
    <col min="8991" max="8991" width="19.42578125" style="50" customWidth="1"/>
    <col min="8992" max="8992" width="6.28515625" style="50" bestFit="1" customWidth="1"/>
    <col min="8993" max="8993" width="22.85546875" style="50" customWidth="1"/>
    <col min="8994" max="8994" width="18.42578125" style="50" bestFit="1" customWidth="1"/>
    <col min="8995" max="8995" width="8.42578125" style="50" customWidth="1"/>
    <col min="8996" max="8996" width="18.42578125" style="50" bestFit="1" customWidth="1"/>
    <col min="8997" max="8997" width="5.7109375" style="50" customWidth="1"/>
    <col min="8998" max="8998" width="18.42578125" style="50" bestFit="1" customWidth="1"/>
    <col min="8999" max="8999" width="4.7109375" style="50" customWidth="1"/>
    <col min="9000" max="9000" width="23" style="50" bestFit="1" customWidth="1"/>
    <col min="9001" max="9001" width="10.85546875" style="50"/>
    <col min="9002" max="9002" width="18.42578125" style="50" bestFit="1" customWidth="1"/>
    <col min="9003" max="9003" width="16.140625" style="50" customWidth="1"/>
    <col min="9004" max="9217" width="10.85546875" style="50"/>
    <col min="9218" max="9218" width="42" style="50" customWidth="1"/>
    <col min="9219" max="9219" width="21.7109375" style="50" customWidth="1"/>
    <col min="9220" max="9231" width="20.7109375" style="50" customWidth="1"/>
    <col min="9232" max="9232" width="16.140625" style="50" customWidth="1"/>
    <col min="9233" max="9244" width="18.140625" style="50" customWidth="1"/>
    <col min="9245" max="9245" width="22.7109375" style="50" customWidth="1"/>
    <col min="9246" max="9246" width="19" style="50" customWidth="1"/>
    <col min="9247" max="9247" width="19.42578125" style="50" customWidth="1"/>
    <col min="9248" max="9248" width="6.28515625" style="50" bestFit="1" customWidth="1"/>
    <col min="9249" max="9249" width="22.85546875" style="50" customWidth="1"/>
    <col min="9250" max="9250" width="18.42578125" style="50" bestFit="1" customWidth="1"/>
    <col min="9251" max="9251" width="8.42578125" style="50" customWidth="1"/>
    <col min="9252" max="9252" width="18.42578125" style="50" bestFit="1" customWidth="1"/>
    <col min="9253" max="9253" width="5.7109375" style="50" customWidth="1"/>
    <col min="9254" max="9254" width="18.42578125" style="50" bestFit="1" customWidth="1"/>
    <col min="9255" max="9255" width="4.7109375" style="50" customWidth="1"/>
    <col min="9256" max="9256" width="23" style="50" bestFit="1" customWidth="1"/>
    <col min="9257" max="9257" width="10.85546875" style="50"/>
    <col min="9258" max="9258" width="18.42578125" style="50" bestFit="1" customWidth="1"/>
    <col min="9259" max="9259" width="16.140625" style="50" customWidth="1"/>
    <col min="9260" max="9473" width="10.85546875" style="50"/>
    <col min="9474" max="9474" width="42" style="50" customWidth="1"/>
    <col min="9475" max="9475" width="21.7109375" style="50" customWidth="1"/>
    <col min="9476" max="9487" width="20.7109375" style="50" customWidth="1"/>
    <col min="9488" max="9488" width="16.140625" style="50" customWidth="1"/>
    <col min="9489" max="9500" width="18.140625" style="50" customWidth="1"/>
    <col min="9501" max="9501" width="22.7109375" style="50" customWidth="1"/>
    <col min="9502" max="9502" width="19" style="50" customWidth="1"/>
    <col min="9503" max="9503" width="19.42578125" style="50" customWidth="1"/>
    <col min="9504" max="9504" width="6.28515625" style="50" bestFit="1" customWidth="1"/>
    <col min="9505" max="9505" width="22.85546875" style="50" customWidth="1"/>
    <col min="9506" max="9506" width="18.42578125" style="50" bestFit="1" customWidth="1"/>
    <col min="9507" max="9507" width="8.42578125" style="50" customWidth="1"/>
    <col min="9508" max="9508" width="18.42578125" style="50" bestFit="1" customWidth="1"/>
    <col min="9509" max="9509" width="5.7109375" style="50" customWidth="1"/>
    <col min="9510" max="9510" width="18.42578125" style="50" bestFit="1" customWidth="1"/>
    <col min="9511" max="9511" width="4.7109375" style="50" customWidth="1"/>
    <col min="9512" max="9512" width="23" style="50" bestFit="1" customWidth="1"/>
    <col min="9513" max="9513" width="10.85546875" style="50"/>
    <col min="9514" max="9514" width="18.42578125" style="50" bestFit="1" customWidth="1"/>
    <col min="9515" max="9515" width="16.140625" style="50" customWidth="1"/>
    <col min="9516" max="9729" width="10.85546875" style="50"/>
    <col min="9730" max="9730" width="42" style="50" customWidth="1"/>
    <col min="9731" max="9731" width="21.7109375" style="50" customWidth="1"/>
    <col min="9732" max="9743" width="20.7109375" style="50" customWidth="1"/>
    <col min="9744" max="9744" width="16.140625" style="50" customWidth="1"/>
    <col min="9745" max="9756" width="18.140625" style="50" customWidth="1"/>
    <col min="9757" max="9757" width="22.7109375" style="50" customWidth="1"/>
    <col min="9758" max="9758" width="19" style="50" customWidth="1"/>
    <col min="9759" max="9759" width="19.42578125" style="50" customWidth="1"/>
    <col min="9760" max="9760" width="6.28515625" style="50" bestFit="1" customWidth="1"/>
    <col min="9761" max="9761" width="22.85546875" style="50" customWidth="1"/>
    <col min="9762" max="9762" width="18.42578125" style="50" bestFit="1" customWidth="1"/>
    <col min="9763" max="9763" width="8.42578125" style="50" customWidth="1"/>
    <col min="9764" max="9764" width="18.42578125" style="50" bestFit="1" customWidth="1"/>
    <col min="9765" max="9765" width="5.7109375" style="50" customWidth="1"/>
    <col min="9766" max="9766" width="18.42578125" style="50" bestFit="1" customWidth="1"/>
    <col min="9767" max="9767" width="4.7109375" style="50" customWidth="1"/>
    <col min="9768" max="9768" width="23" style="50" bestFit="1" customWidth="1"/>
    <col min="9769" max="9769" width="10.85546875" style="50"/>
    <col min="9770" max="9770" width="18.42578125" style="50" bestFit="1" customWidth="1"/>
    <col min="9771" max="9771" width="16.140625" style="50" customWidth="1"/>
    <col min="9772" max="9985" width="10.85546875" style="50"/>
    <col min="9986" max="9986" width="42" style="50" customWidth="1"/>
    <col min="9987" max="9987" width="21.7109375" style="50" customWidth="1"/>
    <col min="9988" max="9999" width="20.7109375" style="50" customWidth="1"/>
    <col min="10000" max="10000" width="16.140625" style="50" customWidth="1"/>
    <col min="10001" max="10012" width="18.140625" style="50" customWidth="1"/>
    <col min="10013" max="10013" width="22.7109375" style="50" customWidth="1"/>
    <col min="10014" max="10014" width="19" style="50" customWidth="1"/>
    <col min="10015" max="10015" width="19.42578125" style="50" customWidth="1"/>
    <col min="10016" max="10016" width="6.28515625" style="50" bestFit="1" customWidth="1"/>
    <col min="10017" max="10017" width="22.85546875" style="50" customWidth="1"/>
    <col min="10018" max="10018" width="18.42578125" style="50" bestFit="1" customWidth="1"/>
    <col min="10019" max="10019" width="8.42578125" style="50" customWidth="1"/>
    <col min="10020" max="10020" width="18.42578125" style="50" bestFit="1" customWidth="1"/>
    <col min="10021" max="10021" width="5.7109375" style="50" customWidth="1"/>
    <col min="10022" max="10022" width="18.42578125" style="50" bestFit="1" customWidth="1"/>
    <col min="10023" max="10023" width="4.7109375" style="50" customWidth="1"/>
    <col min="10024" max="10024" width="23" style="50" bestFit="1" customWidth="1"/>
    <col min="10025" max="10025" width="10.85546875" style="50"/>
    <col min="10026" max="10026" width="18.42578125" style="50" bestFit="1" customWidth="1"/>
    <col min="10027" max="10027" width="16.140625" style="50" customWidth="1"/>
    <col min="10028" max="10241" width="10.85546875" style="50"/>
    <col min="10242" max="10242" width="42" style="50" customWidth="1"/>
    <col min="10243" max="10243" width="21.7109375" style="50" customWidth="1"/>
    <col min="10244" max="10255" width="20.7109375" style="50" customWidth="1"/>
    <col min="10256" max="10256" width="16.140625" style="50" customWidth="1"/>
    <col min="10257" max="10268" width="18.140625" style="50" customWidth="1"/>
    <col min="10269" max="10269" width="22.7109375" style="50" customWidth="1"/>
    <col min="10270" max="10270" width="19" style="50" customWidth="1"/>
    <col min="10271" max="10271" width="19.42578125" style="50" customWidth="1"/>
    <col min="10272" max="10272" width="6.28515625" style="50" bestFit="1" customWidth="1"/>
    <col min="10273" max="10273" width="22.85546875" style="50" customWidth="1"/>
    <col min="10274" max="10274" width="18.42578125" style="50" bestFit="1" customWidth="1"/>
    <col min="10275" max="10275" width="8.42578125" style="50" customWidth="1"/>
    <col min="10276" max="10276" width="18.42578125" style="50" bestFit="1" customWidth="1"/>
    <col min="10277" max="10277" width="5.7109375" style="50" customWidth="1"/>
    <col min="10278" max="10278" width="18.42578125" style="50" bestFit="1" customWidth="1"/>
    <col min="10279" max="10279" width="4.7109375" style="50" customWidth="1"/>
    <col min="10280" max="10280" width="23" style="50" bestFit="1" customWidth="1"/>
    <col min="10281" max="10281" width="10.85546875" style="50"/>
    <col min="10282" max="10282" width="18.42578125" style="50" bestFit="1" customWidth="1"/>
    <col min="10283" max="10283" width="16.140625" style="50" customWidth="1"/>
    <col min="10284" max="10497" width="10.85546875" style="50"/>
    <col min="10498" max="10498" width="42" style="50" customWidth="1"/>
    <col min="10499" max="10499" width="21.7109375" style="50" customWidth="1"/>
    <col min="10500" max="10511" width="20.7109375" style="50" customWidth="1"/>
    <col min="10512" max="10512" width="16.140625" style="50" customWidth="1"/>
    <col min="10513" max="10524" width="18.140625" style="50" customWidth="1"/>
    <col min="10525" max="10525" width="22.7109375" style="50" customWidth="1"/>
    <col min="10526" max="10526" width="19" style="50" customWidth="1"/>
    <col min="10527" max="10527" width="19.42578125" style="50" customWidth="1"/>
    <col min="10528" max="10528" width="6.28515625" style="50" bestFit="1" customWidth="1"/>
    <col min="10529" max="10529" width="22.85546875" style="50" customWidth="1"/>
    <col min="10530" max="10530" width="18.42578125" style="50" bestFit="1" customWidth="1"/>
    <col min="10531" max="10531" width="8.42578125" style="50" customWidth="1"/>
    <col min="10532" max="10532" width="18.42578125" style="50" bestFit="1" customWidth="1"/>
    <col min="10533" max="10533" width="5.7109375" style="50" customWidth="1"/>
    <col min="10534" max="10534" width="18.42578125" style="50" bestFit="1" customWidth="1"/>
    <col min="10535" max="10535" width="4.7109375" style="50" customWidth="1"/>
    <col min="10536" max="10536" width="23" style="50" bestFit="1" customWidth="1"/>
    <col min="10537" max="10537" width="10.85546875" style="50"/>
    <col min="10538" max="10538" width="18.42578125" style="50" bestFit="1" customWidth="1"/>
    <col min="10539" max="10539" width="16.140625" style="50" customWidth="1"/>
    <col min="10540" max="10753" width="10.85546875" style="50"/>
    <col min="10754" max="10754" width="42" style="50" customWidth="1"/>
    <col min="10755" max="10755" width="21.7109375" style="50" customWidth="1"/>
    <col min="10756" max="10767" width="20.7109375" style="50" customWidth="1"/>
    <col min="10768" max="10768" width="16.140625" style="50" customWidth="1"/>
    <col min="10769" max="10780" width="18.140625" style="50" customWidth="1"/>
    <col min="10781" max="10781" width="22.7109375" style="50" customWidth="1"/>
    <col min="10782" max="10782" width="19" style="50" customWidth="1"/>
    <col min="10783" max="10783" width="19.42578125" style="50" customWidth="1"/>
    <col min="10784" max="10784" width="6.28515625" style="50" bestFit="1" customWidth="1"/>
    <col min="10785" max="10785" width="22.85546875" style="50" customWidth="1"/>
    <col min="10786" max="10786" width="18.42578125" style="50" bestFit="1" customWidth="1"/>
    <col min="10787" max="10787" width="8.42578125" style="50" customWidth="1"/>
    <col min="10788" max="10788" width="18.42578125" style="50" bestFit="1" customWidth="1"/>
    <col min="10789" max="10789" width="5.7109375" style="50" customWidth="1"/>
    <col min="10790" max="10790" width="18.42578125" style="50" bestFit="1" customWidth="1"/>
    <col min="10791" max="10791" width="4.7109375" style="50" customWidth="1"/>
    <col min="10792" max="10792" width="23" style="50" bestFit="1" customWidth="1"/>
    <col min="10793" max="10793" width="10.85546875" style="50"/>
    <col min="10794" max="10794" width="18.42578125" style="50" bestFit="1" customWidth="1"/>
    <col min="10795" max="10795" width="16.140625" style="50" customWidth="1"/>
    <col min="10796" max="11009" width="10.85546875" style="50"/>
    <col min="11010" max="11010" width="42" style="50" customWidth="1"/>
    <col min="11011" max="11011" width="21.7109375" style="50" customWidth="1"/>
    <col min="11012" max="11023" width="20.7109375" style="50" customWidth="1"/>
    <col min="11024" max="11024" width="16.140625" style="50" customWidth="1"/>
    <col min="11025" max="11036" width="18.140625" style="50" customWidth="1"/>
    <col min="11037" max="11037" width="22.7109375" style="50" customWidth="1"/>
    <col min="11038" max="11038" width="19" style="50" customWidth="1"/>
    <col min="11039" max="11039" width="19.42578125" style="50" customWidth="1"/>
    <col min="11040" max="11040" width="6.28515625" style="50" bestFit="1" customWidth="1"/>
    <col min="11041" max="11041" width="22.85546875" style="50" customWidth="1"/>
    <col min="11042" max="11042" width="18.42578125" style="50" bestFit="1" customWidth="1"/>
    <col min="11043" max="11043" width="8.42578125" style="50" customWidth="1"/>
    <col min="11044" max="11044" width="18.42578125" style="50" bestFit="1" customWidth="1"/>
    <col min="11045" max="11045" width="5.7109375" style="50" customWidth="1"/>
    <col min="11046" max="11046" width="18.42578125" style="50" bestFit="1" customWidth="1"/>
    <col min="11047" max="11047" width="4.7109375" style="50" customWidth="1"/>
    <col min="11048" max="11048" width="23" style="50" bestFit="1" customWidth="1"/>
    <col min="11049" max="11049" width="10.85546875" style="50"/>
    <col min="11050" max="11050" width="18.42578125" style="50" bestFit="1" customWidth="1"/>
    <col min="11051" max="11051" width="16.140625" style="50" customWidth="1"/>
    <col min="11052" max="11265" width="10.85546875" style="50"/>
    <col min="11266" max="11266" width="42" style="50" customWidth="1"/>
    <col min="11267" max="11267" width="21.7109375" style="50" customWidth="1"/>
    <col min="11268" max="11279" width="20.7109375" style="50" customWidth="1"/>
    <col min="11280" max="11280" width="16.140625" style="50" customWidth="1"/>
    <col min="11281" max="11292" width="18.140625" style="50" customWidth="1"/>
    <col min="11293" max="11293" width="22.7109375" style="50" customWidth="1"/>
    <col min="11294" max="11294" width="19" style="50" customWidth="1"/>
    <col min="11295" max="11295" width="19.42578125" style="50" customWidth="1"/>
    <col min="11296" max="11296" width="6.28515625" style="50" bestFit="1" customWidth="1"/>
    <col min="11297" max="11297" width="22.85546875" style="50" customWidth="1"/>
    <col min="11298" max="11298" width="18.42578125" style="50" bestFit="1" customWidth="1"/>
    <col min="11299" max="11299" width="8.42578125" style="50" customWidth="1"/>
    <col min="11300" max="11300" width="18.42578125" style="50" bestFit="1" customWidth="1"/>
    <col min="11301" max="11301" width="5.7109375" style="50" customWidth="1"/>
    <col min="11302" max="11302" width="18.42578125" style="50" bestFit="1" customWidth="1"/>
    <col min="11303" max="11303" width="4.7109375" style="50" customWidth="1"/>
    <col min="11304" max="11304" width="23" style="50" bestFit="1" customWidth="1"/>
    <col min="11305" max="11305" width="10.85546875" style="50"/>
    <col min="11306" max="11306" width="18.42578125" style="50" bestFit="1" customWidth="1"/>
    <col min="11307" max="11307" width="16.140625" style="50" customWidth="1"/>
    <col min="11308" max="11521" width="10.85546875" style="50"/>
    <col min="11522" max="11522" width="42" style="50" customWidth="1"/>
    <col min="11523" max="11523" width="21.7109375" style="50" customWidth="1"/>
    <col min="11524" max="11535" width="20.7109375" style="50" customWidth="1"/>
    <col min="11536" max="11536" width="16.140625" style="50" customWidth="1"/>
    <col min="11537" max="11548" width="18.140625" style="50" customWidth="1"/>
    <col min="11549" max="11549" width="22.7109375" style="50" customWidth="1"/>
    <col min="11550" max="11550" width="19" style="50" customWidth="1"/>
    <col min="11551" max="11551" width="19.42578125" style="50" customWidth="1"/>
    <col min="11552" max="11552" width="6.28515625" style="50" bestFit="1" customWidth="1"/>
    <col min="11553" max="11553" width="22.85546875" style="50" customWidth="1"/>
    <col min="11554" max="11554" width="18.42578125" style="50" bestFit="1" customWidth="1"/>
    <col min="11555" max="11555" width="8.42578125" style="50" customWidth="1"/>
    <col min="11556" max="11556" width="18.42578125" style="50" bestFit="1" customWidth="1"/>
    <col min="11557" max="11557" width="5.7109375" style="50" customWidth="1"/>
    <col min="11558" max="11558" width="18.42578125" style="50" bestFit="1" customWidth="1"/>
    <col min="11559" max="11559" width="4.7109375" style="50" customWidth="1"/>
    <col min="11560" max="11560" width="23" style="50" bestFit="1" customWidth="1"/>
    <col min="11561" max="11561" width="10.85546875" style="50"/>
    <col min="11562" max="11562" width="18.42578125" style="50" bestFit="1" customWidth="1"/>
    <col min="11563" max="11563" width="16.140625" style="50" customWidth="1"/>
    <col min="11564" max="11777" width="10.85546875" style="50"/>
    <col min="11778" max="11778" width="42" style="50" customWidth="1"/>
    <col min="11779" max="11779" width="21.7109375" style="50" customWidth="1"/>
    <col min="11780" max="11791" width="20.7109375" style="50" customWidth="1"/>
    <col min="11792" max="11792" width="16.140625" style="50" customWidth="1"/>
    <col min="11793" max="11804" width="18.140625" style="50" customWidth="1"/>
    <col min="11805" max="11805" width="22.7109375" style="50" customWidth="1"/>
    <col min="11806" max="11806" width="19" style="50" customWidth="1"/>
    <col min="11807" max="11807" width="19.42578125" style="50" customWidth="1"/>
    <col min="11808" max="11808" width="6.28515625" style="50" bestFit="1" customWidth="1"/>
    <col min="11809" max="11809" width="22.85546875" style="50" customWidth="1"/>
    <col min="11810" max="11810" width="18.42578125" style="50" bestFit="1" customWidth="1"/>
    <col min="11811" max="11811" width="8.42578125" style="50" customWidth="1"/>
    <col min="11812" max="11812" width="18.42578125" style="50" bestFit="1" customWidth="1"/>
    <col min="11813" max="11813" width="5.7109375" style="50" customWidth="1"/>
    <col min="11814" max="11814" width="18.42578125" style="50" bestFit="1" customWidth="1"/>
    <col min="11815" max="11815" width="4.7109375" style="50" customWidth="1"/>
    <col min="11816" max="11816" width="23" style="50" bestFit="1" customWidth="1"/>
    <col min="11817" max="11817" width="10.85546875" style="50"/>
    <col min="11818" max="11818" width="18.42578125" style="50" bestFit="1" customWidth="1"/>
    <col min="11819" max="11819" width="16.140625" style="50" customWidth="1"/>
    <col min="11820" max="12033" width="10.85546875" style="50"/>
    <col min="12034" max="12034" width="42" style="50" customWidth="1"/>
    <col min="12035" max="12035" width="21.7109375" style="50" customWidth="1"/>
    <col min="12036" max="12047" width="20.7109375" style="50" customWidth="1"/>
    <col min="12048" max="12048" width="16.140625" style="50" customWidth="1"/>
    <col min="12049" max="12060" width="18.140625" style="50" customWidth="1"/>
    <col min="12061" max="12061" width="22.7109375" style="50" customWidth="1"/>
    <col min="12062" max="12062" width="19" style="50" customWidth="1"/>
    <col min="12063" max="12063" width="19.42578125" style="50" customWidth="1"/>
    <col min="12064" max="12064" width="6.28515625" style="50" bestFit="1" customWidth="1"/>
    <col min="12065" max="12065" width="22.85546875" style="50" customWidth="1"/>
    <col min="12066" max="12066" width="18.42578125" style="50" bestFit="1" customWidth="1"/>
    <col min="12067" max="12067" width="8.42578125" style="50" customWidth="1"/>
    <col min="12068" max="12068" width="18.42578125" style="50" bestFit="1" customWidth="1"/>
    <col min="12069" max="12069" width="5.7109375" style="50" customWidth="1"/>
    <col min="12070" max="12070" width="18.42578125" style="50" bestFit="1" customWidth="1"/>
    <col min="12071" max="12071" width="4.7109375" style="50" customWidth="1"/>
    <col min="12072" max="12072" width="23" style="50" bestFit="1" customWidth="1"/>
    <col min="12073" max="12073" width="10.85546875" style="50"/>
    <col min="12074" max="12074" width="18.42578125" style="50" bestFit="1" customWidth="1"/>
    <col min="12075" max="12075" width="16.140625" style="50" customWidth="1"/>
    <col min="12076" max="12289" width="10.85546875" style="50"/>
    <col min="12290" max="12290" width="42" style="50" customWidth="1"/>
    <col min="12291" max="12291" width="21.7109375" style="50" customWidth="1"/>
    <col min="12292" max="12303" width="20.7109375" style="50" customWidth="1"/>
    <col min="12304" max="12304" width="16.140625" style="50" customWidth="1"/>
    <col min="12305" max="12316" width="18.140625" style="50" customWidth="1"/>
    <col min="12317" max="12317" width="22.7109375" style="50" customWidth="1"/>
    <col min="12318" max="12318" width="19" style="50" customWidth="1"/>
    <col min="12319" max="12319" width="19.42578125" style="50" customWidth="1"/>
    <col min="12320" max="12320" width="6.28515625" style="50" bestFit="1" customWidth="1"/>
    <col min="12321" max="12321" width="22.85546875" style="50" customWidth="1"/>
    <col min="12322" max="12322" width="18.42578125" style="50" bestFit="1" customWidth="1"/>
    <col min="12323" max="12323" width="8.42578125" style="50" customWidth="1"/>
    <col min="12324" max="12324" width="18.42578125" style="50" bestFit="1" customWidth="1"/>
    <col min="12325" max="12325" width="5.7109375" style="50" customWidth="1"/>
    <col min="12326" max="12326" width="18.42578125" style="50" bestFit="1" customWidth="1"/>
    <col min="12327" max="12327" width="4.7109375" style="50" customWidth="1"/>
    <col min="12328" max="12328" width="23" style="50" bestFit="1" customWidth="1"/>
    <col min="12329" max="12329" width="10.85546875" style="50"/>
    <col min="12330" max="12330" width="18.42578125" style="50" bestFit="1" customWidth="1"/>
    <col min="12331" max="12331" width="16.140625" style="50" customWidth="1"/>
    <col min="12332" max="12545" width="10.85546875" style="50"/>
    <col min="12546" max="12546" width="42" style="50" customWidth="1"/>
    <col min="12547" max="12547" width="21.7109375" style="50" customWidth="1"/>
    <col min="12548" max="12559" width="20.7109375" style="50" customWidth="1"/>
    <col min="12560" max="12560" width="16.140625" style="50" customWidth="1"/>
    <col min="12561" max="12572" width="18.140625" style="50" customWidth="1"/>
    <col min="12573" max="12573" width="22.7109375" style="50" customWidth="1"/>
    <col min="12574" max="12574" width="19" style="50" customWidth="1"/>
    <col min="12575" max="12575" width="19.42578125" style="50" customWidth="1"/>
    <col min="12576" max="12576" width="6.28515625" style="50" bestFit="1" customWidth="1"/>
    <col min="12577" max="12577" width="22.85546875" style="50" customWidth="1"/>
    <col min="12578" max="12578" width="18.42578125" style="50" bestFit="1" customWidth="1"/>
    <col min="12579" max="12579" width="8.42578125" style="50" customWidth="1"/>
    <col min="12580" max="12580" width="18.42578125" style="50" bestFit="1" customWidth="1"/>
    <col min="12581" max="12581" width="5.7109375" style="50" customWidth="1"/>
    <col min="12582" max="12582" width="18.42578125" style="50" bestFit="1" customWidth="1"/>
    <col min="12583" max="12583" width="4.7109375" style="50" customWidth="1"/>
    <col min="12584" max="12584" width="23" style="50" bestFit="1" customWidth="1"/>
    <col min="12585" max="12585" width="10.85546875" style="50"/>
    <col min="12586" max="12586" width="18.42578125" style="50" bestFit="1" customWidth="1"/>
    <col min="12587" max="12587" width="16.140625" style="50" customWidth="1"/>
    <col min="12588" max="12801" width="10.85546875" style="50"/>
    <col min="12802" max="12802" width="42" style="50" customWidth="1"/>
    <col min="12803" max="12803" width="21.7109375" style="50" customWidth="1"/>
    <col min="12804" max="12815" width="20.7109375" style="50" customWidth="1"/>
    <col min="12816" max="12816" width="16.140625" style="50" customWidth="1"/>
    <col min="12817" max="12828" width="18.140625" style="50" customWidth="1"/>
    <col min="12829" max="12829" width="22.7109375" style="50" customWidth="1"/>
    <col min="12830" max="12830" width="19" style="50" customWidth="1"/>
    <col min="12831" max="12831" width="19.42578125" style="50" customWidth="1"/>
    <col min="12832" max="12832" width="6.28515625" style="50" bestFit="1" customWidth="1"/>
    <col min="12833" max="12833" width="22.85546875" style="50" customWidth="1"/>
    <col min="12834" max="12834" width="18.42578125" style="50" bestFit="1" customWidth="1"/>
    <col min="12835" max="12835" width="8.42578125" style="50" customWidth="1"/>
    <col min="12836" max="12836" width="18.42578125" style="50" bestFit="1" customWidth="1"/>
    <col min="12837" max="12837" width="5.7109375" style="50" customWidth="1"/>
    <col min="12838" max="12838" width="18.42578125" style="50" bestFit="1" customWidth="1"/>
    <col min="12839" max="12839" width="4.7109375" style="50" customWidth="1"/>
    <col min="12840" max="12840" width="23" style="50" bestFit="1" customWidth="1"/>
    <col min="12841" max="12841" width="10.85546875" style="50"/>
    <col min="12842" max="12842" width="18.42578125" style="50" bestFit="1" customWidth="1"/>
    <col min="12843" max="12843" width="16.140625" style="50" customWidth="1"/>
    <col min="12844" max="13057" width="10.85546875" style="50"/>
    <col min="13058" max="13058" width="42" style="50" customWidth="1"/>
    <col min="13059" max="13059" width="21.7109375" style="50" customWidth="1"/>
    <col min="13060" max="13071" width="20.7109375" style="50" customWidth="1"/>
    <col min="13072" max="13072" width="16.140625" style="50" customWidth="1"/>
    <col min="13073" max="13084" width="18.140625" style="50" customWidth="1"/>
    <col min="13085" max="13085" width="22.7109375" style="50" customWidth="1"/>
    <col min="13086" max="13086" width="19" style="50" customWidth="1"/>
    <col min="13087" max="13087" width="19.42578125" style="50" customWidth="1"/>
    <col min="13088" max="13088" width="6.28515625" style="50" bestFit="1" customWidth="1"/>
    <col min="13089" max="13089" width="22.85546875" style="50" customWidth="1"/>
    <col min="13090" max="13090" width="18.42578125" style="50" bestFit="1" customWidth="1"/>
    <col min="13091" max="13091" width="8.42578125" style="50" customWidth="1"/>
    <col min="13092" max="13092" width="18.42578125" style="50" bestFit="1" customWidth="1"/>
    <col min="13093" max="13093" width="5.7109375" style="50" customWidth="1"/>
    <col min="13094" max="13094" width="18.42578125" style="50" bestFit="1" customWidth="1"/>
    <col min="13095" max="13095" width="4.7109375" style="50" customWidth="1"/>
    <col min="13096" max="13096" width="23" style="50" bestFit="1" customWidth="1"/>
    <col min="13097" max="13097" width="10.85546875" style="50"/>
    <col min="13098" max="13098" width="18.42578125" style="50" bestFit="1" customWidth="1"/>
    <col min="13099" max="13099" width="16.140625" style="50" customWidth="1"/>
    <col min="13100" max="13313" width="10.85546875" style="50"/>
    <col min="13314" max="13314" width="42" style="50" customWidth="1"/>
    <col min="13315" max="13315" width="21.7109375" style="50" customWidth="1"/>
    <col min="13316" max="13327" width="20.7109375" style="50" customWidth="1"/>
    <col min="13328" max="13328" width="16.140625" style="50" customWidth="1"/>
    <col min="13329" max="13340" width="18.140625" style="50" customWidth="1"/>
    <col min="13341" max="13341" width="22.7109375" style="50" customWidth="1"/>
    <col min="13342" max="13342" width="19" style="50" customWidth="1"/>
    <col min="13343" max="13343" width="19.42578125" style="50" customWidth="1"/>
    <col min="13344" max="13344" width="6.28515625" style="50" bestFit="1" customWidth="1"/>
    <col min="13345" max="13345" width="22.85546875" style="50" customWidth="1"/>
    <col min="13346" max="13346" width="18.42578125" style="50" bestFit="1" customWidth="1"/>
    <col min="13347" max="13347" width="8.42578125" style="50" customWidth="1"/>
    <col min="13348" max="13348" width="18.42578125" style="50" bestFit="1" customWidth="1"/>
    <col min="13349" max="13349" width="5.7109375" style="50" customWidth="1"/>
    <col min="13350" max="13350" width="18.42578125" style="50" bestFit="1" customWidth="1"/>
    <col min="13351" max="13351" width="4.7109375" style="50" customWidth="1"/>
    <col min="13352" max="13352" width="23" style="50" bestFit="1" customWidth="1"/>
    <col min="13353" max="13353" width="10.85546875" style="50"/>
    <col min="13354" max="13354" width="18.42578125" style="50" bestFit="1" customWidth="1"/>
    <col min="13355" max="13355" width="16.140625" style="50" customWidth="1"/>
    <col min="13356" max="13569" width="10.85546875" style="50"/>
    <col min="13570" max="13570" width="42" style="50" customWidth="1"/>
    <col min="13571" max="13571" width="21.7109375" style="50" customWidth="1"/>
    <col min="13572" max="13583" width="20.7109375" style="50" customWidth="1"/>
    <col min="13584" max="13584" width="16.140625" style="50" customWidth="1"/>
    <col min="13585" max="13596" width="18.140625" style="50" customWidth="1"/>
    <col min="13597" max="13597" width="22.7109375" style="50" customWidth="1"/>
    <col min="13598" max="13598" width="19" style="50" customWidth="1"/>
    <col min="13599" max="13599" width="19.42578125" style="50" customWidth="1"/>
    <col min="13600" max="13600" width="6.28515625" style="50" bestFit="1" customWidth="1"/>
    <col min="13601" max="13601" width="22.85546875" style="50" customWidth="1"/>
    <col min="13602" max="13602" width="18.42578125" style="50" bestFit="1" customWidth="1"/>
    <col min="13603" max="13603" width="8.42578125" style="50" customWidth="1"/>
    <col min="13604" max="13604" width="18.42578125" style="50" bestFit="1" customWidth="1"/>
    <col min="13605" max="13605" width="5.7109375" style="50" customWidth="1"/>
    <col min="13606" max="13606" width="18.42578125" style="50" bestFit="1" customWidth="1"/>
    <col min="13607" max="13607" width="4.7109375" style="50" customWidth="1"/>
    <col min="13608" max="13608" width="23" style="50" bestFit="1" customWidth="1"/>
    <col min="13609" max="13609" width="10.85546875" style="50"/>
    <col min="13610" max="13610" width="18.42578125" style="50" bestFit="1" customWidth="1"/>
    <col min="13611" max="13611" width="16.140625" style="50" customWidth="1"/>
    <col min="13612" max="13825" width="10.85546875" style="50"/>
    <col min="13826" max="13826" width="42" style="50" customWidth="1"/>
    <col min="13827" max="13827" width="21.7109375" style="50" customWidth="1"/>
    <col min="13828" max="13839" width="20.7109375" style="50" customWidth="1"/>
    <col min="13840" max="13840" width="16.140625" style="50" customWidth="1"/>
    <col min="13841" max="13852" width="18.140625" style="50" customWidth="1"/>
    <col min="13853" max="13853" width="22.7109375" style="50" customWidth="1"/>
    <col min="13854" max="13854" width="19" style="50" customWidth="1"/>
    <col min="13855" max="13855" width="19.42578125" style="50" customWidth="1"/>
    <col min="13856" max="13856" width="6.28515625" style="50" bestFit="1" customWidth="1"/>
    <col min="13857" max="13857" width="22.85546875" style="50" customWidth="1"/>
    <col min="13858" max="13858" width="18.42578125" style="50" bestFit="1" customWidth="1"/>
    <col min="13859" max="13859" width="8.42578125" style="50" customWidth="1"/>
    <col min="13860" max="13860" width="18.42578125" style="50" bestFit="1" customWidth="1"/>
    <col min="13861" max="13861" width="5.7109375" style="50" customWidth="1"/>
    <col min="13862" max="13862" width="18.42578125" style="50" bestFit="1" customWidth="1"/>
    <col min="13863" max="13863" width="4.7109375" style="50" customWidth="1"/>
    <col min="13864" max="13864" width="23" style="50" bestFit="1" customWidth="1"/>
    <col min="13865" max="13865" width="10.85546875" style="50"/>
    <col min="13866" max="13866" width="18.42578125" style="50" bestFit="1" customWidth="1"/>
    <col min="13867" max="13867" width="16.140625" style="50" customWidth="1"/>
    <col min="13868" max="14081" width="10.85546875" style="50"/>
    <col min="14082" max="14082" width="42" style="50" customWidth="1"/>
    <col min="14083" max="14083" width="21.7109375" style="50" customWidth="1"/>
    <col min="14084" max="14095" width="20.7109375" style="50" customWidth="1"/>
    <col min="14096" max="14096" width="16.140625" style="50" customWidth="1"/>
    <col min="14097" max="14108" width="18.140625" style="50" customWidth="1"/>
    <col min="14109" max="14109" width="22.7109375" style="50" customWidth="1"/>
    <col min="14110" max="14110" width="19" style="50" customWidth="1"/>
    <col min="14111" max="14111" width="19.42578125" style="50" customWidth="1"/>
    <col min="14112" max="14112" width="6.28515625" style="50" bestFit="1" customWidth="1"/>
    <col min="14113" max="14113" width="22.85546875" style="50" customWidth="1"/>
    <col min="14114" max="14114" width="18.42578125" style="50" bestFit="1" customWidth="1"/>
    <col min="14115" max="14115" width="8.42578125" style="50" customWidth="1"/>
    <col min="14116" max="14116" width="18.42578125" style="50" bestFit="1" customWidth="1"/>
    <col min="14117" max="14117" width="5.7109375" style="50" customWidth="1"/>
    <col min="14118" max="14118" width="18.42578125" style="50" bestFit="1" customWidth="1"/>
    <col min="14119" max="14119" width="4.7109375" style="50" customWidth="1"/>
    <col min="14120" max="14120" width="23" style="50" bestFit="1" customWidth="1"/>
    <col min="14121" max="14121" width="10.85546875" style="50"/>
    <col min="14122" max="14122" width="18.42578125" style="50" bestFit="1" customWidth="1"/>
    <col min="14123" max="14123" width="16.140625" style="50" customWidth="1"/>
    <col min="14124" max="14337" width="10.85546875" style="50"/>
    <col min="14338" max="14338" width="42" style="50" customWidth="1"/>
    <col min="14339" max="14339" width="21.7109375" style="50" customWidth="1"/>
    <col min="14340" max="14351" width="20.7109375" style="50" customWidth="1"/>
    <col min="14352" max="14352" width="16.140625" style="50" customWidth="1"/>
    <col min="14353" max="14364" width="18.140625" style="50" customWidth="1"/>
    <col min="14365" max="14365" width="22.7109375" style="50" customWidth="1"/>
    <col min="14366" max="14366" width="19" style="50" customWidth="1"/>
    <col min="14367" max="14367" width="19.42578125" style="50" customWidth="1"/>
    <col min="14368" max="14368" width="6.28515625" style="50" bestFit="1" customWidth="1"/>
    <col min="14369" max="14369" width="22.85546875" style="50" customWidth="1"/>
    <col min="14370" max="14370" width="18.42578125" style="50" bestFit="1" customWidth="1"/>
    <col min="14371" max="14371" width="8.42578125" style="50" customWidth="1"/>
    <col min="14372" max="14372" width="18.42578125" style="50" bestFit="1" customWidth="1"/>
    <col min="14373" max="14373" width="5.7109375" style="50" customWidth="1"/>
    <col min="14374" max="14374" width="18.42578125" style="50" bestFit="1" customWidth="1"/>
    <col min="14375" max="14375" width="4.7109375" style="50" customWidth="1"/>
    <col min="14376" max="14376" width="23" style="50" bestFit="1" customWidth="1"/>
    <col min="14377" max="14377" width="10.85546875" style="50"/>
    <col min="14378" max="14378" width="18.42578125" style="50" bestFit="1" customWidth="1"/>
    <col min="14379" max="14379" width="16.140625" style="50" customWidth="1"/>
    <col min="14380" max="14593" width="10.85546875" style="50"/>
    <col min="14594" max="14594" width="42" style="50" customWidth="1"/>
    <col min="14595" max="14595" width="21.7109375" style="50" customWidth="1"/>
    <col min="14596" max="14607" width="20.7109375" style="50" customWidth="1"/>
    <col min="14608" max="14608" width="16.140625" style="50" customWidth="1"/>
    <col min="14609" max="14620" width="18.140625" style="50" customWidth="1"/>
    <col min="14621" max="14621" width="22.7109375" style="50" customWidth="1"/>
    <col min="14622" max="14622" width="19" style="50" customWidth="1"/>
    <col min="14623" max="14623" width="19.42578125" style="50" customWidth="1"/>
    <col min="14624" max="14624" width="6.28515625" style="50" bestFit="1" customWidth="1"/>
    <col min="14625" max="14625" width="22.85546875" style="50" customWidth="1"/>
    <col min="14626" max="14626" width="18.42578125" style="50" bestFit="1" customWidth="1"/>
    <col min="14627" max="14627" width="8.42578125" style="50" customWidth="1"/>
    <col min="14628" max="14628" width="18.42578125" style="50" bestFit="1" customWidth="1"/>
    <col min="14629" max="14629" width="5.7109375" style="50" customWidth="1"/>
    <col min="14630" max="14630" width="18.42578125" style="50" bestFit="1" customWidth="1"/>
    <col min="14631" max="14631" width="4.7109375" style="50" customWidth="1"/>
    <col min="14632" max="14632" width="23" style="50" bestFit="1" customWidth="1"/>
    <col min="14633" max="14633" width="10.85546875" style="50"/>
    <col min="14634" max="14634" width="18.42578125" style="50" bestFit="1" customWidth="1"/>
    <col min="14635" max="14635" width="16.140625" style="50" customWidth="1"/>
    <col min="14636" max="14849" width="10.85546875" style="50"/>
    <col min="14850" max="14850" width="42" style="50" customWidth="1"/>
    <col min="14851" max="14851" width="21.7109375" style="50" customWidth="1"/>
    <col min="14852" max="14863" width="20.7109375" style="50" customWidth="1"/>
    <col min="14864" max="14864" width="16.140625" style="50" customWidth="1"/>
    <col min="14865" max="14876" width="18.140625" style="50" customWidth="1"/>
    <col min="14877" max="14877" width="22.7109375" style="50" customWidth="1"/>
    <col min="14878" max="14878" width="19" style="50" customWidth="1"/>
    <col min="14879" max="14879" width="19.42578125" style="50" customWidth="1"/>
    <col min="14880" max="14880" width="6.28515625" style="50" bestFit="1" customWidth="1"/>
    <col min="14881" max="14881" width="22.85546875" style="50" customWidth="1"/>
    <col min="14882" max="14882" width="18.42578125" style="50" bestFit="1" customWidth="1"/>
    <col min="14883" max="14883" width="8.42578125" style="50" customWidth="1"/>
    <col min="14884" max="14884" width="18.42578125" style="50" bestFit="1" customWidth="1"/>
    <col min="14885" max="14885" width="5.7109375" style="50" customWidth="1"/>
    <col min="14886" max="14886" width="18.42578125" style="50" bestFit="1" customWidth="1"/>
    <col min="14887" max="14887" width="4.7109375" style="50" customWidth="1"/>
    <col min="14888" max="14888" width="23" style="50" bestFit="1" customWidth="1"/>
    <col min="14889" max="14889" width="10.85546875" style="50"/>
    <col min="14890" max="14890" width="18.42578125" style="50" bestFit="1" customWidth="1"/>
    <col min="14891" max="14891" width="16.140625" style="50" customWidth="1"/>
    <col min="14892" max="15105" width="10.85546875" style="50"/>
    <col min="15106" max="15106" width="42" style="50" customWidth="1"/>
    <col min="15107" max="15107" width="21.7109375" style="50" customWidth="1"/>
    <col min="15108" max="15119" width="20.7109375" style="50" customWidth="1"/>
    <col min="15120" max="15120" width="16.140625" style="50" customWidth="1"/>
    <col min="15121" max="15132" width="18.140625" style="50" customWidth="1"/>
    <col min="15133" max="15133" width="22.7109375" style="50" customWidth="1"/>
    <col min="15134" max="15134" width="19" style="50" customWidth="1"/>
    <col min="15135" max="15135" width="19.42578125" style="50" customWidth="1"/>
    <col min="15136" max="15136" width="6.28515625" style="50" bestFit="1" customWidth="1"/>
    <col min="15137" max="15137" width="22.85546875" style="50" customWidth="1"/>
    <col min="15138" max="15138" width="18.42578125" style="50" bestFit="1" customWidth="1"/>
    <col min="15139" max="15139" width="8.42578125" style="50" customWidth="1"/>
    <col min="15140" max="15140" width="18.42578125" style="50" bestFit="1" customWidth="1"/>
    <col min="15141" max="15141" width="5.7109375" style="50" customWidth="1"/>
    <col min="15142" max="15142" width="18.42578125" style="50" bestFit="1" customWidth="1"/>
    <col min="15143" max="15143" width="4.7109375" style="50" customWidth="1"/>
    <col min="15144" max="15144" width="23" style="50" bestFit="1" customWidth="1"/>
    <col min="15145" max="15145" width="10.85546875" style="50"/>
    <col min="15146" max="15146" width="18.42578125" style="50" bestFit="1" customWidth="1"/>
    <col min="15147" max="15147" width="16.140625" style="50" customWidth="1"/>
    <col min="15148" max="15361" width="10.85546875" style="50"/>
    <col min="15362" max="15362" width="42" style="50" customWidth="1"/>
    <col min="15363" max="15363" width="21.7109375" style="50" customWidth="1"/>
    <col min="15364" max="15375" width="20.7109375" style="50" customWidth="1"/>
    <col min="15376" max="15376" width="16.140625" style="50" customWidth="1"/>
    <col min="15377" max="15388" width="18.140625" style="50" customWidth="1"/>
    <col min="15389" max="15389" width="22.7109375" style="50" customWidth="1"/>
    <col min="15390" max="15390" width="19" style="50" customWidth="1"/>
    <col min="15391" max="15391" width="19.42578125" style="50" customWidth="1"/>
    <col min="15392" max="15392" width="6.28515625" style="50" bestFit="1" customWidth="1"/>
    <col min="15393" max="15393" width="22.85546875" style="50" customWidth="1"/>
    <col min="15394" max="15394" width="18.42578125" style="50" bestFit="1" customWidth="1"/>
    <col min="15395" max="15395" width="8.42578125" style="50" customWidth="1"/>
    <col min="15396" max="15396" width="18.42578125" style="50" bestFit="1" customWidth="1"/>
    <col min="15397" max="15397" width="5.7109375" style="50" customWidth="1"/>
    <col min="15398" max="15398" width="18.42578125" style="50" bestFit="1" customWidth="1"/>
    <col min="15399" max="15399" width="4.7109375" style="50" customWidth="1"/>
    <col min="15400" max="15400" width="23" style="50" bestFit="1" customWidth="1"/>
    <col min="15401" max="15401" width="10.85546875" style="50"/>
    <col min="15402" max="15402" width="18.42578125" style="50" bestFit="1" customWidth="1"/>
    <col min="15403" max="15403" width="16.140625" style="50" customWidth="1"/>
    <col min="15404" max="15617" width="10.85546875" style="50"/>
    <col min="15618" max="15618" width="42" style="50" customWidth="1"/>
    <col min="15619" max="15619" width="21.7109375" style="50" customWidth="1"/>
    <col min="15620" max="15631" width="20.7109375" style="50" customWidth="1"/>
    <col min="15632" max="15632" width="16.140625" style="50" customWidth="1"/>
    <col min="15633" max="15644" width="18.140625" style="50" customWidth="1"/>
    <col min="15645" max="15645" width="22.7109375" style="50" customWidth="1"/>
    <col min="15646" max="15646" width="19" style="50" customWidth="1"/>
    <col min="15647" max="15647" width="19.42578125" style="50" customWidth="1"/>
    <col min="15648" max="15648" width="6.28515625" style="50" bestFit="1" customWidth="1"/>
    <col min="15649" max="15649" width="22.85546875" style="50" customWidth="1"/>
    <col min="15650" max="15650" width="18.42578125" style="50" bestFit="1" customWidth="1"/>
    <col min="15651" max="15651" width="8.42578125" style="50" customWidth="1"/>
    <col min="15652" max="15652" width="18.42578125" style="50" bestFit="1" customWidth="1"/>
    <col min="15653" max="15653" width="5.7109375" style="50" customWidth="1"/>
    <col min="15654" max="15654" width="18.42578125" style="50" bestFit="1" customWidth="1"/>
    <col min="15655" max="15655" width="4.7109375" style="50" customWidth="1"/>
    <col min="15656" max="15656" width="23" style="50" bestFit="1" customWidth="1"/>
    <col min="15657" max="15657" width="10.85546875" style="50"/>
    <col min="15658" max="15658" width="18.42578125" style="50" bestFit="1" customWidth="1"/>
    <col min="15659" max="15659" width="16.140625" style="50" customWidth="1"/>
    <col min="15660" max="15873" width="10.85546875" style="50"/>
    <col min="15874" max="15874" width="42" style="50" customWidth="1"/>
    <col min="15875" max="15875" width="21.7109375" style="50" customWidth="1"/>
    <col min="15876" max="15887" width="20.7109375" style="50" customWidth="1"/>
    <col min="15888" max="15888" width="16.140625" style="50" customWidth="1"/>
    <col min="15889" max="15900" width="18.140625" style="50" customWidth="1"/>
    <col min="15901" max="15901" width="22.7109375" style="50" customWidth="1"/>
    <col min="15902" max="15902" width="19" style="50" customWidth="1"/>
    <col min="15903" max="15903" width="19.42578125" style="50" customWidth="1"/>
    <col min="15904" max="15904" width="6.28515625" style="50" bestFit="1" customWidth="1"/>
    <col min="15905" max="15905" width="22.85546875" style="50" customWidth="1"/>
    <col min="15906" max="15906" width="18.42578125" style="50" bestFit="1" customWidth="1"/>
    <col min="15907" max="15907" width="8.42578125" style="50" customWidth="1"/>
    <col min="15908" max="15908" width="18.42578125" style="50" bestFit="1" customWidth="1"/>
    <col min="15909" max="15909" width="5.7109375" style="50" customWidth="1"/>
    <col min="15910" max="15910" width="18.42578125" style="50" bestFit="1" customWidth="1"/>
    <col min="15911" max="15911" width="4.7109375" style="50" customWidth="1"/>
    <col min="15912" max="15912" width="23" style="50" bestFit="1" customWidth="1"/>
    <col min="15913" max="15913" width="10.85546875" style="50"/>
    <col min="15914" max="15914" width="18.42578125" style="50" bestFit="1" customWidth="1"/>
    <col min="15915" max="15915" width="16.140625" style="50" customWidth="1"/>
    <col min="15916" max="16129" width="10.85546875" style="50"/>
    <col min="16130" max="16130" width="42" style="50" customWidth="1"/>
    <col min="16131" max="16131" width="21.7109375" style="50" customWidth="1"/>
    <col min="16132" max="16143" width="20.7109375" style="50" customWidth="1"/>
    <col min="16144" max="16144" width="16.140625" style="50" customWidth="1"/>
    <col min="16145" max="16156" width="18.140625" style="50" customWidth="1"/>
    <col min="16157" max="16157" width="22.7109375" style="50" customWidth="1"/>
    <col min="16158" max="16158" width="19" style="50" customWidth="1"/>
    <col min="16159" max="16159" width="19.42578125" style="50" customWidth="1"/>
    <col min="16160" max="16160" width="6.28515625" style="50" bestFit="1" customWidth="1"/>
    <col min="16161" max="16161" width="22.85546875" style="50" customWidth="1"/>
    <col min="16162" max="16162" width="18.42578125" style="50" bestFit="1" customWidth="1"/>
    <col min="16163" max="16163" width="8.42578125" style="50" customWidth="1"/>
    <col min="16164" max="16164" width="18.42578125" style="50" bestFit="1" customWidth="1"/>
    <col min="16165" max="16165" width="5.7109375" style="50" customWidth="1"/>
    <col min="16166" max="16166" width="18.42578125" style="50" bestFit="1" customWidth="1"/>
    <col min="16167" max="16167" width="4.7109375" style="50" customWidth="1"/>
    <col min="16168" max="16168" width="23" style="50" bestFit="1" customWidth="1"/>
    <col min="16169" max="16169" width="10.85546875" style="50"/>
    <col min="16170" max="16170" width="18.42578125" style="50" bestFit="1" customWidth="1"/>
    <col min="16171" max="16171" width="16.140625" style="50" customWidth="1"/>
    <col min="16172" max="16384" width="10.85546875" style="50"/>
  </cols>
  <sheetData>
    <row r="1" spans="1:30"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777" t="s">
        <v>1</v>
      </c>
      <c r="AC1" s="778"/>
      <c r="AD1" s="779"/>
    </row>
    <row r="2" spans="1:30"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783" t="s">
        <v>3</v>
      </c>
      <c r="AC2" s="784"/>
      <c r="AD2" s="785"/>
    </row>
    <row r="3" spans="1:30" ht="24" customHeight="1">
      <c r="A3" s="772"/>
      <c r="B3" s="751" t="s">
        <v>4</v>
      </c>
      <c r="C3" s="752"/>
      <c r="D3" s="752"/>
      <c r="E3" s="752"/>
      <c r="F3" s="752"/>
      <c r="G3" s="752"/>
      <c r="H3" s="752"/>
      <c r="I3" s="752"/>
      <c r="J3" s="752"/>
      <c r="K3" s="752"/>
      <c r="L3" s="752"/>
      <c r="M3" s="752"/>
      <c r="N3" s="752"/>
      <c r="O3" s="752"/>
      <c r="P3" s="752"/>
      <c r="Q3" s="752"/>
      <c r="R3" s="752"/>
      <c r="S3" s="752"/>
      <c r="T3" s="752"/>
      <c r="U3" s="752"/>
      <c r="V3" s="752"/>
      <c r="W3" s="752"/>
      <c r="X3" s="752"/>
      <c r="Y3" s="752"/>
      <c r="Z3" s="752"/>
      <c r="AA3" s="753"/>
      <c r="AB3" s="783" t="s">
        <v>5</v>
      </c>
      <c r="AC3" s="784"/>
      <c r="AD3" s="785"/>
    </row>
    <row r="4" spans="1:30" ht="21.95" customHeight="1" thickBot="1">
      <c r="A4" s="773"/>
      <c r="B4" s="754"/>
      <c r="C4" s="755"/>
      <c r="D4" s="755"/>
      <c r="E4" s="755"/>
      <c r="F4" s="755"/>
      <c r="G4" s="755"/>
      <c r="H4" s="755"/>
      <c r="I4" s="755"/>
      <c r="J4" s="755"/>
      <c r="K4" s="755"/>
      <c r="L4" s="755"/>
      <c r="M4" s="755"/>
      <c r="N4" s="755"/>
      <c r="O4" s="755"/>
      <c r="P4" s="755"/>
      <c r="Q4" s="755"/>
      <c r="R4" s="755"/>
      <c r="S4" s="755"/>
      <c r="T4" s="755"/>
      <c r="U4" s="755"/>
      <c r="V4" s="755"/>
      <c r="W4" s="755"/>
      <c r="X4" s="755"/>
      <c r="Y4" s="755"/>
      <c r="Z4" s="755"/>
      <c r="AA4" s="756"/>
      <c r="AB4" s="786" t="s">
        <v>6</v>
      </c>
      <c r="AC4" s="787"/>
      <c r="AD4" s="788"/>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742" t="s">
        <v>7</v>
      </c>
      <c r="B7" s="743"/>
      <c r="C7" s="757" t="s">
        <v>32</v>
      </c>
      <c r="D7" s="742" t="s">
        <v>9</v>
      </c>
      <c r="E7" s="760"/>
      <c r="F7" s="760"/>
      <c r="G7" s="760"/>
      <c r="H7" s="743"/>
      <c r="I7" s="763">
        <v>44685</v>
      </c>
      <c r="J7" s="764"/>
      <c r="K7" s="742" t="s">
        <v>10</v>
      </c>
      <c r="L7" s="743"/>
      <c r="M7" s="769" t="s">
        <v>11</v>
      </c>
      <c r="N7" s="770"/>
      <c r="O7" s="732"/>
      <c r="P7" s="733"/>
      <c r="Q7" s="54"/>
      <c r="R7" s="54"/>
      <c r="S7" s="54"/>
      <c r="T7" s="54"/>
      <c r="U7" s="54"/>
      <c r="V7" s="54"/>
      <c r="W7" s="54"/>
      <c r="X7" s="54"/>
      <c r="Y7" s="54"/>
      <c r="Z7" s="55"/>
      <c r="AA7" s="54"/>
      <c r="AB7" s="54"/>
      <c r="AC7" s="60"/>
      <c r="AD7" s="61"/>
    </row>
    <row r="8" spans="1:30">
      <c r="A8" s="744"/>
      <c r="B8" s="745"/>
      <c r="C8" s="758"/>
      <c r="D8" s="744"/>
      <c r="E8" s="761"/>
      <c r="F8" s="761"/>
      <c r="G8" s="761"/>
      <c r="H8" s="745"/>
      <c r="I8" s="765"/>
      <c r="J8" s="766"/>
      <c r="K8" s="744"/>
      <c r="L8" s="745"/>
      <c r="M8" s="734" t="s">
        <v>12</v>
      </c>
      <c r="N8" s="735"/>
      <c r="O8" s="736"/>
      <c r="P8" s="737"/>
      <c r="Q8" s="54"/>
      <c r="R8" s="54"/>
      <c r="S8" s="54"/>
      <c r="T8" s="54"/>
      <c r="U8" s="54"/>
      <c r="V8" s="54"/>
      <c r="W8" s="54"/>
      <c r="X8" s="54"/>
      <c r="Y8" s="54"/>
      <c r="Z8" s="55"/>
      <c r="AA8" s="54"/>
      <c r="AB8" s="54"/>
      <c r="AC8" s="60"/>
      <c r="AD8" s="61"/>
    </row>
    <row r="9" spans="1:30" ht="15.75" thickBot="1">
      <c r="A9" s="746"/>
      <c r="B9" s="747"/>
      <c r="C9" s="759"/>
      <c r="D9" s="746"/>
      <c r="E9" s="762"/>
      <c r="F9" s="762"/>
      <c r="G9" s="762"/>
      <c r="H9" s="747"/>
      <c r="I9" s="767"/>
      <c r="J9" s="768"/>
      <c r="K9" s="746"/>
      <c r="L9" s="747"/>
      <c r="M9" s="738" t="s">
        <v>13</v>
      </c>
      <c r="N9" s="739"/>
      <c r="O9" s="740" t="s">
        <v>14</v>
      </c>
      <c r="P9" s="741"/>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742" t="s">
        <v>15</v>
      </c>
      <c r="B11" s="743"/>
      <c r="C11" s="748" t="s">
        <v>16</v>
      </c>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50"/>
    </row>
    <row r="12" spans="1:30" ht="15" customHeight="1">
      <c r="A12" s="744"/>
      <c r="B12" s="745"/>
      <c r="C12" s="751"/>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3"/>
    </row>
    <row r="13" spans="1:30" ht="15" customHeight="1" thickBot="1">
      <c r="A13" s="746"/>
      <c r="B13" s="747"/>
      <c r="C13" s="754"/>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19" t="s">
        <v>17</v>
      </c>
      <c r="B15" s="720"/>
      <c r="C15" s="726" t="s">
        <v>18</v>
      </c>
      <c r="D15" s="727"/>
      <c r="E15" s="727"/>
      <c r="F15" s="727"/>
      <c r="G15" s="727"/>
      <c r="H15" s="727"/>
      <c r="I15" s="727"/>
      <c r="J15" s="727"/>
      <c r="K15" s="728"/>
      <c r="L15" s="710" t="s">
        <v>19</v>
      </c>
      <c r="M15" s="711"/>
      <c r="N15" s="711"/>
      <c r="O15" s="711"/>
      <c r="P15" s="711"/>
      <c r="Q15" s="712"/>
      <c r="R15" s="729" t="s">
        <v>20</v>
      </c>
      <c r="S15" s="730"/>
      <c r="T15" s="730"/>
      <c r="U15" s="730"/>
      <c r="V15" s="730"/>
      <c r="W15" s="730"/>
      <c r="X15" s="731"/>
      <c r="Y15" s="710" t="s">
        <v>21</v>
      </c>
      <c r="Z15" s="712"/>
      <c r="AA15" s="726" t="s">
        <v>22</v>
      </c>
      <c r="AB15" s="727"/>
      <c r="AC15" s="727"/>
      <c r="AD15" s="728"/>
    </row>
    <row r="16" spans="1:30" ht="9" customHeight="1" thickBot="1">
      <c r="A16" s="59"/>
      <c r="B16" s="54"/>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3"/>
      <c r="AD16" s="74"/>
    </row>
    <row r="17" spans="1:44" s="76" customFormat="1" ht="37.5" customHeight="1" thickBot="1">
      <c r="A17" s="719" t="s">
        <v>23</v>
      </c>
      <c r="B17" s="720"/>
      <c r="C17" s="721" t="s">
        <v>24</v>
      </c>
      <c r="D17" s="722"/>
      <c r="E17" s="722"/>
      <c r="F17" s="722"/>
      <c r="G17" s="722"/>
      <c r="H17" s="722"/>
      <c r="I17" s="722"/>
      <c r="J17" s="722"/>
      <c r="K17" s="722"/>
      <c r="L17" s="722"/>
      <c r="M17" s="722"/>
      <c r="N17" s="722"/>
      <c r="O17" s="722"/>
      <c r="P17" s="722"/>
      <c r="Q17" s="723"/>
      <c r="R17" s="710" t="s">
        <v>25</v>
      </c>
      <c r="S17" s="711"/>
      <c r="T17" s="711"/>
      <c r="U17" s="711"/>
      <c r="V17" s="712"/>
      <c r="W17" s="724">
        <v>7000</v>
      </c>
      <c r="X17" s="725"/>
      <c r="Y17" s="711" t="s">
        <v>26</v>
      </c>
      <c r="Z17" s="711"/>
      <c r="AA17" s="711"/>
      <c r="AB17" s="712"/>
      <c r="AC17" s="708">
        <v>0.3</v>
      </c>
      <c r="AD17" s="709"/>
      <c r="AG17" s="625"/>
      <c r="AH17" s="625"/>
      <c r="AI17" s="625"/>
      <c r="AJ17" s="625"/>
      <c r="AK17" s="625"/>
      <c r="AL17" s="625"/>
      <c r="AM17" s="625"/>
      <c r="AN17" s="625"/>
      <c r="AO17" s="625"/>
    </row>
    <row r="18" spans="1:44"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hidden="1" customHeight="1" thickBot="1">
      <c r="A19" s="710" t="s">
        <v>27</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2"/>
      <c r="AE19" s="83"/>
      <c r="AF19" s="83"/>
      <c r="AG19" s="626"/>
    </row>
    <row r="20" spans="1:44" ht="32.1" customHeight="1" thickBot="1">
      <c r="A20" s="82"/>
      <c r="B20" s="60"/>
      <c r="C20" s="713" t="s">
        <v>28</v>
      </c>
      <c r="D20" s="714"/>
      <c r="E20" s="714"/>
      <c r="F20" s="714"/>
      <c r="G20" s="714"/>
      <c r="H20" s="714"/>
      <c r="I20" s="714"/>
      <c r="J20" s="714"/>
      <c r="K20" s="714"/>
      <c r="L20" s="714"/>
      <c r="M20" s="714"/>
      <c r="N20" s="714"/>
      <c r="O20" s="714"/>
      <c r="P20" s="715"/>
      <c r="Q20" s="713" t="s">
        <v>29</v>
      </c>
      <c r="R20" s="714"/>
      <c r="S20" s="714"/>
      <c r="T20" s="714"/>
      <c r="U20" s="714"/>
      <c r="V20" s="714"/>
      <c r="W20" s="714"/>
      <c r="X20" s="714"/>
      <c r="Y20" s="714"/>
      <c r="Z20" s="714"/>
      <c r="AA20" s="714"/>
      <c r="AB20" s="714"/>
      <c r="AC20" s="714"/>
      <c r="AD20" s="715"/>
      <c r="AE20" s="83"/>
      <c r="AF20" s="83"/>
      <c r="AG20" s="626"/>
    </row>
    <row r="21" spans="1:44" ht="32.1" customHeight="1" thickBot="1">
      <c r="A21" s="381"/>
      <c r="B21" s="56"/>
      <c r="C21" s="409" t="s">
        <v>30</v>
      </c>
      <c r="D21" s="410" t="s">
        <v>31</v>
      </c>
      <c r="E21" s="410" t="s">
        <v>8</v>
      </c>
      <c r="F21" s="410" t="s">
        <v>32</v>
      </c>
      <c r="G21" s="410" t="s">
        <v>33</v>
      </c>
      <c r="H21" s="410" t="s">
        <v>34</v>
      </c>
      <c r="I21" s="410" t="s">
        <v>35</v>
      </c>
      <c r="J21" s="410" t="s">
        <v>36</v>
      </c>
      <c r="K21" s="410" t="s">
        <v>37</v>
      </c>
      <c r="L21" s="410" t="s">
        <v>38</v>
      </c>
      <c r="M21" s="410" t="s">
        <v>39</v>
      </c>
      <c r="N21" s="410" t="s">
        <v>40</v>
      </c>
      <c r="O21" s="410" t="s">
        <v>41</v>
      </c>
      <c r="P21" s="411" t="s">
        <v>42</v>
      </c>
      <c r="Q21" s="409" t="s">
        <v>30</v>
      </c>
      <c r="R21" s="410" t="s">
        <v>31</v>
      </c>
      <c r="S21" s="410" t="s">
        <v>8</v>
      </c>
      <c r="T21" s="410" t="s">
        <v>32</v>
      </c>
      <c r="U21" s="410" t="s">
        <v>33</v>
      </c>
      <c r="V21" s="410" t="s">
        <v>34</v>
      </c>
      <c r="W21" s="410" t="s">
        <v>35</v>
      </c>
      <c r="X21" s="410" t="s">
        <v>36</v>
      </c>
      <c r="Y21" s="410" t="s">
        <v>37</v>
      </c>
      <c r="Z21" s="410" t="s">
        <v>38</v>
      </c>
      <c r="AA21" s="410" t="s">
        <v>39</v>
      </c>
      <c r="AB21" s="410" t="s">
        <v>40</v>
      </c>
      <c r="AC21" s="410" t="s">
        <v>41</v>
      </c>
      <c r="AD21" s="411" t="s">
        <v>42</v>
      </c>
      <c r="AE21" s="3"/>
      <c r="AF21" s="3"/>
      <c r="AG21" s="627"/>
    </row>
    <row r="22" spans="1:44" ht="32.1" customHeight="1">
      <c r="A22" s="716" t="s">
        <v>43</v>
      </c>
      <c r="B22" s="717"/>
      <c r="C22" s="167">
        <v>0</v>
      </c>
      <c r="D22" s="166">
        <v>0</v>
      </c>
      <c r="E22" s="166">
        <v>0</v>
      </c>
      <c r="F22" s="166">
        <v>0</v>
      </c>
      <c r="G22" s="166">
        <v>0</v>
      </c>
      <c r="H22" s="166">
        <v>0</v>
      </c>
      <c r="I22" s="166">
        <v>0</v>
      </c>
      <c r="J22" s="166">
        <v>0</v>
      </c>
      <c r="K22" s="166">
        <v>0</v>
      </c>
      <c r="L22" s="166">
        <v>0</v>
      </c>
      <c r="M22" s="166">
        <v>0</v>
      </c>
      <c r="N22" s="166">
        <v>0</v>
      </c>
      <c r="O22" s="166">
        <f>SUM(C22:N22)</f>
        <v>0</v>
      </c>
      <c r="P22" s="382"/>
      <c r="Q22" s="368">
        <v>1390832000</v>
      </c>
      <c r="R22" s="166">
        <v>0</v>
      </c>
      <c r="S22" s="369">
        <v>5539000</v>
      </c>
      <c r="T22" s="369">
        <f>(5500000*91%)+3360000+(150000000*33%)</f>
        <v>57865000</v>
      </c>
      <c r="U22" s="369">
        <f>(471340694*95%)+14783248</f>
        <v>462556907.29999995</v>
      </c>
      <c r="V22" s="369">
        <f>(58000000*86%)+(5117000*71%)+20000000+(71651306*81%)</f>
        <v>131550627.86000001</v>
      </c>
      <c r="W22" s="369">
        <f>157760500+92608376+92608376</f>
        <v>342977252</v>
      </c>
      <c r="X22" s="166">
        <v>0</v>
      </c>
      <c r="Y22" s="369">
        <v>10550000</v>
      </c>
      <c r="Z22" s="166">
        <v>0</v>
      </c>
      <c r="AA22" s="166">
        <v>0</v>
      </c>
      <c r="AB22" s="166">
        <v>0</v>
      </c>
      <c r="AC22" s="369">
        <f>SUM(Q22:AB22)</f>
        <v>2401870787.1599998</v>
      </c>
      <c r="AD22" s="170"/>
      <c r="AE22" s="3"/>
      <c r="AF22" s="3"/>
      <c r="AG22" s="627"/>
      <c r="AH22" s="628"/>
    </row>
    <row r="23" spans="1:44" ht="32.1" customHeight="1">
      <c r="A23" s="691" t="s">
        <v>44</v>
      </c>
      <c r="B23" s="693"/>
      <c r="C23" s="164">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368">
        <v>1351177000</v>
      </c>
      <c r="R23" s="166">
        <v>0</v>
      </c>
      <c r="S23" s="369">
        <v>41519667</v>
      </c>
      <c r="T23" s="657">
        <v>-360500</v>
      </c>
      <c r="U23" s="166">
        <v>0</v>
      </c>
      <c r="V23" s="166">
        <v>0</v>
      </c>
      <c r="W23" s="166">
        <v>0</v>
      </c>
      <c r="X23" s="166">
        <v>0</v>
      </c>
      <c r="Y23" s="166">
        <v>0</v>
      </c>
      <c r="Z23" s="166">
        <v>0</v>
      </c>
      <c r="AA23" s="166">
        <v>0</v>
      </c>
      <c r="AB23" s="166">
        <v>0</v>
      </c>
      <c r="AC23" s="635">
        <f>SUM(Q23:AB23)</f>
        <v>1392336167</v>
      </c>
      <c r="AD23" s="168">
        <f>AC23/AC22</f>
        <v>0.57968820572830004</v>
      </c>
      <c r="AE23" s="3"/>
      <c r="AF23" s="3"/>
      <c r="AG23" s="629" t="s">
        <v>45</v>
      </c>
      <c r="AH23" s="628"/>
    </row>
    <row r="24" spans="1:44" ht="32.1" customHeight="1">
      <c r="A24" s="691" t="s">
        <v>46</v>
      </c>
      <c r="B24" s="693"/>
      <c r="C24" s="164">
        <v>0</v>
      </c>
      <c r="D24" s="220">
        <f>106321566-'[1]Meta 2'!D24-'[1]Meta 3'!D24</f>
        <v>101788233</v>
      </c>
      <c r="E24" s="220">
        <v>124895643</v>
      </c>
      <c r="F24" s="452">
        <f>277514964+10440572</f>
        <v>287955536</v>
      </c>
      <c r="G24" s="163">
        <v>0</v>
      </c>
      <c r="H24" s="163">
        <v>0</v>
      </c>
      <c r="I24" s="163">
        <v>0</v>
      </c>
      <c r="J24" s="163">
        <v>0</v>
      </c>
      <c r="K24" s="163">
        <v>0</v>
      </c>
      <c r="L24" s="163">
        <v>0</v>
      </c>
      <c r="M24" s="163">
        <v>0</v>
      </c>
      <c r="N24" s="163">
        <v>0</v>
      </c>
      <c r="O24" s="369">
        <f>SUM(C24:N24)-4759996</f>
        <v>509879416</v>
      </c>
      <c r="P24" s="383"/>
      <c r="Q24" s="368">
        <v>0</v>
      </c>
      <c r="R24" s="369">
        <v>93098268.096666679</v>
      </c>
      <c r="S24" s="369">
        <v>167652934.76333335</v>
      </c>
      <c r="T24" s="369">
        <v>167652934.76333335</v>
      </c>
      <c r="U24" s="370">
        <v>167652934.76333335</v>
      </c>
      <c r="V24" s="370">
        <v>168278559.76333335</v>
      </c>
      <c r="W24" s="370">
        <v>213550774.04904768</v>
      </c>
      <c r="X24" s="370">
        <v>202142440.71571437</v>
      </c>
      <c r="Y24" s="370">
        <v>218642440.71571437</v>
      </c>
      <c r="Z24" s="370">
        <v>216925688.71571437</v>
      </c>
      <c r="AA24" s="370">
        <v>311250816.71571434</v>
      </c>
      <c r="AB24" s="370">
        <f>300289816.715714+174733177.382381</f>
        <v>475022994.09809494</v>
      </c>
      <c r="AC24" s="370">
        <f>SUM(Q24:AB24)</f>
        <v>2401870787.1600003</v>
      </c>
      <c r="AD24" s="168"/>
      <c r="AE24" s="3"/>
      <c r="AF24" s="3"/>
      <c r="AG24" s="627"/>
      <c r="AH24" s="628"/>
    </row>
    <row r="25" spans="1:44" ht="32.1" customHeight="1" thickBot="1">
      <c r="A25" s="695" t="s">
        <v>47</v>
      </c>
      <c r="B25" s="696"/>
      <c r="C25" s="478">
        <v>26967057.460000001</v>
      </c>
      <c r="D25" s="474">
        <v>9406242.5399999991</v>
      </c>
      <c r="E25" s="474">
        <v>180802209.08000001</v>
      </c>
      <c r="F25" s="474">
        <f>31500000</f>
        <v>31500000</v>
      </c>
      <c r="G25" s="165">
        <v>0</v>
      </c>
      <c r="H25" s="165">
        <v>0</v>
      </c>
      <c r="I25" s="165">
        <v>0</v>
      </c>
      <c r="J25" s="165">
        <v>0</v>
      </c>
      <c r="K25" s="165">
        <v>0</v>
      </c>
      <c r="L25" s="165">
        <v>0</v>
      </c>
      <c r="M25" s="165">
        <v>0</v>
      </c>
      <c r="N25" s="165">
        <v>0</v>
      </c>
      <c r="O25" s="512">
        <f>SUM(C25:N25)</f>
        <v>248675509.08000001</v>
      </c>
      <c r="P25" s="555">
        <f>O25/O24</f>
        <v>0.48771435221068038</v>
      </c>
      <c r="Q25" s="458">
        <v>0</v>
      </c>
      <c r="R25" s="458">
        <v>30987234</v>
      </c>
      <c r="S25" s="380">
        <v>121617000</v>
      </c>
      <c r="T25" s="380">
        <v>107712000</v>
      </c>
      <c r="U25" s="380">
        <v>0</v>
      </c>
      <c r="V25" s="380">
        <v>0</v>
      </c>
      <c r="W25" s="380">
        <v>0</v>
      </c>
      <c r="X25" s="380">
        <v>0</v>
      </c>
      <c r="Y25" s="380">
        <v>0</v>
      </c>
      <c r="Z25" s="380">
        <v>0</v>
      </c>
      <c r="AA25" s="380">
        <v>0</v>
      </c>
      <c r="AB25" s="380">
        <v>0</v>
      </c>
      <c r="AC25" s="371">
        <f>SUM(Q25:AB25)</f>
        <v>260316234</v>
      </c>
      <c r="AD25" s="169">
        <f>AC25/AC24</f>
        <v>0.10838061539013967</v>
      </c>
      <c r="AE25" s="3"/>
      <c r="AF25" s="3"/>
      <c r="AG25" s="630"/>
      <c r="AH25" s="628"/>
    </row>
    <row r="26" spans="1:44" ht="32.1" customHeight="1" thickBot="1">
      <c r="A26" s="59"/>
      <c r="B26" s="54"/>
      <c r="C26" s="80"/>
      <c r="D26" s="479"/>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G26" s="628"/>
      <c r="AI26" s="628"/>
    </row>
    <row r="27" spans="1:44" ht="33.950000000000003" customHeight="1">
      <c r="A27" s="697" t="s">
        <v>48</v>
      </c>
      <c r="B27" s="698"/>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row>
    <row r="28" spans="1:44" ht="15" customHeight="1">
      <c r="A28" s="701" t="s">
        <v>49</v>
      </c>
      <c r="B28" s="703" t="s">
        <v>50</v>
      </c>
      <c r="C28" s="704"/>
      <c r="D28" s="705" t="s">
        <v>51</v>
      </c>
      <c r="E28" s="706"/>
      <c r="F28" s="706"/>
      <c r="G28" s="706"/>
      <c r="H28" s="706"/>
      <c r="I28" s="706"/>
      <c r="J28" s="706"/>
      <c r="K28" s="706"/>
      <c r="L28" s="706"/>
      <c r="M28" s="706"/>
      <c r="N28" s="706"/>
      <c r="O28" s="707"/>
      <c r="P28" s="683" t="s">
        <v>41</v>
      </c>
      <c r="Q28" s="683" t="s">
        <v>52</v>
      </c>
      <c r="R28" s="683"/>
      <c r="S28" s="683"/>
      <c r="T28" s="683"/>
      <c r="U28" s="683"/>
      <c r="V28" s="683"/>
      <c r="W28" s="683"/>
      <c r="X28" s="683"/>
      <c r="Y28" s="683"/>
      <c r="Z28" s="683"/>
      <c r="AA28" s="683"/>
      <c r="AB28" s="683"/>
      <c r="AC28" s="683"/>
      <c r="AD28" s="693"/>
    </row>
    <row r="29" spans="1:44" ht="27" customHeight="1">
      <c r="A29" s="702"/>
      <c r="B29" s="670"/>
      <c r="C29" s="694"/>
      <c r="D29" s="88" t="s">
        <v>30</v>
      </c>
      <c r="E29" s="88" t="s">
        <v>31</v>
      </c>
      <c r="F29" s="88" t="s">
        <v>8</v>
      </c>
      <c r="G29" s="88" t="s">
        <v>32</v>
      </c>
      <c r="H29" s="88" t="s">
        <v>33</v>
      </c>
      <c r="I29" s="88" t="s">
        <v>34</v>
      </c>
      <c r="J29" s="88" t="s">
        <v>35</v>
      </c>
      <c r="K29" s="88" t="s">
        <v>36</v>
      </c>
      <c r="L29" s="88" t="s">
        <v>37</v>
      </c>
      <c r="M29" s="88" t="s">
        <v>38</v>
      </c>
      <c r="N29" s="88" t="s">
        <v>39</v>
      </c>
      <c r="O29" s="88" t="s">
        <v>40</v>
      </c>
      <c r="P29" s="707"/>
      <c r="Q29" s="683"/>
      <c r="R29" s="683"/>
      <c r="S29" s="683"/>
      <c r="T29" s="683"/>
      <c r="U29" s="683"/>
      <c r="V29" s="683"/>
      <c r="W29" s="683"/>
      <c r="X29" s="683"/>
      <c r="Y29" s="683"/>
      <c r="Z29" s="683"/>
      <c r="AA29" s="683"/>
      <c r="AB29" s="683"/>
      <c r="AC29" s="683"/>
      <c r="AD29" s="693"/>
    </row>
    <row r="30" spans="1:44" ht="140.25" customHeight="1" thickBot="1">
      <c r="A30" s="491" t="str">
        <f>C17</f>
        <v>Formar 26100 mujeres en sus derechos a través de procesos de desarrollo de capacidades en el uso TIC</v>
      </c>
      <c r="B30" s="684"/>
      <c r="C30" s="685"/>
      <c r="D30" s="180"/>
      <c r="E30" s="89"/>
      <c r="F30" s="89"/>
      <c r="G30" s="89"/>
      <c r="H30" s="89"/>
      <c r="I30" s="89"/>
      <c r="J30" s="89"/>
      <c r="K30" s="89"/>
      <c r="L30" s="89"/>
      <c r="M30" s="89"/>
      <c r="N30" s="89"/>
      <c r="O30" s="89"/>
      <c r="P30" s="86">
        <f>SUM(D30:O30)</f>
        <v>0</v>
      </c>
      <c r="Q30" s="686" t="s">
        <v>1156</v>
      </c>
      <c r="R30" s="686"/>
      <c r="S30" s="686"/>
      <c r="T30" s="686"/>
      <c r="U30" s="686"/>
      <c r="V30" s="686"/>
      <c r="W30" s="686"/>
      <c r="X30" s="686"/>
      <c r="Y30" s="686"/>
      <c r="Z30" s="686"/>
      <c r="AA30" s="686"/>
      <c r="AB30" s="686"/>
      <c r="AC30" s="686"/>
      <c r="AD30" s="687"/>
    </row>
    <row r="31" spans="1:44" ht="45" customHeight="1">
      <c r="A31" s="688" t="s">
        <v>53</v>
      </c>
      <c r="B31" s="68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90"/>
    </row>
    <row r="32" spans="1:44" ht="23.1" customHeight="1">
      <c r="A32" s="691" t="s">
        <v>54</v>
      </c>
      <c r="B32" s="683" t="s">
        <v>55</v>
      </c>
      <c r="C32" s="683" t="s">
        <v>50</v>
      </c>
      <c r="D32" s="683" t="s">
        <v>56</v>
      </c>
      <c r="E32" s="683"/>
      <c r="F32" s="683"/>
      <c r="G32" s="683"/>
      <c r="H32" s="683"/>
      <c r="I32" s="683"/>
      <c r="J32" s="683"/>
      <c r="K32" s="683"/>
      <c r="L32" s="683"/>
      <c r="M32" s="683"/>
      <c r="N32" s="683"/>
      <c r="O32" s="683"/>
      <c r="P32" s="683"/>
      <c r="Q32" s="683" t="s">
        <v>57</v>
      </c>
      <c r="R32" s="683"/>
      <c r="S32" s="683"/>
      <c r="T32" s="683"/>
      <c r="U32" s="683"/>
      <c r="V32" s="683"/>
      <c r="W32" s="683"/>
      <c r="X32" s="683"/>
      <c r="Y32" s="683"/>
      <c r="Z32" s="683"/>
      <c r="AA32" s="683"/>
      <c r="AB32" s="683"/>
      <c r="AC32" s="683"/>
      <c r="AD32" s="693"/>
      <c r="AG32" s="631"/>
      <c r="AH32" s="631"/>
      <c r="AI32" s="631"/>
      <c r="AJ32" s="632"/>
      <c r="AP32" s="160"/>
      <c r="AQ32" s="160"/>
      <c r="AR32" s="623"/>
    </row>
    <row r="33" spans="1:42" ht="23.1" customHeight="1">
      <c r="A33" s="691"/>
      <c r="B33" s="683"/>
      <c r="C33" s="692"/>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670" t="s">
        <v>58</v>
      </c>
      <c r="R33" s="671"/>
      <c r="S33" s="671"/>
      <c r="T33" s="671"/>
      <c r="U33" s="671"/>
      <c r="V33" s="694"/>
      <c r="W33" s="670" t="s">
        <v>59</v>
      </c>
      <c r="X33" s="671"/>
      <c r="Y33" s="671"/>
      <c r="Z33" s="694"/>
      <c r="AA33" s="670" t="s">
        <v>60</v>
      </c>
      <c r="AB33" s="671"/>
      <c r="AC33" s="671"/>
      <c r="AD33" s="672"/>
      <c r="AG33" s="159" t="s">
        <v>61</v>
      </c>
      <c r="AH33" s="500" t="s">
        <v>62</v>
      </c>
      <c r="AI33" s="500" t="s">
        <v>63</v>
      </c>
      <c r="AJ33" s="500" t="s">
        <v>101</v>
      </c>
      <c r="AK33" s="500"/>
      <c r="AL33" s="500"/>
      <c r="AM33" s="500"/>
      <c r="AN33" s="500"/>
      <c r="AO33" s="500"/>
      <c r="AP33" s="87"/>
    </row>
    <row r="34" spans="1:42" ht="167.25" customHeight="1">
      <c r="A34" s="673" t="str">
        <f>A30</f>
        <v>Formar 26100 mujeres en sus derechos a través de procesos de desarrollo de capacidades en el uso TIC</v>
      </c>
      <c r="B34" s="675">
        <f>B38+B40+B42+B44+B46+B48</f>
        <v>0.3</v>
      </c>
      <c r="C34" s="90" t="s">
        <v>64</v>
      </c>
      <c r="D34" s="180">
        <v>0</v>
      </c>
      <c r="E34" s="592">
        <v>500</v>
      </c>
      <c r="F34" s="592">
        <v>700</v>
      </c>
      <c r="G34" s="592">
        <v>700</v>
      </c>
      <c r="H34" s="592">
        <v>700</v>
      </c>
      <c r="I34" s="592">
        <v>700</v>
      </c>
      <c r="J34" s="592">
        <v>700</v>
      </c>
      <c r="K34" s="592">
        <v>700</v>
      </c>
      <c r="L34" s="592">
        <v>700</v>
      </c>
      <c r="M34" s="592">
        <v>700</v>
      </c>
      <c r="N34" s="592">
        <v>700</v>
      </c>
      <c r="O34" s="592">
        <v>200</v>
      </c>
      <c r="P34" s="592">
        <f>SUM(D34:O34)</f>
        <v>7000</v>
      </c>
      <c r="Q34" s="677" t="s">
        <v>1157</v>
      </c>
      <c r="R34" s="678"/>
      <c r="S34" s="678"/>
      <c r="T34" s="678"/>
      <c r="U34" s="678"/>
      <c r="V34" s="679"/>
      <c r="W34" s="677" t="s">
        <v>65</v>
      </c>
      <c r="X34" s="678"/>
      <c r="Y34" s="678"/>
      <c r="Z34" s="679"/>
      <c r="AA34" s="677" t="s">
        <v>1158</v>
      </c>
      <c r="AB34" s="678"/>
      <c r="AC34" s="678"/>
      <c r="AD34" s="678"/>
      <c r="AG34" s="624" t="s">
        <v>66</v>
      </c>
      <c r="AH34" s="624" t="s">
        <v>1159</v>
      </c>
      <c r="AI34" s="624" t="s">
        <v>1160</v>
      </c>
      <c r="AJ34" s="624" t="s">
        <v>1155</v>
      </c>
      <c r="AK34" s="631"/>
      <c r="AL34" s="631"/>
      <c r="AM34" s="631"/>
      <c r="AO34" s="631"/>
      <c r="AP34" s="87"/>
    </row>
    <row r="35" spans="1:42" ht="167.25" customHeight="1">
      <c r="A35" s="674"/>
      <c r="B35" s="676"/>
      <c r="C35" s="181" t="s">
        <v>67</v>
      </c>
      <c r="D35" s="453">
        <v>0</v>
      </c>
      <c r="E35" s="454">
        <v>531</v>
      </c>
      <c r="F35" s="454">
        <v>950</v>
      </c>
      <c r="G35" s="454">
        <v>740</v>
      </c>
      <c r="H35" s="455"/>
      <c r="I35" s="455"/>
      <c r="J35" s="455"/>
      <c r="K35" s="455"/>
      <c r="L35" s="455"/>
      <c r="M35" s="455"/>
      <c r="N35" s="455"/>
      <c r="O35" s="455"/>
      <c r="P35" s="456">
        <f>SUM(D35:O35)</f>
        <v>2221</v>
      </c>
      <c r="Q35" s="680"/>
      <c r="R35" s="681"/>
      <c r="S35" s="681"/>
      <c r="T35" s="681"/>
      <c r="U35" s="681"/>
      <c r="V35" s="682"/>
      <c r="W35" s="680"/>
      <c r="X35" s="681"/>
      <c r="Y35" s="681"/>
      <c r="Z35" s="682"/>
      <c r="AA35" s="680"/>
      <c r="AB35" s="681"/>
      <c r="AC35" s="681"/>
      <c r="AD35" s="681"/>
      <c r="AE35" s="49"/>
      <c r="AF35" s="49"/>
      <c r="AG35" s="634">
        <f>LEN(AG34)</f>
        <v>294</v>
      </c>
      <c r="AH35" s="634">
        <f>LEN(AH34)</f>
        <v>294</v>
      </c>
      <c r="AI35" s="634">
        <f>LEN(AI34)</f>
        <v>294</v>
      </c>
      <c r="AJ35" s="634">
        <f>LEN(AJ34)</f>
        <v>300</v>
      </c>
      <c r="AK35" s="631"/>
      <c r="AL35" s="631"/>
      <c r="AM35" s="631"/>
      <c r="AN35" s="631"/>
      <c r="AO35" s="631"/>
      <c r="AP35" s="87"/>
    </row>
    <row r="36" spans="1:42" ht="26.1" customHeight="1">
      <c r="A36" s="683" t="s">
        <v>68</v>
      </c>
      <c r="B36" s="683" t="s">
        <v>69</v>
      </c>
      <c r="C36" s="683" t="s">
        <v>70</v>
      </c>
      <c r="D36" s="683"/>
      <c r="E36" s="683"/>
      <c r="F36" s="683"/>
      <c r="G36" s="683"/>
      <c r="H36" s="683"/>
      <c r="I36" s="683"/>
      <c r="J36" s="683"/>
      <c r="K36" s="683"/>
      <c r="L36" s="683"/>
      <c r="M36" s="683"/>
      <c r="N36" s="683"/>
      <c r="O36" s="683"/>
      <c r="P36" s="683"/>
      <c r="Q36" s="683" t="s">
        <v>71</v>
      </c>
      <c r="R36" s="683"/>
      <c r="S36" s="683"/>
      <c r="T36" s="683"/>
      <c r="U36" s="683"/>
      <c r="V36" s="683"/>
      <c r="W36" s="683"/>
      <c r="X36" s="683"/>
      <c r="Y36" s="683"/>
      <c r="Z36" s="683"/>
      <c r="AA36" s="683"/>
      <c r="AB36" s="683"/>
      <c r="AC36" s="683"/>
      <c r="AD36" s="683"/>
      <c r="AH36" s="631"/>
      <c r="AI36" s="631"/>
      <c r="AJ36" s="631"/>
      <c r="AK36" s="631"/>
      <c r="AL36" s="631"/>
      <c r="AM36" s="631"/>
      <c r="AN36" s="631"/>
      <c r="AO36" s="631"/>
      <c r="AP36" s="87"/>
    </row>
    <row r="37" spans="1:42" ht="26.1" customHeight="1">
      <c r="A37" s="683"/>
      <c r="B37" s="683"/>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683" t="s">
        <v>86</v>
      </c>
      <c r="R37" s="683"/>
      <c r="S37" s="683"/>
      <c r="T37" s="683"/>
      <c r="U37" s="683"/>
      <c r="V37" s="683"/>
      <c r="W37" s="683"/>
      <c r="X37" s="683"/>
      <c r="Y37" s="683"/>
      <c r="Z37" s="683"/>
      <c r="AA37" s="683"/>
      <c r="AB37" s="683"/>
      <c r="AC37" s="683"/>
      <c r="AD37" s="683"/>
      <c r="AH37" s="632"/>
      <c r="AI37" s="632"/>
      <c r="AJ37" s="632"/>
      <c r="AK37" s="632"/>
      <c r="AL37" s="632"/>
      <c r="AM37" s="632"/>
      <c r="AN37" s="632"/>
      <c r="AO37" s="632"/>
      <c r="AP37" s="94"/>
    </row>
    <row r="38" spans="1:42" ht="128.25" customHeight="1">
      <c r="A38" s="665" t="s">
        <v>87</v>
      </c>
      <c r="B38" s="666">
        <v>0.05</v>
      </c>
      <c r="C38" s="102" t="s">
        <v>64</v>
      </c>
      <c r="D38" s="103">
        <v>0</v>
      </c>
      <c r="E38" s="103">
        <v>0.05</v>
      </c>
      <c r="F38" s="103">
        <v>0.1</v>
      </c>
      <c r="G38" s="103">
        <v>0.1</v>
      </c>
      <c r="H38" s="103">
        <v>0.1</v>
      </c>
      <c r="I38" s="103">
        <v>0.1</v>
      </c>
      <c r="J38" s="103">
        <v>0.1</v>
      </c>
      <c r="K38" s="103">
        <v>0.1</v>
      </c>
      <c r="L38" s="103">
        <v>0.1</v>
      </c>
      <c r="M38" s="103">
        <v>0.1</v>
      </c>
      <c r="N38" s="103">
        <v>0.1</v>
      </c>
      <c r="O38" s="103">
        <v>0.05</v>
      </c>
      <c r="P38" s="182">
        <f t="shared" ref="P38:P49" si="0">SUM(D38:O38)</f>
        <v>0.99999999999999989</v>
      </c>
      <c r="Q38" s="669" t="s">
        <v>1161</v>
      </c>
      <c r="R38" s="669"/>
      <c r="S38" s="669"/>
      <c r="T38" s="669"/>
      <c r="U38" s="669"/>
      <c r="V38" s="669"/>
      <c r="W38" s="669"/>
      <c r="X38" s="669"/>
      <c r="Y38" s="669"/>
      <c r="Z38" s="669"/>
      <c r="AA38" s="669"/>
      <c r="AB38" s="669"/>
      <c r="AC38" s="669"/>
      <c r="AD38" s="669"/>
      <c r="AE38" s="641">
        <f>LEN(Q38)</f>
        <v>1144</v>
      </c>
      <c r="AF38" s="641"/>
    </row>
    <row r="39" spans="1:42" ht="128.25" customHeight="1">
      <c r="A39" s="665"/>
      <c r="B39" s="666"/>
      <c r="C39" s="99" t="s">
        <v>67</v>
      </c>
      <c r="D39" s="100">
        <v>0</v>
      </c>
      <c r="E39" s="100">
        <v>0.05</v>
      </c>
      <c r="F39" s="100">
        <v>0.1</v>
      </c>
      <c r="G39" s="100">
        <v>0.1</v>
      </c>
      <c r="H39" s="100"/>
      <c r="I39" s="100"/>
      <c r="J39" s="100"/>
      <c r="K39" s="100"/>
      <c r="L39" s="100"/>
      <c r="M39" s="100"/>
      <c r="N39" s="100"/>
      <c r="O39" s="100"/>
      <c r="P39" s="182">
        <f t="shared" si="0"/>
        <v>0.25</v>
      </c>
      <c r="Q39" s="669"/>
      <c r="R39" s="669"/>
      <c r="S39" s="669"/>
      <c r="T39" s="669"/>
      <c r="U39" s="669"/>
      <c r="V39" s="669"/>
      <c r="W39" s="669"/>
      <c r="X39" s="669"/>
      <c r="Y39" s="669"/>
      <c r="Z39" s="669"/>
      <c r="AA39" s="669"/>
      <c r="AB39" s="669"/>
      <c r="AC39" s="669"/>
      <c r="AD39" s="669"/>
      <c r="AE39" s="97"/>
      <c r="AF39" s="97"/>
    </row>
    <row r="40" spans="1:42" ht="156" customHeight="1">
      <c r="A40" s="665" t="s">
        <v>88</v>
      </c>
      <c r="B40" s="666">
        <v>0.05</v>
      </c>
      <c r="C40" s="102" t="s">
        <v>64</v>
      </c>
      <c r="D40" s="103">
        <v>0</v>
      </c>
      <c r="E40" s="103">
        <v>0.05</v>
      </c>
      <c r="F40" s="103">
        <v>0.2</v>
      </c>
      <c r="G40" s="103">
        <v>0.2</v>
      </c>
      <c r="H40" s="103">
        <v>0.2</v>
      </c>
      <c r="I40" s="103">
        <v>0.1</v>
      </c>
      <c r="J40" s="103">
        <v>0.05</v>
      </c>
      <c r="K40" s="103">
        <v>0.05</v>
      </c>
      <c r="L40" s="103">
        <v>0.05</v>
      </c>
      <c r="M40" s="103">
        <v>0.05</v>
      </c>
      <c r="N40" s="103">
        <v>0.05</v>
      </c>
      <c r="O40" s="103">
        <v>0</v>
      </c>
      <c r="P40" s="182">
        <f t="shared" si="0"/>
        <v>1.0000000000000002</v>
      </c>
      <c r="Q40" s="669" t="s">
        <v>1192</v>
      </c>
      <c r="R40" s="669"/>
      <c r="S40" s="669"/>
      <c r="T40" s="669"/>
      <c r="U40" s="669"/>
      <c r="V40" s="669"/>
      <c r="W40" s="669"/>
      <c r="X40" s="669"/>
      <c r="Y40" s="669"/>
      <c r="Z40" s="669"/>
      <c r="AA40" s="669"/>
      <c r="AB40" s="669"/>
      <c r="AC40" s="669"/>
      <c r="AD40" s="669"/>
      <c r="AE40" s="641">
        <f>LEN(Q40)</f>
        <v>1946</v>
      </c>
      <c r="AF40" s="641"/>
    </row>
    <row r="41" spans="1:42" ht="156" customHeight="1">
      <c r="A41" s="665"/>
      <c r="B41" s="666"/>
      <c r="C41" s="99" t="s">
        <v>67</v>
      </c>
      <c r="D41" s="100">
        <v>0</v>
      </c>
      <c r="E41" s="100">
        <v>0.05</v>
      </c>
      <c r="F41" s="100">
        <v>0.2</v>
      </c>
      <c r="G41" s="100">
        <v>0.2</v>
      </c>
      <c r="H41" s="100"/>
      <c r="I41" s="100"/>
      <c r="J41" s="100"/>
      <c r="K41" s="100"/>
      <c r="L41" s="100"/>
      <c r="M41" s="100"/>
      <c r="N41" s="100"/>
      <c r="O41" s="100"/>
      <c r="P41" s="182">
        <f t="shared" si="0"/>
        <v>0.45</v>
      </c>
      <c r="Q41" s="669"/>
      <c r="R41" s="669"/>
      <c r="S41" s="669"/>
      <c r="T41" s="669"/>
      <c r="U41" s="669"/>
      <c r="V41" s="669"/>
      <c r="W41" s="669"/>
      <c r="X41" s="669"/>
      <c r="Y41" s="669"/>
      <c r="Z41" s="669"/>
      <c r="AA41" s="669"/>
      <c r="AB41" s="669"/>
      <c r="AC41" s="669"/>
      <c r="AD41" s="669"/>
      <c r="AE41" s="97"/>
      <c r="AF41" s="97"/>
    </row>
    <row r="42" spans="1:42" ht="219" customHeight="1">
      <c r="A42" s="665" t="s">
        <v>89</v>
      </c>
      <c r="B42" s="666">
        <v>0.05</v>
      </c>
      <c r="C42" s="102" t="s">
        <v>64</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82">
        <f t="shared" si="0"/>
        <v>1.0009999999999999</v>
      </c>
      <c r="Q42" s="668" t="s">
        <v>1193</v>
      </c>
      <c r="R42" s="668"/>
      <c r="S42" s="668"/>
      <c r="T42" s="668"/>
      <c r="U42" s="668"/>
      <c r="V42" s="668"/>
      <c r="W42" s="668"/>
      <c r="X42" s="668"/>
      <c r="Y42" s="668"/>
      <c r="Z42" s="668"/>
      <c r="AA42" s="668"/>
      <c r="AB42" s="668"/>
      <c r="AC42" s="668"/>
      <c r="AD42" s="668"/>
      <c r="AE42" s="641">
        <f>LEN(Q42)</f>
        <v>1948</v>
      </c>
      <c r="AF42" s="641"/>
    </row>
    <row r="43" spans="1:42" ht="219" customHeight="1">
      <c r="A43" s="665"/>
      <c r="B43" s="666"/>
      <c r="C43" s="99" t="s">
        <v>67</v>
      </c>
      <c r="D43" s="100">
        <v>0</v>
      </c>
      <c r="E43" s="100">
        <v>9.0999999999999998E-2</v>
      </c>
      <c r="F43" s="100">
        <v>0.09</v>
      </c>
      <c r="G43" s="100">
        <v>0.09</v>
      </c>
      <c r="H43" s="100"/>
      <c r="I43" s="100"/>
      <c r="J43" s="100"/>
      <c r="K43" s="100"/>
      <c r="L43" s="100"/>
      <c r="M43" s="100"/>
      <c r="N43" s="100"/>
      <c r="O43" s="100"/>
      <c r="P43" s="182">
        <f t="shared" si="0"/>
        <v>0.27100000000000002</v>
      </c>
      <c r="Q43" s="668"/>
      <c r="R43" s="668"/>
      <c r="S43" s="668"/>
      <c r="T43" s="668"/>
      <c r="U43" s="668"/>
      <c r="V43" s="668"/>
      <c r="W43" s="668"/>
      <c r="X43" s="668"/>
      <c r="Y43" s="668"/>
      <c r="Z43" s="668"/>
      <c r="AA43" s="668"/>
      <c r="AB43" s="668"/>
      <c r="AC43" s="668"/>
      <c r="AD43" s="668"/>
      <c r="AE43" s="97"/>
      <c r="AF43" s="97"/>
    </row>
    <row r="44" spans="1:42" ht="74.25" customHeight="1">
      <c r="A44" s="665" t="s">
        <v>90</v>
      </c>
      <c r="B44" s="666">
        <v>0.05</v>
      </c>
      <c r="C44" s="102" t="s">
        <v>64</v>
      </c>
      <c r="D44" s="103">
        <v>0</v>
      </c>
      <c r="E44" s="103">
        <v>0</v>
      </c>
      <c r="F44" s="103">
        <v>0.25</v>
      </c>
      <c r="G44" s="103">
        <v>0</v>
      </c>
      <c r="H44" s="103">
        <v>0</v>
      </c>
      <c r="I44" s="103">
        <v>0.25</v>
      </c>
      <c r="J44" s="103">
        <v>0</v>
      </c>
      <c r="K44" s="103">
        <v>0</v>
      </c>
      <c r="L44" s="103">
        <v>0.25</v>
      </c>
      <c r="M44" s="103">
        <v>0</v>
      </c>
      <c r="N44" s="103">
        <v>0</v>
      </c>
      <c r="O44" s="103">
        <v>0.25</v>
      </c>
      <c r="P44" s="182">
        <f>SUM(D44:O44)</f>
        <v>1</v>
      </c>
      <c r="Q44" s="667" t="s">
        <v>1162</v>
      </c>
      <c r="R44" s="667"/>
      <c r="S44" s="667"/>
      <c r="T44" s="667"/>
      <c r="U44" s="667"/>
      <c r="V44" s="667"/>
      <c r="W44" s="667"/>
      <c r="X44" s="667"/>
      <c r="Y44" s="667"/>
      <c r="Z44" s="667"/>
      <c r="AA44" s="667"/>
      <c r="AB44" s="667"/>
      <c r="AC44" s="667"/>
      <c r="AD44" s="667"/>
      <c r="AE44" s="641">
        <f>LEN(Q44)</f>
        <v>767</v>
      </c>
      <c r="AF44" s="641"/>
    </row>
    <row r="45" spans="1:42" ht="74.25" customHeight="1">
      <c r="A45" s="665"/>
      <c r="B45" s="666"/>
      <c r="C45" s="99" t="s">
        <v>67</v>
      </c>
      <c r="D45" s="100">
        <v>0</v>
      </c>
      <c r="E45" s="100">
        <v>0</v>
      </c>
      <c r="F45" s="100">
        <v>0.1</v>
      </c>
      <c r="G45" s="100">
        <v>0.15</v>
      </c>
      <c r="H45" s="100"/>
      <c r="I45" s="100"/>
      <c r="J45" s="100"/>
      <c r="K45" s="100"/>
      <c r="L45" s="100"/>
      <c r="M45" s="100"/>
      <c r="N45" s="100"/>
      <c r="O45" s="100"/>
      <c r="P45" s="182">
        <f t="shared" si="0"/>
        <v>0.25</v>
      </c>
      <c r="Q45" s="667"/>
      <c r="R45" s="667"/>
      <c r="S45" s="667"/>
      <c r="T45" s="667"/>
      <c r="U45" s="667"/>
      <c r="V45" s="667"/>
      <c r="W45" s="667"/>
      <c r="X45" s="667"/>
      <c r="Y45" s="667"/>
      <c r="Z45" s="667"/>
      <c r="AA45" s="667"/>
      <c r="AB45" s="667"/>
      <c r="AC45" s="667"/>
      <c r="AD45" s="667"/>
      <c r="AE45" s="97"/>
      <c r="AF45" s="97"/>
      <c r="AL45" s="633"/>
    </row>
    <row r="46" spans="1:42" ht="108.75" customHeight="1">
      <c r="A46" s="665" t="s">
        <v>1163</v>
      </c>
      <c r="B46" s="666">
        <v>0.05</v>
      </c>
      <c r="C46" s="102" t="s">
        <v>64</v>
      </c>
      <c r="D46" s="103">
        <v>0</v>
      </c>
      <c r="E46" s="103">
        <v>0.2</v>
      </c>
      <c r="F46" s="103">
        <v>0.2</v>
      </c>
      <c r="G46" s="103">
        <v>0.2</v>
      </c>
      <c r="H46" s="103">
        <v>0.2</v>
      </c>
      <c r="I46" s="103">
        <v>0.1</v>
      </c>
      <c r="J46" s="103">
        <v>0.1</v>
      </c>
      <c r="K46" s="103">
        <v>0</v>
      </c>
      <c r="L46" s="103">
        <v>0</v>
      </c>
      <c r="M46" s="103">
        <v>0</v>
      </c>
      <c r="N46" s="103">
        <v>0</v>
      </c>
      <c r="O46" s="103">
        <v>0</v>
      </c>
      <c r="P46" s="182">
        <f>SUM(D46:O46)</f>
        <v>1</v>
      </c>
      <c r="Q46" s="667" t="s">
        <v>1164</v>
      </c>
      <c r="R46" s="667"/>
      <c r="S46" s="667"/>
      <c r="T46" s="667"/>
      <c r="U46" s="667"/>
      <c r="V46" s="667"/>
      <c r="W46" s="667"/>
      <c r="X46" s="667"/>
      <c r="Y46" s="667"/>
      <c r="Z46" s="667"/>
      <c r="AA46" s="667"/>
      <c r="AB46" s="667"/>
      <c r="AC46" s="667"/>
      <c r="AD46" s="667"/>
      <c r="AE46" s="641">
        <f>LEN(Q46)</f>
        <v>1589</v>
      </c>
      <c r="AF46" s="641"/>
    </row>
    <row r="47" spans="1:42" ht="108.75" customHeight="1">
      <c r="A47" s="665"/>
      <c r="B47" s="666"/>
      <c r="C47" s="99" t="s">
        <v>67</v>
      </c>
      <c r="D47" s="100">
        <v>0</v>
      </c>
      <c r="E47" s="100">
        <v>0.2</v>
      </c>
      <c r="F47" s="100">
        <v>0.05</v>
      </c>
      <c r="G47" s="100">
        <v>0.2</v>
      </c>
      <c r="H47" s="100"/>
      <c r="I47" s="100"/>
      <c r="J47" s="100"/>
      <c r="K47" s="100"/>
      <c r="L47" s="100"/>
      <c r="M47" s="100"/>
      <c r="N47" s="100"/>
      <c r="O47" s="100"/>
      <c r="P47" s="182">
        <f t="shared" si="0"/>
        <v>0.45</v>
      </c>
      <c r="Q47" s="667"/>
      <c r="R47" s="667"/>
      <c r="S47" s="667"/>
      <c r="T47" s="667"/>
      <c r="U47" s="667"/>
      <c r="V47" s="667"/>
      <c r="W47" s="667"/>
      <c r="X47" s="667"/>
      <c r="Y47" s="667"/>
      <c r="Z47" s="667"/>
      <c r="AA47" s="667"/>
      <c r="AB47" s="667"/>
      <c r="AC47" s="667"/>
      <c r="AD47" s="667"/>
      <c r="AE47" s="97"/>
      <c r="AF47" s="97"/>
    </row>
    <row r="48" spans="1:42" ht="45.75" customHeight="1">
      <c r="A48" s="665" t="s">
        <v>91</v>
      </c>
      <c r="B48" s="666">
        <v>0.05</v>
      </c>
      <c r="C48" s="102" t="s">
        <v>64</v>
      </c>
      <c r="D48" s="103">
        <v>0</v>
      </c>
      <c r="E48" s="103">
        <v>0</v>
      </c>
      <c r="F48" s="103">
        <v>0</v>
      </c>
      <c r="G48" s="103">
        <v>0</v>
      </c>
      <c r="H48" s="103">
        <v>0</v>
      </c>
      <c r="I48" s="103">
        <v>0</v>
      </c>
      <c r="J48" s="103">
        <v>0.2</v>
      </c>
      <c r="K48" s="103">
        <v>0.2</v>
      </c>
      <c r="L48" s="103">
        <v>0.2</v>
      </c>
      <c r="M48" s="103">
        <v>0.2</v>
      </c>
      <c r="N48" s="103">
        <v>0.1</v>
      </c>
      <c r="O48" s="103">
        <v>0.1</v>
      </c>
      <c r="P48" s="182">
        <f t="shared" si="0"/>
        <v>1</v>
      </c>
      <c r="Q48" s="667" t="s">
        <v>1165</v>
      </c>
      <c r="R48" s="667"/>
      <c r="S48" s="667"/>
      <c r="T48" s="667"/>
      <c r="U48" s="667"/>
      <c r="V48" s="667"/>
      <c r="W48" s="667"/>
      <c r="X48" s="667"/>
      <c r="Y48" s="667"/>
      <c r="Z48" s="667"/>
      <c r="AA48" s="667"/>
      <c r="AB48" s="667"/>
      <c r="AC48" s="667"/>
      <c r="AD48" s="667"/>
      <c r="AE48" s="641">
        <f>LEN(Q48)</f>
        <v>308</v>
      </c>
      <c r="AF48" s="641"/>
    </row>
    <row r="49" spans="1:32" ht="45.75" customHeight="1">
      <c r="A49" s="665"/>
      <c r="B49" s="666"/>
      <c r="C49" s="99" t="s">
        <v>67</v>
      </c>
      <c r="D49" s="100">
        <v>0</v>
      </c>
      <c r="E49" s="100">
        <v>0</v>
      </c>
      <c r="F49" s="100">
        <v>0</v>
      </c>
      <c r="G49" s="100">
        <v>0</v>
      </c>
      <c r="H49" s="100"/>
      <c r="I49" s="100"/>
      <c r="J49" s="100"/>
      <c r="K49" s="100"/>
      <c r="L49" s="100"/>
      <c r="M49" s="100"/>
      <c r="N49" s="100"/>
      <c r="O49" s="100"/>
      <c r="P49" s="182">
        <f t="shared" si="0"/>
        <v>0</v>
      </c>
      <c r="Q49" s="667"/>
      <c r="R49" s="667"/>
      <c r="S49" s="667"/>
      <c r="T49" s="667"/>
      <c r="U49" s="667"/>
      <c r="V49" s="667"/>
      <c r="W49" s="667"/>
      <c r="X49" s="667"/>
      <c r="Y49" s="667"/>
      <c r="Z49" s="667"/>
      <c r="AA49" s="667"/>
      <c r="AB49" s="667"/>
      <c r="AC49" s="667"/>
      <c r="AD49" s="667"/>
      <c r="AE49" s="97"/>
      <c r="AF49" s="97"/>
    </row>
    <row r="50" spans="1:32">
      <c r="A50" s="50" t="s">
        <v>92</v>
      </c>
    </row>
    <row r="51" spans="1:32">
      <c r="B51" s="389">
        <f>SUM(B38:B50)</f>
        <v>0.3</v>
      </c>
    </row>
  </sheetData>
  <mergeCells count="8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A48:A49"/>
    <mergeCell ref="B48:B49"/>
    <mergeCell ref="Q48:AD49"/>
    <mergeCell ref="B46:B47"/>
    <mergeCell ref="Q42:AD43"/>
    <mergeCell ref="Q44:AD45"/>
    <mergeCell ref="Q46:AD47"/>
    <mergeCell ref="A44:A45"/>
    <mergeCell ref="B44:B45"/>
    <mergeCell ref="A46:A47"/>
  </mergeCells>
  <dataValidations count="3">
    <dataValidation type="list" allowBlank="1" showInputMessage="1" showErrorMessage="1" sqref="C7:C9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C65543:C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C131079:C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C196615:C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C262151:C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C327687:C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C393223:C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C458759:C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C524295:C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C589831:C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C655367:C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C720903:C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C786439:C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C851975:C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C917511:C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C983047:C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N983070:KA983070 TJ983070:TW983070 ADF983070:ADS983070 ANB983070:ANO983070 AWX983070:AXK983070 BGT983070:BHG983070 BQP983070:BRC983070 CAL983070:CAY983070 CKH983070:CKU983070 CUD983070:CUQ983070 DDZ983070:DEM983070 DNV983070:DOI983070 DXR983070:DYE983070 EHN983070:EIA983070 ERJ983070:ERW983070 FBF983070:FBS983070 FLB983070:FLO983070 FUX983070:FVK983070 GET983070:GFG983070 GOP983070:GPC983070 GYL983070:GYY983070 HIH983070:HIU983070 HSD983070:HSQ983070 IBZ983070:ICM983070 ILV983070:IMI983070 IVR983070:IWE983070 JFN983070:JGA983070 JPJ983070:JPW983070 JZF983070:JZS983070 KJB983070:KJO983070 KSX983070:KTK983070 LCT983070:LDG983070 LMP983070:LNC983070 LWL983070:LWY983070 MGH983070:MGU983070 MQD983070:MQQ983070 MZZ983070:NAM983070 NJV983070:NKI983070 NTR983070:NUE983070 ODN983070:OEA983070 ONJ983070:ONW983070 OXF983070:OXS983070 PHB983070:PHO983070 PQX983070:PRK983070 QAT983070:QBG983070 QKP983070:QLC983070 QUL983070:QUY983070 REH983070:REU983070 ROD983070:ROQ983070 RXZ983070:RYM983070 SHV983070:SII983070 SRR983070:SSE983070 TBN983070:TCA983070 TLJ983070:TLW983070 TVF983070:TVS983070 UFB983070:UFO983070 UOX983070:UPK983070 UYT983070:UZG983070 VIP983070:VJC983070 VSL983070:VSY983070 WCH983070:WCU983070 WMD983070:WMQ983070 WVZ983070:WWM983070 Q65566:AD65566 JN65566:KA65566 TJ65566:TW65566 ADF65566:ADS65566 ANB65566:ANO65566 AWX65566:AXK65566 BGT65566:BHG65566 BQP65566:BRC65566 CAL65566:CAY65566 CKH65566:CKU65566 CUD65566:CUQ65566 DDZ65566:DEM65566 DNV65566:DOI65566 DXR65566:DYE65566 EHN65566:EIA65566 ERJ65566:ERW65566 FBF65566:FBS65566 FLB65566:FLO65566 FUX65566:FVK65566 GET65566:GFG65566 GOP65566:GPC65566 GYL65566:GYY65566 HIH65566:HIU65566 HSD65566:HSQ65566 IBZ65566:ICM65566 ILV65566:IMI65566 IVR65566:IWE65566 JFN65566:JGA65566 JPJ65566:JPW65566 JZF65566:JZS65566 KJB65566:KJO65566 KSX65566:KTK65566 LCT65566:LDG65566 LMP65566:LNC65566 LWL65566:LWY65566 MGH65566:MGU65566 MQD65566:MQQ65566 MZZ65566:NAM65566 NJV65566:NKI65566 NTR65566:NUE65566 ODN65566:OEA65566 ONJ65566:ONW65566 OXF65566:OXS65566 PHB65566:PHO65566 PQX65566:PRK65566 QAT65566:QBG65566 QKP65566:QLC65566 QUL65566:QUY65566 REH65566:REU65566 ROD65566:ROQ65566 RXZ65566:RYM65566 SHV65566:SII65566 SRR65566:SSE65566 TBN65566:TCA65566 TLJ65566:TLW65566 TVF65566:TVS65566 UFB65566:UFO65566 UOX65566:UPK65566 UYT65566:UZG65566 VIP65566:VJC65566 VSL65566:VSY65566 WCH65566:WCU65566 WMD65566:WMQ65566 WVZ65566:WWM65566 Q131102:AD131102 JN131102:KA131102 TJ131102:TW131102 ADF131102:ADS131102 ANB131102:ANO131102 AWX131102:AXK131102 BGT131102:BHG131102 BQP131102:BRC131102 CAL131102:CAY131102 CKH131102:CKU131102 CUD131102:CUQ131102 DDZ131102:DEM131102 DNV131102:DOI131102 DXR131102:DYE131102 EHN131102:EIA131102 ERJ131102:ERW131102 FBF131102:FBS131102 FLB131102:FLO131102 FUX131102:FVK131102 GET131102:GFG131102 GOP131102:GPC131102 GYL131102:GYY131102 HIH131102:HIU131102 HSD131102:HSQ131102 IBZ131102:ICM131102 ILV131102:IMI131102 IVR131102:IWE131102 JFN131102:JGA131102 JPJ131102:JPW131102 JZF131102:JZS131102 KJB131102:KJO131102 KSX131102:KTK131102 LCT131102:LDG131102 LMP131102:LNC131102 LWL131102:LWY131102 MGH131102:MGU131102 MQD131102:MQQ131102 MZZ131102:NAM131102 NJV131102:NKI131102 NTR131102:NUE131102 ODN131102:OEA131102 ONJ131102:ONW131102 OXF131102:OXS131102 PHB131102:PHO131102 PQX131102:PRK131102 QAT131102:QBG131102 QKP131102:QLC131102 QUL131102:QUY131102 REH131102:REU131102 ROD131102:ROQ131102 RXZ131102:RYM131102 SHV131102:SII131102 SRR131102:SSE131102 TBN131102:TCA131102 TLJ131102:TLW131102 TVF131102:TVS131102 UFB131102:UFO131102 UOX131102:UPK131102 UYT131102:UZG131102 VIP131102:VJC131102 VSL131102:VSY131102 WCH131102:WCU131102 WMD131102:WMQ131102 WVZ131102:WWM131102 Q196638:AD196638 JN196638:KA196638 TJ196638:TW196638 ADF196638:ADS196638 ANB196638:ANO196638 AWX196638:AXK196638 BGT196638:BHG196638 BQP196638:BRC196638 CAL196638:CAY196638 CKH196638:CKU196638 CUD196638:CUQ196638 DDZ196638:DEM196638 DNV196638:DOI196638 DXR196638:DYE196638 EHN196638:EIA196638 ERJ196638:ERW196638 FBF196638:FBS196638 FLB196638:FLO196638 FUX196638:FVK196638 GET196638:GFG196638 GOP196638:GPC196638 GYL196638:GYY196638 HIH196638:HIU196638 HSD196638:HSQ196638 IBZ196638:ICM196638 ILV196638:IMI196638 IVR196638:IWE196638 JFN196638:JGA196638 JPJ196638:JPW196638 JZF196638:JZS196638 KJB196638:KJO196638 KSX196638:KTK196638 LCT196638:LDG196638 LMP196638:LNC196638 LWL196638:LWY196638 MGH196638:MGU196638 MQD196638:MQQ196638 MZZ196638:NAM196638 NJV196638:NKI196638 NTR196638:NUE196638 ODN196638:OEA196638 ONJ196638:ONW196638 OXF196638:OXS196638 PHB196638:PHO196638 PQX196638:PRK196638 QAT196638:QBG196638 QKP196638:QLC196638 QUL196638:QUY196638 REH196638:REU196638 ROD196638:ROQ196638 RXZ196638:RYM196638 SHV196638:SII196638 SRR196638:SSE196638 TBN196638:TCA196638 TLJ196638:TLW196638 TVF196638:TVS196638 UFB196638:UFO196638 UOX196638:UPK196638 UYT196638:UZG196638 VIP196638:VJC196638 VSL196638:VSY196638 WCH196638:WCU196638 WMD196638:WMQ196638 WVZ196638:WWM196638 Q262174:AD262174 JN262174:KA262174 TJ262174:TW262174 ADF262174:ADS262174 ANB262174:ANO262174 AWX262174:AXK262174 BGT262174:BHG262174 BQP262174:BRC262174 CAL262174:CAY262174 CKH262174:CKU262174 CUD262174:CUQ262174 DDZ262174:DEM262174 DNV262174:DOI262174 DXR262174:DYE262174 EHN262174:EIA262174 ERJ262174:ERW262174 FBF262174:FBS262174 FLB262174:FLO262174 FUX262174:FVK262174 GET262174:GFG262174 GOP262174:GPC262174 GYL262174:GYY262174 HIH262174:HIU262174 HSD262174:HSQ262174 IBZ262174:ICM262174 ILV262174:IMI262174 IVR262174:IWE262174 JFN262174:JGA262174 JPJ262174:JPW262174 JZF262174:JZS262174 KJB262174:KJO262174 KSX262174:KTK262174 LCT262174:LDG262174 LMP262174:LNC262174 LWL262174:LWY262174 MGH262174:MGU262174 MQD262174:MQQ262174 MZZ262174:NAM262174 NJV262174:NKI262174 NTR262174:NUE262174 ODN262174:OEA262174 ONJ262174:ONW262174 OXF262174:OXS262174 PHB262174:PHO262174 PQX262174:PRK262174 QAT262174:QBG262174 QKP262174:QLC262174 QUL262174:QUY262174 REH262174:REU262174 ROD262174:ROQ262174 RXZ262174:RYM262174 SHV262174:SII262174 SRR262174:SSE262174 TBN262174:TCA262174 TLJ262174:TLW262174 TVF262174:TVS262174 UFB262174:UFO262174 UOX262174:UPK262174 UYT262174:UZG262174 VIP262174:VJC262174 VSL262174:VSY262174 WCH262174:WCU262174 WMD262174:WMQ262174 WVZ262174:WWM262174 Q327710:AD327710 JN327710:KA327710 TJ327710:TW327710 ADF327710:ADS327710 ANB327710:ANO327710 AWX327710:AXK327710 BGT327710:BHG327710 BQP327710:BRC327710 CAL327710:CAY327710 CKH327710:CKU327710 CUD327710:CUQ327710 DDZ327710:DEM327710 DNV327710:DOI327710 DXR327710:DYE327710 EHN327710:EIA327710 ERJ327710:ERW327710 FBF327710:FBS327710 FLB327710:FLO327710 FUX327710:FVK327710 GET327710:GFG327710 GOP327710:GPC327710 GYL327710:GYY327710 HIH327710:HIU327710 HSD327710:HSQ327710 IBZ327710:ICM327710 ILV327710:IMI327710 IVR327710:IWE327710 JFN327710:JGA327710 JPJ327710:JPW327710 JZF327710:JZS327710 KJB327710:KJO327710 KSX327710:KTK327710 LCT327710:LDG327710 LMP327710:LNC327710 LWL327710:LWY327710 MGH327710:MGU327710 MQD327710:MQQ327710 MZZ327710:NAM327710 NJV327710:NKI327710 NTR327710:NUE327710 ODN327710:OEA327710 ONJ327710:ONW327710 OXF327710:OXS327710 PHB327710:PHO327710 PQX327710:PRK327710 QAT327710:QBG327710 QKP327710:QLC327710 QUL327710:QUY327710 REH327710:REU327710 ROD327710:ROQ327710 RXZ327710:RYM327710 SHV327710:SII327710 SRR327710:SSE327710 TBN327710:TCA327710 TLJ327710:TLW327710 TVF327710:TVS327710 UFB327710:UFO327710 UOX327710:UPK327710 UYT327710:UZG327710 VIP327710:VJC327710 VSL327710:VSY327710 WCH327710:WCU327710 WMD327710:WMQ327710 WVZ327710:WWM327710 Q393246:AD393246 JN393246:KA393246 TJ393246:TW393246 ADF393246:ADS393246 ANB393246:ANO393246 AWX393246:AXK393246 BGT393246:BHG393246 BQP393246:BRC393246 CAL393246:CAY393246 CKH393246:CKU393246 CUD393246:CUQ393246 DDZ393246:DEM393246 DNV393246:DOI393246 DXR393246:DYE393246 EHN393246:EIA393246 ERJ393246:ERW393246 FBF393246:FBS393246 FLB393246:FLO393246 FUX393246:FVK393246 GET393246:GFG393246 GOP393246:GPC393246 GYL393246:GYY393246 HIH393246:HIU393246 HSD393246:HSQ393246 IBZ393246:ICM393246 ILV393246:IMI393246 IVR393246:IWE393246 JFN393246:JGA393246 JPJ393246:JPW393246 JZF393246:JZS393246 KJB393246:KJO393246 KSX393246:KTK393246 LCT393246:LDG393246 LMP393246:LNC393246 LWL393246:LWY393246 MGH393246:MGU393246 MQD393246:MQQ393246 MZZ393246:NAM393246 NJV393246:NKI393246 NTR393246:NUE393246 ODN393246:OEA393246 ONJ393246:ONW393246 OXF393246:OXS393246 PHB393246:PHO393246 PQX393246:PRK393246 QAT393246:QBG393246 QKP393246:QLC393246 QUL393246:QUY393246 REH393246:REU393246 ROD393246:ROQ393246 RXZ393246:RYM393246 SHV393246:SII393246 SRR393246:SSE393246 TBN393246:TCA393246 TLJ393246:TLW393246 TVF393246:TVS393246 UFB393246:UFO393246 UOX393246:UPK393246 UYT393246:UZG393246 VIP393246:VJC393246 VSL393246:VSY393246 WCH393246:WCU393246 WMD393246:WMQ393246 WVZ393246:WWM393246 Q458782:AD458782 JN458782:KA458782 TJ458782:TW458782 ADF458782:ADS458782 ANB458782:ANO458782 AWX458782:AXK458782 BGT458782:BHG458782 BQP458782:BRC458782 CAL458782:CAY458782 CKH458782:CKU458782 CUD458782:CUQ458782 DDZ458782:DEM458782 DNV458782:DOI458782 DXR458782:DYE458782 EHN458782:EIA458782 ERJ458782:ERW458782 FBF458782:FBS458782 FLB458782:FLO458782 FUX458782:FVK458782 GET458782:GFG458782 GOP458782:GPC458782 GYL458782:GYY458782 HIH458782:HIU458782 HSD458782:HSQ458782 IBZ458782:ICM458782 ILV458782:IMI458782 IVR458782:IWE458782 JFN458782:JGA458782 JPJ458782:JPW458782 JZF458782:JZS458782 KJB458782:KJO458782 KSX458782:KTK458782 LCT458782:LDG458782 LMP458782:LNC458782 LWL458782:LWY458782 MGH458782:MGU458782 MQD458782:MQQ458782 MZZ458782:NAM458782 NJV458782:NKI458782 NTR458782:NUE458782 ODN458782:OEA458782 ONJ458782:ONW458782 OXF458782:OXS458782 PHB458782:PHO458782 PQX458782:PRK458782 QAT458782:QBG458782 QKP458782:QLC458782 QUL458782:QUY458782 REH458782:REU458782 ROD458782:ROQ458782 RXZ458782:RYM458782 SHV458782:SII458782 SRR458782:SSE458782 TBN458782:TCA458782 TLJ458782:TLW458782 TVF458782:TVS458782 UFB458782:UFO458782 UOX458782:UPK458782 UYT458782:UZG458782 VIP458782:VJC458782 VSL458782:VSY458782 WCH458782:WCU458782 WMD458782:WMQ458782 WVZ458782:WWM458782 Q524318:AD524318 JN524318:KA524318 TJ524318:TW524318 ADF524318:ADS524318 ANB524318:ANO524318 AWX524318:AXK524318 BGT524318:BHG524318 BQP524318:BRC524318 CAL524318:CAY524318 CKH524318:CKU524318 CUD524318:CUQ524318 DDZ524318:DEM524318 DNV524318:DOI524318 DXR524318:DYE524318 EHN524318:EIA524318 ERJ524318:ERW524318 FBF524318:FBS524318 FLB524318:FLO524318 FUX524318:FVK524318 GET524318:GFG524318 GOP524318:GPC524318 GYL524318:GYY524318 HIH524318:HIU524318 HSD524318:HSQ524318 IBZ524318:ICM524318 ILV524318:IMI524318 IVR524318:IWE524318 JFN524318:JGA524318 JPJ524318:JPW524318 JZF524318:JZS524318 KJB524318:KJO524318 KSX524318:KTK524318 LCT524318:LDG524318 LMP524318:LNC524318 LWL524318:LWY524318 MGH524318:MGU524318 MQD524318:MQQ524318 MZZ524318:NAM524318 NJV524318:NKI524318 NTR524318:NUE524318 ODN524318:OEA524318 ONJ524318:ONW524318 OXF524318:OXS524318 PHB524318:PHO524318 PQX524318:PRK524318 QAT524318:QBG524318 QKP524318:QLC524318 QUL524318:QUY524318 REH524318:REU524318 ROD524318:ROQ524318 RXZ524318:RYM524318 SHV524318:SII524318 SRR524318:SSE524318 TBN524318:TCA524318 TLJ524318:TLW524318 TVF524318:TVS524318 UFB524318:UFO524318 UOX524318:UPK524318 UYT524318:UZG524318 VIP524318:VJC524318 VSL524318:VSY524318 WCH524318:WCU524318 WMD524318:WMQ524318 WVZ524318:WWM524318 Q589854:AD589854 JN589854:KA589854 TJ589854:TW589854 ADF589854:ADS589854 ANB589854:ANO589854 AWX589854:AXK589854 BGT589854:BHG589854 BQP589854:BRC589854 CAL589854:CAY589854 CKH589854:CKU589854 CUD589854:CUQ589854 DDZ589854:DEM589854 DNV589854:DOI589854 DXR589854:DYE589854 EHN589854:EIA589854 ERJ589854:ERW589854 FBF589854:FBS589854 FLB589854:FLO589854 FUX589854:FVK589854 GET589854:GFG589854 GOP589854:GPC589854 GYL589854:GYY589854 HIH589854:HIU589854 HSD589854:HSQ589854 IBZ589854:ICM589854 ILV589854:IMI589854 IVR589854:IWE589854 JFN589854:JGA589854 JPJ589854:JPW589854 JZF589854:JZS589854 KJB589854:KJO589854 KSX589854:KTK589854 LCT589854:LDG589854 LMP589854:LNC589854 LWL589854:LWY589854 MGH589854:MGU589854 MQD589854:MQQ589854 MZZ589854:NAM589854 NJV589854:NKI589854 NTR589854:NUE589854 ODN589854:OEA589854 ONJ589854:ONW589854 OXF589854:OXS589854 PHB589854:PHO589854 PQX589854:PRK589854 QAT589854:QBG589854 QKP589854:QLC589854 QUL589854:QUY589854 REH589854:REU589854 ROD589854:ROQ589854 RXZ589854:RYM589854 SHV589854:SII589854 SRR589854:SSE589854 TBN589854:TCA589854 TLJ589854:TLW589854 TVF589854:TVS589854 UFB589854:UFO589854 UOX589854:UPK589854 UYT589854:UZG589854 VIP589854:VJC589854 VSL589854:VSY589854 WCH589854:WCU589854 WMD589854:WMQ589854 WVZ589854:WWM589854 Q655390:AD655390 JN655390:KA655390 TJ655390:TW655390 ADF655390:ADS655390 ANB655390:ANO655390 AWX655390:AXK655390 BGT655390:BHG655390 BQP655390:BRC655390 CAL655390:CAY655390 CKH655390:CKU655390 CUD655390:CUQ655390 DDZ655390:DEM655390 DNV655390:DOI655390 DXR655390:DYE655390 EHN655390:EIA655390 ERJ655390:ERW655390 FBF655390:FBS655390 FLB655390:FLO655390 FUX655390:FVK655390 GET655390:GFG655390 GOP655390:GPC655390 GYL655390:GYY655390 HIH655390:HIU655390 HSD655390:HSQ655390 IBZ655390:ICM655390 ILV655390:IMI655390 IVR655390:IWE655390 JFN655390:JGA655390 JPJ655390:JPW655390 JZF655390:JZS655390 KJB655390:KJO655390 KSX655390:KTK655390 LCT655390:LDG655390 LMP655390:LNC655390 LWL655390:LWY655390 MGH655390:MGU655390 MQD655390:MQQ655390 MZZ655390:NAM655390 NJV655390:NKI655390 NTR655390:NUE655390 ODN655390:OEA655390 ONJ655390:ONW655390 OXF655390:OXS655390 PHB655390:PHO655390 PQX655390:PRK655390 QAT655390:QBG655390 QKP655390:QLC655390 QUL655390:QUY655390 REH655390:REU655390 ROD655390:ROQ655390 RXZ655390:RYM655390 SHV655390:SII655390 SRR655390:SSE655390 TBN655390:TCA655390 TLJ655390:TLW655390 TVF655390:TVS655390 UFB655390:UFO655390 UOX655390:UPK655390 UYT655390:UZG655390 VIP655390:VJC655390 VSL655390:VSY655390 WCH655390:WCU655390 WMD655390:WMQ655390 WVZ655390:WWM655390 Q720926:AD720926 JN720926:KA720926 TJ720926:TW720926 ADF720926:ADS720926 ANB720926:ANO720926 AWX720926:AXK720926 BGT720926:BHG720926 BQP720926:BRC720926 CAL720926:CAY720926 CKH720926:CKU720926 CUD720926:CUQ720926 DDZ720926:DEM720926 DNV720926:DOI720926 DXR720926:DYE720926 EHN720926:EIA720926 ERJ720926:ERW720926 FBF720926:FBS720926 FLB720926:FLO720926 FUX720926:FVK720926 GET720926:GFG720926 GOP720926:GPC720926 GYL720926:GYY720926 HIH720926:HIU720926 HSD720926:HSQ720926 IBZ720926:ICM720926 ILV720926:IMI720926 IVR720926:IWE720926 JFN720926:JGA720926 JPJ720926:JPW720926 JZF720926:JZS720926 KJB720926:KJO720926 KSX720926:KTK720926 LCT720926:LDG720926 LMP720926:LNC720926 LWL720926:LWY720926 MGH720926:MGU720926 MQD720926:MQQ720926 MZZ720926:NAM720926 NJV720926:NKI720926 NTR720926:NUE720926 ODN720926:OEA720926 ONJ720926:ONW720926 OXF720926:OXS720926 PHB720926:PHO720926 PQX720926:PRK720926 QAT720926:QBG720926 QKP720926:QLC720926 QUL720926:QUY720926 REH720926:REU720926 ROD720926:ROQ720926 RXZ720926:RYM720926 SHV720926:SII720926 SRR720926:SSE720926 TBN720926:TCA720926 TLJ720926:TLW720926 TVF720926:TVS720926 UFB720926:UFO720926 UOX720926:UPK720926 UYT720926:UZG720926 VIP720926:VJC720926 VSL720926:VSY720926 WCH720926:WCU720926 WMD720926:WMQ720926 WVZ720926:WWM720926 Q786462:AD786462 JN786462:KA786462 TJ786462:TW786462 ADF786462:ADS786462 ANB786462:ANO786462 AWX786462:AXK786462 BGT786462:BHG786462 BQP786462:BRC786462 CAL786462:CAY786462 CKH786462:CKU786462 CUD786462:CUQ786462 DDZ786462:DEM786462 DNV786462:DOI786462 DXR786462:DYE786462 EHN786462:EIA786462 ERJ786462:ERW786462 FBF786462:FBS786462 FLB786462:FLO786462 FUX786462:FVK786462 GET786462:GFG786462 GOP786462:GPC786462 GYL786462:GYY786462 HIH786462:HIU786462 HSD786462:HSQ786462 IBZ786462:ICM786462 ILV786462:IMI786462 IVR786462:IWE786462 JFN786462:JGA786462 JPJ786462:JPW786462 JZF786462:JZS786462 KJB786462:KJO786462 KSX786462:KTK786462 LCT786462:LDG786462 LMP786462:LNC786462 LWL786462:LWY786462 MGH786462:MGU786462 MQD786462:MQQ786462 MZZ786462:NAM786462 NJV786462:NKI786462 NTR786462:NUE786462 ODN786462:OEA786462 ONJ786462:ONW786462 OXF786462:OXS786462 PHB786462:PHO786462 PQX786462:PRK786462 QAT786462:QBG786462 QKP786462:QLC786462 QUL786462:QUY786462 REH786462:REU786462 ROD786462:ROQ786462 RXZ786462:RYM786462 SHV786462:SII786462 SRR786462:SSE786462 TBN786462:TCA786462 TLJ786462:TLW786462 TVF786462:TVS786462 UFB786462:UFO786462 UOX786462:UPK786462 UYT786462:UZG786462 VIP786462:VJC786462 VSL786462:VSY786462 WCH786462:WCU786462 WMD786462:WMQ786462 WVZ786462:WWM786462 Q851998:AD851998 JN851998:KA851998 TJ851998:TW851998 ADF851998:ADS851998 ANB851998:ANO851998 AWX851998:AXK851998 BGT851998:BHG851998 BQP851998:BRC851998 CAL851998:CAY851998 CKH851998:CKU851998 CUD851998:CUQ851998 DDZ851998:DEM851998 DNV851998:DOI851998 DXR851998:DYE851998 EHN851998:EIA851998 ERJ851998:ERW851998 FBF851998:FBS851998 FLB851998:FLO851998 FUX851998:FVK851998 GET851998:GFG851998 GOP851998:GPC851998 GYL851998:GYY851998 HIH851998:HIU851998 HSD851998:HSQ851998 IBZ851998:ICM851998 ILV851998:IMI851998 IVR851998:IWE851998 JFN851998:JGA851998 JPJ851998:JPW851998 JZF851998:JZS851998 KJB851998:KJO851998 KSX851998:KTK851998 LCT851998:LDG851998 LMP851998:LNC851998 LWL851998:LWY851998 MGH851998:MGU851998 MQD851998:MQQ851998 MZZ851998:NAM851998 NJV851998:NKI851998 NTR851998:NUE851998 ODN851998:OEA851998 ONJ851998:ONW851998 OXF851998:OXS851998 PHB851998:PHO851998 PQX851998:PRK851998 QAT851998:QBG851998 QKP851998:QLC851998 QUL851998:QUY851998 REH851998:REU851998 ROD851998:ROQ851998 RXZ851998:RYM851998 SHV851998:SII851998 SRR851998:SSE851998 TBN851998:TCA851998 TLJ851998:TLW851998 TVF851998:TVS851998 UFB851998:UFO851998 UOX851998:UPK851998 UYT851998:UZG851998 VIP851998:VJC851998 VSL851998:VSY851998 WCH851998:WCU851998 WMD851998:WMQ851998 WVZ851998:WWM851998 Q917534:AD917534 JN917534:KA917534 TJ917534:TW917534 ADF917534:ADS917534 ANB917534:ANO917534 AWX917534:AXK917534 BGT917534:BHG917534 BQP917534:BRC917534 CAL917534:CAY917534 CKH917534:CKU917534 CUD917534:CUQ917534 DDZ917534:DEM917534 DNV917534:DOI917534 DXR917534:DYE917534 EHN917534:EIA917534 ERJ917534:ERW917534 FBF917534:FBS917534 FLB917534:FLO917534 FUX917534:FVK917534 GET917534:GFG917534 GOP917534:GPC917534 GYL917534:GYY917534 HIH917534:HIU917534 HSD917534:HSQ917534 IBZ917534:ICM917534 ILV917534:IMI917534 IVR917534:IWE917534 JFN917534:JGA917534 JPJ917534:JPW917534 JZF917534:JZS917534 KJB917534:KJO917534 KSX917534:KTK917534 LCT917534:LDG917534 LMP917534:LNC917534 LWL917534:LWY917534 MGH917534:MGU917534 MQD917534:MQQ917534 MZZ917534:NAM917534 NJV917534:NKI917534 NTR917534:NUE917534 ODN917534:OEA917534 ONJ917534:ONW917534 OXF917534:OXS917534 PHB917534:PHO917534 PQX917534:PRK917534 QAT917534:QBG917534 QKP917534:QLC917534 QUL917534:QUY917534 REH917534:REU917534 ROD917534:ROQ917534 RXZ917534:RYM917534 SHV917534:SII917534 SRR917534:SSE917534 TBN917534:TCA917534 TLJ917534:TLW917534 TVF917534:TVS917534 UFB917534:UFO917534 UOX917534:UPK917534 UYT917534:UZG917534 VIP917534:VJC917534 VSL917534:VSY917534 WCH917534:WCU917534 WMD917534:WMQ917534 WVZ917534:WWM917534 JN30:KA30 TJ30:TW30 ADF30:ADS30 ANB30:ANO30 AWX30:AXK30 BGT30:BHG30 BQP30:BRC30 CAL30:CAY30 CKH30:CKU30 CUD30:CUQ30 DDZ30:DEM30 DNV30:DOI30 DXR30:DYE30 EHN30:EIA30 ERJ30:ERW30 FBF30:FBS30 FLB30:FLO30 FUX30:FVK30 GET30:GFG30 GOP30:GPC30 GYL30:GYY30 HIH30:HIU30 HSD30:HSQ30 IBZ30:ICM30 ILV30:IMI30 IVR30:IWE30 JFN30:JGA30 JPJ30:JPW30 JZF30:JZS30 KJB30:KJO30 KSX30:KTK30 LCT30:LDG30 LMP30:LNC30 LWL30:LWY30 MGH30:MGU30 MQD30:MQQ30 MZZ30:NAM30 NJV30:NKI30 NTR30:NUE30 ODN30:OEA30 ONJ30:ONW30 OXF30:OXS30 PHB30:PHO30 PQX30:PRK30 QAT30:QBG30 QKP30:QLC30 QUL30:QUY30 REH30:REU30 ROD30:ROQ30 RXZ30:RYM30 SHV30:SII30 SRR30:SSE30 TBN30:TCA30 TLJ30:TLW30 TVF30:TVS30 UFB30:UFO30 UOX30:UPK30 UYT30:UZG30 VIP30:VJC30 VSL30:VSY30 WCH30:WCU30 WMD30:WMQ30 WVZ30:WWM30 Q30:AD30" xr:uid="{E09B5759-E503-4316-8062-6214A6937D52}">
      <formula1>2000</formula1>
    </dataValidation>
    <dataValidation type="textLength" operator="lessThanOrEqual" allowBlank="1" showInputMessage="1" showErrorMessage="1" errorTitle="Máximo 2.000 caracteres" error="Máximo 2.000 caracteres" sqref="Q786470:AD786481 JN786470:KA786481 TJ786470:TW786481 ADF786470:ADS786481 ANB786470:ANO786481 AWX786470:AXK786481 BGT786470:BHG786481 BQP786470:BRC786481 CAL786470:CAY786481 CKH786470:CKU786481 CUD786470:CUQ786481 DDZ786470:DEM786481 DNV786470:DOI786481 DXR786470:DYE786481 EHN786470:EIA786481 ERJ786470:ERW786481 FBF786470:FBS786481 FLB786470:FLO786481 FUX786470:FVK786481 GET786470:GFG786481 GOP786470:GPC786481 GYL786470:GYY786481 HIH786470:HIU786481 HSD786470:HSQ786481 IBZ786470:ICM786481 ILV786470:IMI786481 IVR786470:IWE786481 JFN786470:JGA786481 JPJ786470:JPW786481 JZF786470:JZS786481 KJB786470:KJO786481 KSX786470:KTK786481 LCT786470:LDG786481 LMP786470:LNC786481 LWL786470:LWY786481 MGH786470:MGU786481 MQD786470:MQQ786481 MZZ786470:NAM786481 NJV786470:NKI786481 NTR786470:NUE786481 ODN786470:OEA786481 ONJ786470:ONW786481 OXF786470:OXS786481 PHB786470:PHO786481 PQX786470:PRK786481 QAT786470:QBG786481 QKP786470:QLC786481 QUL786470:QUY786481 REH786470:REU786481 ROD786470:ROQ786481 RXZ786470:RYM786481 SHV786470:SII786481 SRR786470:SSE786481 TBN786470:TCA786481 TLJ786470:TLW786481 TVF786470:TVS786481 UFB786470:UFO786481 UOX786470:UPK786481 UYT786470:UZG786481 VIP786470:VJC786481 VSL786470:VSY786481 WCH786470:WCU786481 WMD786470:WMQ786481 WVZ786470:WWM786481 AA65570 JX65570 TT65570 ADP65570 ANL65570 AXH65570 BHD65570 BQZ65570 CAV65570 CKR65570 CUN65570 DEJ65570 DOF65570 DYB65570 EHX65570 ERT65570 FBP65570 FLL65570 FVH65570 GFD65570 GOZ65570 GYV65570 HIR65570 HSN65570 ICJ65570 IMF65570 IWB65570 JFX65570 JPT65570 JZP65570 KJL65570 KTH65570 LDD65570 LMZ65570 LWV65570 MGR65570 MQN65570 NAJ65570 NKF65570 NUB65570 ODX65570 ONT65570 OXP65570 PHL65570 PRH65570 QBD65570 QKZ65570 QUV65570 RER65570 RON65570 RYJ65570 SIF65570 SSB65570 TBX65570 TLT65570 TVP65570 UFL65570 UPH65570 UZD65570 VIZ65570 VSV65570 WCR65570 WMN65570 WWJ65570 AA131106 JX131106 TT131106 ADP131106 ANL131106 AXH131106 BHD131106 BQZ131106 CAV131106 CKR131106 CUN131106 DEJ131106 DOF131106 DYB131106 EHX131106 ERT131106 FBP131106 FLL131106 FVH131106 GFD131106 GOZ131106 GYV131106 HIR131106 HSN131106 ICJ131106 IMF131106 IWB131106 JFX131106 JPT131106 JZP131106 KJL131106 KTH131106 LDD131106 LMZ131106 LWV131106 MGR131106 MQN131106 NAJ131106 NKF131106 NUB131106 ODX131106 ONT131106 OXP131106 PHL131106 PRH131106 QBD131106 QKZ131106 QUV131106 RER131106 RON131106 RYJ131106 SIF131106 SSB131106 TBX131106 TLT131106 TVP131106 UFL131106 UPH131106 UZD131106 VIZ131106 VSV131106 WCR131106 WMN131106 WWJ131106 AA196642 JX196642 TT196642 ADP196642 ANL196642 AXH196642 BHD196642 BQZ196642 CAV196642 CKR196642 CUN196642 DEJ196642 DOF196642 DYB196642 EHX196642 ERT196642 FBP196642 FLL196642 FVH196642 GFD196642 GOZ196642 GYV196642 HIR196642 HSN196642 ICJ196642 IMF196642 IWB196642 JFX196642 JPT196642 JZP196642 KJL196642 KTH196642 LDD196642 LMZ196642 LWV196642 MGR196642 MQN196642 NAJ196642 NKF196642 NUB196642 ODX196642 ONT196642 OXP196642 PHL196642 PRH196642 QBD196642 QKZ196642 QUV196642 RER196642 RON196642 RYJ196642 SIF196642 SSB196642 TBX196642 TLT196642 TVP196642 UFL196642 UPH196642 UZD196642 VIZ196642 VSV196642 WCR196642 WMN196642 WWJ196642 AA262178 JX262178 TT262178 ADP262178 ANL262178 AXH262178 BHD262178 BQZ262178 CAV262178 CKR262178 CUN262178 DEJ262178 DOF262178 DYB262178 EHX262178 ERT262178 FBP262178 FLL262178 FVH262178 GFD262178 GOZ262178 GYV262178 HIR262178 HSN262178 ICJ262178 IMF262178 IWB262178 JFX262178 JPT262178 JZP262178 KJL262178 KTH262178 LDD262178 LMZ262178 LWV262178 MGR262178 MQN262178 NAJ262178 NKF262178 NUB262178 ODX262178 ONT262178 OXP262178 PHL262178 PRH262178 QBD262178 QKZ262178 QUV262178 RER262178 RON262178 RYJ262178 SIF262178 SSB262178 TBX262178 TLT262178 TVP262178 UFL262178 UPH262178 UZD262178 VIZ262178 VSV262178 WCR262178 WMN262178 WWJ262178 AA327714 JX327714 TT327714 ADP327714 ANL327714 AXH327714 BHD327714 BQZ327714 CAV327714 CKR327714 CUN327714 DEJ327714 DOF327714 DYB327714 EHX327714 ERT327714 FBP327714 FLL327714 FVH327714 GFD327714 GOZ327714 GYV327714 HIR327714 HSN327714 ICJ327714 IMF327714 IWB327714 JFX327714 JPT327714 JZP327714 KJL327714 KTH327714 LDD327714 LMZ327714 LWV327714 MGR327714 MQN327714 NAJ327714 NKF327714 NUB327714 ODX327714 ONT327714 OXP327714 PHL327714 PRH327714 QBD327714 QKZ327714 QUV327714 RER327714 RON327714 RYJ327714 SIF327714 SSB327714 TBX327714 TLT327714 TVP327714 UFL327714 UPH327714 UZD327714 VIZ327714 VSV327714 WCR327714 WMN327714 WWJ327714 AA393250 JX393250 TT393250 ADP393250 ANL393250 AXH393250 BHD393250 BQZ393250 CAV393250 CKR393250 CUN393250 DEJ393250 DOF393250 DYB393250 EHX393250 ERT393250 FBP393250 FLL393250 FVH393250 GFD393250 GOZ393250 GYV393250 HIR393250 HSN393250 ICJ393250 IMF393250 IWB393250 JFX393250 JPT393250 JZP393250 KJL393250 KTH393250 LDD393250 LMZ393250 LWV393250 MGR393250 MQN393250 NAJ393250 NKF393250 NUB393250 ODX393250 ONT393250 OXP393250 PHL393250 PRH393250 QBD393250 QKZ393250 QUV393250 RER393250 RON393250 RYJ393250 SIF393250 SSB393250 TBX393250 TLT393250 TVP393250 UFL393250 UPH393250 UZD393250 VIZ393250 VSV393250 WCR393250 WMN393250 WWJ393250 AA458786 JX458786 TT458786 ADP458786 ANL458786 AXH458786 BHD458786 BQZ458786 CAV458786 CKR458786 CUN458786 DEJ458786 DOF458786 DYB458786 EHX458786 ERT458786 FBP458786 FLL458786 FVH458786 GFD458786 GOZ458786 GYV458786 HIR458786 HSN458786 ICJ458786 IMF458786 IWB458786 JFX458786 JPT458786 JZP458786 KJL458786 KTH458786 LDD458786 LMZ458786 LWV458786 MGR458786 MQN458786 NAJ458786 NKF458786 NUB458786 ODX458786 ONT458786 OXP458786 PHL458786 PRH458786 QBD458786 QKZ458786 QUV458786 RER458786 RON458786 RYJ458786 SIF458786 SSB458786 TBX458786 TLT458786 TVP458786 UFL458786 UPH458786 UZD458786 VIZ458786 VSV458786 WCR458786 WMN458786 WWJ458786 AA524322 JX524322 TT524322 ADP524322 ANL524322 AXH524322 BHD524322 BQZ524322 CAV524322 CKR524322 CUN524322 DEJ524322 DOF524322 DYB524322 EHX524322 ERT524322 FBP524322 FLL524322 FVH524322 GFD524322 GOZ524322 GYV524322 HIR524322 HSN524322 ICJ524322 IMF524322 IWB524322 JFX524322 JPT524322 JZP524322 KJL524322 KTH524322 LDD524322 LMZ524322 LWV524322 MGR524322 MQN524322 NAJ524322 NKF524322 NUB524322 ODX524322 ONT524322 OXP524322 PHL524322 PRH524322 QBD524322 QKZ524322 QUV524322 RER524322 RON524322 RYJ524322 SIF524322 SSB524322 TBX524322 TLT524322 TVP524322 UFL524322 UPH524322 UZD524322 VIZ524322 VSV524322 WCR524322 WMN524322 WWJ524322 AA589858 JX589858 TT589858 ADP589858 ANL589858 AXH589858 BHD589858 BQZ589858 CAV589858 CKR589858 CUN589858 DEJ589858 DOF589858 DYB589858 EHX589858 ERT589858 FBP589858 FLL589858 FVH589858 GFD589858 GOZ589858 GYV589858 HIR589858 HSN589858 ICJ589858 IMF589858 IWB589858 JFX589858 JPT589858 JZP589858 KJL589858 KTH589858 LDD589858 LMZ589858 LWV589858 MGR589858 MQN589858 NAJ589858 NKF589858 NUB589858 ODX589858 ONT589858 OXP589858 PHL589858 PRH589858 QBD589858 QKZ589858 QUV589858 RER589858 RON589858 RYJ589858 SIF589858 SSB589858 TBX589858 TLT589858 TVP589858 UFL589858 UPH589858 UZD589858 VIZ589858 VSV589858 WCR589858 WMN589858 WWJ589858 AA655394 JX655394 TT655394 ADP655394 ANL655394 AXH655394 BHD655394 BQZ655394 CAV655394 CKR655394 CUN655394 DEJ655394 DOF655394 DYB655394 EHX655394 ERT655394 FBP655394 FLL655394 FVH655394 GFD655394 GOZ655394 GYV655394 HIR655394 HSN655394 ICJ655394 IMF655394 IWB655394 JFX655394 JPT655394 JZP655394 KJL655394 KTH655394 LDD655394 LMZ655394 LWV655394 MGR655394 MQN655394 NAJ655394 NKF655394 NUB655394 ODX655394 ONT655394 OXP655394 PHL655394 PRH655394 QBD655394 QKZ655394 QUV655394 RER655394 RON655394 RYJ655394 SIF655394 SSB655394 TBX655394 TLT655394 TVP655394 UFL655394 UPH655394 UZD655394 VIZ655394 VSV655394 WCR655394 WMN655394 WWJ655394 AA720930 JX720930 TT720930 ADP720930 ANL720930 AXH720930 BHD720930 BQZ720930 CAV720930 CKR720930 CUN720930 DEJ720930 DOF720930 DYB720930 EHX720930 ERT720930 FBP720930 FLL720930 FVH720930 GFD720930 GOZ720930 GYV720930 HIR720930 HSN720930 ICJ720930 IMF720930 IWB720930 JFX720930 JPT720930 JZP720930 KJL720930 KTH720930 LDD720930 LMZ720930 LWV720930 MGR720930 MQN720930 NAJ720930 NKF720930 NUB720930 ODX720930 ONT720930 OXP720930 PHL720930 PRH720930 QBD720930 QKZ720930 QUV720930 RER720930 RON720930 RYJ720930 SIF720930 SSB720930 TBX720930 TLT720930 TVP720930 UFL720930 UPH720930 UZD720930 VIZ720930 VSV720930 WCR720930 WMN720930 WWJ720930 AA786466 JX786466 TT786466 ADP786466 ANL786466 AXH786466 BHD786466 BQZ786466 CAV786466 CKR786466 CUN786466 DEJ786466 DOF786466 DYB786466 EHX786466 ERT786466 FBP786466 FLL786466 FVH786466 GFD786466 GOZ786466 GYV786466 HIR786466 HSN786466 ICJ786466 IMF786466 IWB786466 JFX786466 JPT786466 JZP786466 KJL786466 KTH786466 LDD786466 LMZ786466 LWV786466 MGR786466 MQN786466 NAJ786466 NKF786466 NUB786466 ODX786466 ONT786466 OXP786466 PHL786466 PRH786466 QBD786466 QKZ786466 QUV786466 RER786466 RON786466 RYJ786466 SIF786466 SSB786466 TBX786466 TLT786466 TVP786466 UFL786466 UPH786466 UZD786466 VIZ786466 VSV786466 WCR786466 WMN786466 WWJ786466 AA852002 JX852002 TT852002 ADP852002 ANL852002 AXH852002 BHD852002 BQZ852002 CAV852002 CKR852002 CUN852002 DEJ852002 DOF852002 DYB852002 EHX852002 ERT852002 FBP852002 FLL852002 FVH852002 GFD852002 GOZ852002 GYV852002 HIR852002 HSN852002 ICJ852002 IMF852002 IWB852002 JFX852002 JPT852002 JZP852002 KJL852002 KTH852002 LDD852002 LMZ852002 LWV852002 MGR852002 MQN852002 NAJ852002 NKF852002 NUB852002 ODX852002 ONT852002 OXP852002 PHL852002 PRH852002 QBD852002 QKZ852002 QUV852002 RER852002 RON852002 RYJ852002 SIF852002 SSB852002 TBX852002 TLT852002 TVP852002 UFL852002 UPH852002 UZD852002 VIZ852002 VSV852002 WCR852002 WMN852002 WWJ852002 AA917538 JX917538 TT917538 ADP917538 ANL917538 AXH917538 BHD917538 BQZ917538 CAV917538 CKR917538 CUN917538 DEJ917538 DOF917538 DYB917538 EHX917538 ERT917538 FBP917538 FLL917538 FVH917538 GFD917538 GOZ917538 GYV917538 HIR917538 HSN917538 ICJ917538 IMF917538 IWB917538 JFX917538 JPT917538 JZP917538 KJL917538 KTH917538 LDD917538 LMZ917538 LWV917538 MGR917538 MQN917538 NAJ917538 NKF917538 NUB917538 ODX917538 ONT917538 OXP917538 PHL917538 PRH917538 QBD917538 QKZ917538 QUV917538 RER917538 RON917538 RYJ917538 SIF917538 SSB917538 TBX917538 TLT917538 TVP917538 UFL917538 UPH917538 UZD917538 VIZ917538 VSV917538 WCR917538 WMN917538 WWJ917538 AA983074 JX983074 TT983074 ADP983074 ANL983074 AXH983074 BHD983074 BQZ983074 CAV983074 CKR983074 CUN983074 DEJ983074 DOF983074 DYB983074 EHX983074 ERT983074 FBP983074 FLL983074 FVH983074 GFD983074 GOZ983074 GYV983074 HIR983074 HSN983074 ICJ983074 IMF983074 IWB983074 JFX983074 JPT983074 JZP983074 KJL983074 KTH983074 LDD983074 LMZ983074 LWV983074 MGR983074 MQN983074 NAJ983074 NKF983074 NUB983074 ODX983074 ONT983074 OXP983074 PHL983074 PRH983074 QBD983074 QKZ983074 QUV983074 RER983074 RON983074 RYJ983074 SIF983074 SSB983074 TBX983074 TLT983074 TVP983074 UFL983074 UPH983074 UZD983074 VIZ983074 VSV983074 WCR983074 WMN983074 WWJ983074 Q852006:AD852017 JN852006:KA852017 TJ852006:TW852017 ADF852006:ADS852017 ANB852006:ANO852017 AWX852006:AXK852017 BGT852006:BHG852017 BQP852006:BRC852017 CAL852006:CAY852017 CKH852006:CKU852017 CUD852006:CUQ852017 DDZ852006:DEM852017 DNV852006:DOI852017 DXR852006:DYE852017 EHN852006:EIA852017 ERJ852006:ERW852017 FBF852006:FBS852017 FLB852006:FLO852017 FUX852006:FVK852017 GET852006:GFG852017 GOP852006:GPC852017 GYL852006:GYY852017 HIH852006:HIU852017 HSD852006:HSQ852017 IBZ852006:ICM852017 ILV852006:IMI852017 IVR852006:IWE852017 JFN852006:JGA852017 JPJ852006:JPW852017 JZF852006:JZS852017 KJB852006:KJO852017 KSX852006:KTK852017 LCT852006:LDG852017 LMP852006:LNC852017 LWL852006:LWY852017 MGH852006:MGU852017 MQD852006:MQQ852017 MZZ852006:NAM852017 NJV852006:NKI852017 NTR852006:NUE852017 ODN852006:OEA852017 ONJ852006:ONW852017 OXF852006:OXS852017 PHB852006:PHO852017 PQX852006:PRK852017 QAT852006:QBG852017 QKP852006:QLC852017 QUL852006:QUY852017 REH852006:REU852017 ROD852006:ROQ852017 RXZ852006:RYM852017 SHV852006:SII852017 SRR852006:SSE852017 TBN852006:TCA852017 TLJ852006:TLW852017 TVF852006:TVS852017 UFB852006:UFO852017 UOX852006:UPK852017 UYT852006:UZG852017 VIP852006:VJC852017 VSL852006:VSY852017 WCH852006:WCU852017 WMD852006:WMQ852017 WVZ852006:WWM852017 Q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Q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Q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Q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Q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Q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Q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Q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Q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Q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Q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Q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Q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Q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Q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Q917542:AD917553 JN917542:KA917553 TJ917542:TW917553 ADF917542:ADS917553 ANB917542:ANO917553 AWX917542:AXK917553 BGT917542:BHG917553 BQP917542:BRC917553 CAL917542:CAY917553 CKH917542:CKU917553 CUD917542:CUQ917553 DDZ917542:DEM917553 DNV917542:DOI917553 DXR917542:DYE917553 EHN917542:EIA917553 ERJ917542:ERW917553 FBF917542:FBS917553 FLB917542:FLO917553 FUX917542:FVK917553 GET917542:GFG917553 GOP917542:GPC917553 GYL917542:GYY917553 HIH917542:HIU917553 HSD917542:HSQ917553 IBZ917542:ICM917553 ILV917542:IMI917553 IVR917542:IWE917553 JFN917542:JGA917553 JPJ917542:JPW917553 JZF917542:JZS917553 KJB917542:KJO917553 KSX917542:KTK917553 LCT917542:LDG917553 LMP917542:LNC917553 LWL917542:LWY917553 MGH917542:MGU917553 MQD917542:MQQ917553 MZZ917542:NAM917553 NJV917542:NKI917553 NTR917542:NUE917553 ODN917542:OEA917553 ONJ917542:ONW917553 OXF917542:OXS917553 PHB917542:PHO917553 PQX917542:PRK917553 QAT917542:QBG917553 QKP917542:QLC917553 QUL917542:QUY917553 REH917542:REU917553 ROD917542:ROQ917553 RXZ917542:RYM917553 SHV917542:SII917553 SRR917542:SSE917553 TBN917542:TCA917553 TLJ917542:TLW917553 TVF917542:TVS917553 UFB917542:UFO917553 UOX917542:UPK917553 UYT917542:UZG917553 VIP917542:VJC917553 VSL917542:VSY917553 WCH917542:WCU917553 WMD917542:WMQ917553 WVZ917542:WWM917553 W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W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W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W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W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W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W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W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W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W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W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W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W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W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W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Q983078:AD983089 JN983078:KA983089 TJ983078:TW983089 ADF983078:ADS983089 ANB983078:ANO983089 AWX983078:AXK983089 BGT983078:BHG983089 BQP983078:BRC983089 CAL983078:CAY983089 CKH983078:CKU983089 CUD983078:CUQ983089 DDZ983078:DEM983089 DNV983078:DOI983089 DXR983078:DYE983089 EHN983078:EIA983089 ERJ983078:ERW983089 FBF983078:FBS983089 FLB983078:FLO983089 FUX983078:FVK983089 GET983078:GFG983089 GOP983078:GPC983089 GYL983078:GYY983089 HIH983078:HIU983089 HSD983078:HSQ983089 IBZ983078:ICM983089 ILV983078:IMI983089 IVR983078:IWE983089 JFN983078:JGA983089 JPJ983078:JPW983089 JZF983078:JZS983089 KJB983078:KJO983089 KSX983078:KTK983089 LCT983078:LDG983089 LMP983078:LNC983089 LWL983078:LWY983089 MGH983078:MGU983089 MQD983078:MQQ983089 MZZ983078:NAM983089 NJV983078:NKI983089 NTR983078:NUE983089 ODN983078:OEA983089 ONJ983078:ONW983089 OXF983078:OXS983089 PHB983078:PHO983089 PQX983078:PRK983089 QAT983078:QBG983089 QKP983078:QLC983089 QUL983078:QUY983089 REH983078:REU983089 ROD983078:ROQ983089 RXZ983078:RYM983089 SHV983078:SII983089 SRR983078:SSE983089 TBN983078:TCA983089 TLJ983078:TLW983089 TVF983078:TVS983089 UFB983078:UFO983089 UOX983078:UPK983089 UYT983078:UZG983089 VIP983078:VJC983089 VSL983078:VSY983089 WCH983078:WCU983089 WMD983078:WMQ983089 WVZ983078:WWM983089 Q65574:AD65585 JN65574:KA65585 TJ65574:TW65585 ADF65574:ADS65585 ANB65574:ANO65585 AWX65574:AXK65585 BGT65574:BHG65585 BQP65574:BRC65585 CAL65574:CAY65585 CKH65574:CKU65585 CUD65574:CUQ65585 DDZ65574:DEM65585 DNV65574:DOI65585 DXR65574:DYE65585 EHN65574:EIA65585 ERJ65574:ERW65585 FBF65574:FBS65585 FLB65574:FLO65585 FUX65574:FVK65585 GET65574:GFG65585 GOP65574:GPC65585 GYL65574:GYY65585 HIH65574:HIU65585 HSD65574:HSQ65585 IBZ65574:ICM65585 ILV65574:IMI65585 IVR65574:IWE65585 JFN65574:JGA65585 JPJ65574:JPW65585 JZF65574:JZS65585 KJB65574:KJO65585 KSX65574:KTK65585 LCT65574:LDG65585 LMP65574:LNC65585 LWL65574:LWY65585 MGH65574:MGU65585 MQD65574:MQQ65585 MZZ65574:NAM65585 NJV65574:NKI65585 NTR65574:NUE65585 ODN65574:OEA65585 ONJ65574:ONW65585 OXF65574:OXS65585 PHB65574:PHO65585 PQX65574:PRK65585 QAT65574:QBG65585 QKP65574:QLC65585 QUL65574:QUY65585 REH65574:REU65585 ROD65574:ROQ65585 RXZ65574:RYM65585 SHV65574:SII65585 SRR65574:SSE65585 TBN65574:TCA65585 TLJ65574:TLW65585 TVF65574:TVS65585 UFB65574:UFO65585 UOX65574:UPK65585 UYT65574:UZG65585 VIP65574:VJC65585 VSL65574:VSY65585 WCH65574:WCU65585 WMD65574:WMQ65585 WVZ65574:WWM65585 Q131110:AD131121 JN131110:KA131121 TJ131110:TW131121 ADF131110:ADS131121 ANB131110:ANO131121 AWX131110:AXK131121 BGT131110:BHG131121 BQP131110:BRC131121 CAL131110:CAY131121 CKH131110:CKU131121 CUD131110:CUQ131121 DDZ131110:DEM131121 DNV131110:DOI131121 DXR131110:DYE131121 EHN131110:EIA131121 ERJ131110:ERW131121 FBF131110:FBS131121 FLB131110:FLO131121 FUX131110:FVK131121 GET131110:GFG131121 GOP131110:GPC131121 GYL131110:GYY131121 HIH131110:HIU131121 HSD131110:HSQ131121 IBZ131110:ICM131121 ILV131110:IMI131121 IVR131110:IWE131121 JFN131110:JGA131121 JPJ131110:JPW131121 JZF131110:JZS131121 KJB131110:KJO131121 KSX131110:KTK131121 LCT131110:LDG131121 LMP131110:LNC131121 LWL131110:LWY131121 MGH131110:MGU131121 MQD131110:MQQ131121 MZZ131110:NAM131121 NJV131110:NKI131121 NTR131110:NUE131121 ODN131110:OEA131121 ONJ131110:ONW131121 OXF131110:OXS131121 PHB131110:PHO131121 PQX131110:PRK131121 QAT131110:QBG131121 QKP131110:QLC131121 QUL131110:QUY131121 REH131110:REU131121 ROD131110:ROQ131121 RXZ131110:RYM131121 SHV131110:SII131121 SRR131110:SSE131121 TBN131110:TCA131121 TLJ131110:TLW131121 TVF131110:TVS131121 UFB131110:UFO131121 UOX131110:UPK131121 UYT131110:UZG131121 VIP131110:VJC131121 VSL131110:VSY131121 WCH131110:WCU131121 WMD131110:WMQ131121 WVZ131110:WWM131121 Q196646:AD196657 JN196646:KA196657 TJ196646:TW196657 ADF196646:ADS196657 ANB196646:ANO196657 AWX196646:AXK196657 BGT196646:BHG196657 BQP196646:BRC196657 CAL196646:CAY196657 CKH196646:CKU196657 CUD196646:CUQ196657 DDZ196646:DEM196657 DNV196646:DOI196657 DXR196646:DYE196657 EHN196646:EIA196657 ERJ196646:ERW196657 FBF196646:FBS196657 FLB196646:FLO196657 FUX196646:FVK196657 GET196646:GFG196657 GOP196646:GPC196657 GYL196646:GYY196657 HIH196646:HIU196657 HSD196646:HSQ196657 IBZ196646:ICM196657 ILV196646:IMI196657 IVR196646:IWE196657 JFN196646:JGA196657 JPJ196646:JPW196657 JZF196646:JZS196657 KJB196646:KJO196657 KSX196646:KTK196657 LCT196646:LDG196657 LMP196646:LNC196657 LWL196646:LWY196657 MGH196646:MGU196657 MQD196646:MQQ196657 MZZ196646:NAM196657 NJV196646:NKI196657 NTR196646:NUE196657 ODN196646:OEA196657 ONJ196646:ONW196657 OXF196646:OXS196657 PHB196646:PHO196657 PQX196646:PRK196657 QAT196646:QBG196657 QKP196646:QLC196657 QUL196646:QUY196657 REH196646:REU196657 ROD196646:ROQ196657 RXZ196646:RYM196657 SHV196646:SII196657 SRR196646:SSE196657 TBN196646:TCA196657 TLJ196646:TLW196657 TVF196646:TVS196657 UFB196646:UFO196657 UOX196646:UPK196657 UYT196646:UZG196657 VIP196646:VJC196657 VSL196646:VSY196657 WCH196646:WCU196657 WMD196646:WMQ196657 WVZ196646:WWM196657 Q262182:AD262193 JN262182:KA262193 TJ262182:TW262193 ADF262182:ADS262193 ANB262182:ANO262193 AWX262182:AXK262193 BGT262182:BHG262193 BQP262182:BRC262193 CAL262182:CAY262193 CKH262182:CKU262193 CUD262182:CUQ262193 DDZ262182:DEM262193 DNV262182:DOI262193 DXR262182:DYE262193 EHN262182:EIA262193 ERJ262182:ERW262193 FBF262182:FBS262193 FLB262182:FLO262193 FUX262182:FVK262193 GET262182:GFG262193 GOP262182:GPC262193 GYL262182:GYY262193 HIH262182:HIU262193 HSD262182:HSQ262193 IBZ262182:ICM262193 ILV262182:IMI262193 IVR262182:IWE262193 JFN262182:JGA262193 JPJ262182:JPW262193 JZF262182:JZS262193 KJB262182:KJO262193 KSX262182:KTK262193 LCT262182:LDG262193 LMP262182:LNC262193 LWL262182:LWY262193 MGH262182:MGU262193 MQD262182:MQQ262193 MZZ262182:NAM262193 NJV262182:NKI262193 NTR262182:NUE262193 ODN262182:OEA262193 ONJ262182:ONW262193 OXF262182:OXS262193 PHB262182:PHO262193 PQX262182:PRK262193 QAT262182:QBG262193 QKP262182:QLC262193 QUL262182:QUY262193 REH262182:REU262193 ROD262182:ROQ262193 RXZ262182:RYM262193 SHV262182:SII262193 SRR262182:SSE262193 TBN262182:TCA262193 TLJ262182:TLW262193 TVF262182:TVS262193 UFB262182:UFO262193 UOX262182:UPK262193 UYT262182:UZG262193 VIP262182:VJC262193 VSL262182:VSY262193 WCH262182:WCU262193 WMD262182:WMQ262193 WVZ262182:WWM262193 Q327718:AD327729 JN327718:KA327729 TJ327718:TW327729 ADF327718:ADS327729 ANB327718:ANO327729 AWX327718:AXK327729 BGT327718:BHG327729 BQP327718:BRC327729 CAL327718:CAY327729 CKH327718:CKU327729 CUD327718:CUQ327729 DDZ327718:DEM327729 DNV327718:DOI327729 DXR327718:DYE327729 EHN327718:EIA327729 ERJ327718:ERW327729 FBF327718:FBS327729 FLB327718:FLO327729 FUX327718:FVK327729 GET327718:GFG327729 GOP327718:GPC327729 GYL327718:GYY327729 HIH327718:HIU327729 HSD327718:HSQ327729 IBZ327718:ICM327729 ILV327718:IMI327729 IVR327718:IWE327729 JFN327718:JGA327729 JPJ327718:JPW327729 JZF327718:JZS327729 KJB327718:KJO327729 KSX327718:KTK327729 LCT327718:LDG327729 LMP327718:LNC327729 LWL327718:LWY327729 MGH327718:MGU327729 MQD327718:MQQ327729 MZZ327718:NAM327729 NJV327718:NKI327729 NTR327718:NUE327729 ODN327718:OEA327729 ONJ327718:ONW327729 OXF327718:OXS327729 PHB327718:PHO327729 PQX327718:PRK327729 QAT327718:QBG327729 QKP327718:QLC327729 QUL327718:QUY327729 REH327718:REU327729 ROD327718:ROQ327729 RXZ327718:RYM327729 SHV327718:SII327729 SRR327718:SSE327729 TBN327718:TCA327729 TLJ327718:TLW327729 TVF327718:TVS327729 UFB327718:UFO327729 UOX327718:UPK327729 UYT327718:UZG327729 VIP327718:VJC327729 VSL327718:VSY327729 WCH327718:WCU327729 WMD327718:WMQ327729 WVZ327718:WWM327729 Q393254:AD393265 JN393254:KA393265 TJ393254:TW393265 ADF393254:ADS393265 ANB393254:ANO393265 AWX393254:AXK393265 BGT393254:BHG393265 BQP393254:BRC393265 CAL393254:CAY393265 CKH393254:CKU393265 CUD393254:CUQ393265 DDZ393254:DEM393265 DNV393254:DOI393265 DXR393254:DYE393265 EHN393254:EIA393265 ERJ393254:ERW393265 FBF393254:FBS393265 FLB393254:FLO393265 FUX393254:FVK393265 GET393254:GFG393265 GOP393254:GPC393265 GYL393254:GYY393265 HIH393254:HIU393265 HSD393254:HSQ393265 IBZ393254:ICM393265 ILV393254:IMI393265 IVR393254:IWE393265 JFN393254:JGA393265 JPJ393254:JPW393265 JZF393254:JZS393265 KJB393254:KJO393265 KSX393254:KTK393265 LCT393254:LDG393265 LMP393254:LNC393265 LWL393254:LWY393265 MGH393254:MGU393265 MQD393254:MQQ393265 MZZ393254:NAM393265 NJV393254:NKI393265 NTR393254:NUE393265 ODN393254:OEA393265 ONJ393254:ONW393265 OXF393254:OXS393265 PHB393254:PHO393265 PQX393254:PRK393265 QAT393254:QBG393265 QKP393254:QLC393265 QUL393254:QUY393265 REH393254:REU393265 ROD393254:ROQ393265 RXZ393254:RYM393265 SHV393254:SII393265 SRR393254:SSE393265 TBN393254:TCA393265 TLJ393254:TLW393265 TVF393254:TVS393265 UFB393254:UFO393265 UOX393254:UPK393265 UYT393254:UZG393265 VIP393254:VJC393265 VSL393254:VSY393265 WCH393254:WCU393265 WMD393254:WMQ393265 WVZ393254:WWM393265 Q458790:AD458801 JN458790:KA458801 TJ458790:TW458801 ADF458790:ADS458801 ANB458790:ANO458801 AWX458790:AXK458801 BGT458790:BHG458801 BQP458790:BRC458801 CAL458790:CAY458801 CKH458790:CKU458801 CUD458790:CUQ458801 DDZ458790:DEM458801 DNV458790:DOI458801 DXR458790:DYE458801 EHN458790:EIA458801 ERJ458790:ERW458801 FBF458790:FBS458801 FLB458790:FLO458801 FUX458790:FVK458801 GET458790:GFG458801 GOP458790:GPC458801 GYL458790:GYY458801 HIH458790:HIU458801 HSD458790:HSQ458801 IBZ458790:ICM458801 ILV458790:IMI458801 IVR458790:IWE458801 JFN458790:JGA458801 JPJ458790:JPW458801 JZF458790:JZS458801 KJB458790:KJO458801 KSX458790:KTK458801 LCT458790:LDG458801 LMP458790:LNC458801 LWL458790:LWY458801 MGH458790:MGU458801 MQD458790:MQQ458801 MZZ458790:NAM458801 NJV458790:NKI458801 NTR458790:NUE458801 ODN458790:OEA458801 ONJ458790:ONW458801 OXF458790:OXS458801 PHB458790:PHO458801 PQX458790:PRK458801 QAT458790:QBG458801 QKP458790:QLC458801 QUL458790:QUY458801 REH458790:REU458801 ROD458790:ROQ458801 RXZ458790:RYM458801 SHV458790:SII458801 SRR458790:SSE458801 TBN458790:TCA458801 TLJ458790:TLW458801 TVF458790:TVS458801 UFB458790:UFO458801 UOX458790:UPK458801 UYT458790:UZG458801 VIP458790:VJC458801 VSL458790:VSY458801 WCH458790:WCU458801 WMD458790:WMQ458801 WVZ458790:WWM458801 Q524326:AD524337 JN524326:KA524337 TJ524326:TW524337 ADF524326:ADS524337 ANB524326:ANO524337 AWX524326:AXK524337 BGT524326:BHG524337 BQP524326:BRC524337 CAL524326:CAY524337 CKH524326:CKU524337 CUD524326:CUQ524337 DDZ524326:DEM524337 DNV524326:DOI524337 DXR524326:DYE524337 EHN524326:EIA524337 ERJ524326:ERW524337 FBF524326:FBS524337 FLB524326:FLO524337 FUX524326:FVK524337 GET524326:GFG524337 GOP524326:GPC524337 GYL524326:GYY524337 HIH524326:HIU524337 HSD524326:HSQ524337 IBZ524326:ICM524337 ILV524326:IMI524337 IVR524326:IWE524337 JFN524326:JGA524337 JPJ524326:JPW524337 JZF524326:JZS524337 KJB524326:KJO524337 KSX524326:KTK524337 LCT524326:LDG524337 LMP524326:LNC524337 LWL524326:LWY524337 MGH524326:MGU524337 MQD524326:MQQ524337 MZZ524326:NAM524337 NJV524326:NKI524337 NTR524326:NUE524337 ODN524326:OEA524337 ONJ524326:ONW524337 OXF524326:OXS524337 PHB524326:PHO524337 PQX524326:PRK524337 QAT524326:QBG524337 QKP524326:QLC524337 QUL524326:QUY524337 REH524326:REU524337 ROD524326:ROQ524337 RXZ524326:RYM524337 SHV524326:SII524337 SRR524326:SSE524337 TBN524326:TCA524337 TLJ524326:TLW524337 TVF524326:TVS524337 UFB524326:UFO524337 UOX524326:UPK524337 UYT524326:UZG524337 VIP524326:VJC524337 VSL524326:VSY524337 WCH524326:WCU524337 WMD524326:WMQ524337 WVZ524326:WWM524337 Q589862:AD589873 JN589862:KA589873 TJ589862:TW589873 ADF589862:ADS589873 ANB589862:ANO589873 AWX589862:AXK589873 BGT589862:BHG589873 BQP589862:BRC589873 CAL589862:CAY589873 CKH589862:CKU589873 CUD589862:CUQ589873 DDZ589862:DEM589873 DNV589862:DOI589873 DXR589862:DYE589873 EHN589862:EIA589873 ERJ589862:ERW589873 FBF589862:FBS589873 FLB589862:FLO589873 FUX589862:FVK589873 GET589862:GFG589873 GOP589862:GPC589873 GYL589862:GYY589873 HIH589862:HIU589873 HSD589862:HSQ589873 IBZ589862:ICM589873 ILV589862:IMI589873 IVR589862:IWE589873 JFN589862:JGA589873 JPJ589862:JPW589873 JZF589862:JZS589873 KJB589862:KJO589873 KSX589862:KTK589873 LCT589862:LDG589873 LMP589862:LNC589873 LWL589862:LWY589873 MGH589862:MGU589873 MQD589862:MQQ589873 MZZ589862:NAM589873 NJV589862:NKI589873 NTR589862:NUE589873 ODN589862:OEA589873 ONJ589862:ONW589873 OXF589862:OXS589873 PHB589862:PHO589873 PQX589862:PRK589873 QAT589862:QBG589873 QKP589862:QLC589873 QUL589862:QUY589873 REH589862:REU589873 ROD589862:ROQ589873 RXZ589862:RYM589873 SHV589862:SII589873 SRR589862:SSE589873 TBN589862:TCA589873 TLJ589862:TLW589873 TVF589862:TVS589873 UFB589862:UFO589873 UOX589862:UPK589873 UYT589862:UZG589873 VIP589862:VJC589873 VSL589862:VSY589873 WCH589862:WCU589873 WMD589862:WMQ589873 WVZ589862:WWM589873 Q655398:AD655409 JN655398:KA655409 TJ655398:TW655409 ADF655398:ADS655409 ANB655398:ANO655409 AWX655398:AXK655409 BGT655398:BHG655409 BQP655398:BRC655409 CAL655398:CAY655409 CKH655398:CKU655409 CUD655398:CUQ655409 DDZ655398:DEM655409 DNV655398:DOI655409 DXR655398:DYE655409 EHN655398:EIA655409 ERJ655398:ERW655409 FBF655398:FBS655409 FLB655398:FLO655409 FUX655398:FVK655409 GET655398:GFG655409 GOP655398:GPC655409 GYL655398:GYY655409 HIH655398:HIU655409 HSD655398:HSQ655409 IBZ655398:ICM655409 ILV655398:IMI655409 IVR655398:IWE655409 JFN655398:JGA655409 JPJ655398:JPW655409 JZF655398:JZS655409 KJB655398:KJO655409 KSX655398:KTK655409 LCT655398:LDG655409 LMP655398:LNC655409 LWL655398:LWY655409 MGH655398:MGU655409 MQD655398:MQQ655409 MZZ655398:NAM655409 NJV655398:NKI655409 NTR655398:NUE655409 ODN655398:OEA655409 ONJ655398:ONW655409 OXF655398:OXS655409 PHB655398:PHO655409 PQX655398:PRK655409 QAT655398:QBG655409 QKP655398:QLC655409 QUL655398:QUY655409 REH655398:REU655409 ROD655398:ROQ655409 RXZ655398:RYM655409 SHV655398:SII655409 SRR655398:SSE655409 TBN655398:TCA655409 TLJ655398:TLW655409 TVF655398:TVS655409 UFB655398:UFO655409 UOX655398:UPK655409 UYT655398:UZG655409 VIP655398:VJC655409 VSL655398:VSY655409 WCH655398:WCU655409 WMD655398:WMQ655409 WVZ655398:WWM655409 Q720934:AD720945 JN720934:KA720945 TJ720934:TW720945 ADF720934:ADS720945 ANB720934:ANO720945 AWX720934:AXK720945 BGT720934:BHG720945 BQP720934:BRC720945 CAL720934:CAY720945 CKH720934:CKU720945 CUD720934:CUQ720945 DDZ720934:DEM720945 DNV720934:DOI720945 DXR720934:DYE720945 EHN720934:EIA720945 ERJ720934:ERW720945 FBF720934:FBS720945 FLB720934:FLO720945 FUX720934:FVK720945 GET720934:GFG720945 GOP720934:GPC720945 GYL720934:GYY720945 HIH720934:HIU720945 HSD720934:HSQ720945 IBZ720934:ICM720945 ILV720934:IMI720945 IVR720934:IWE720945 JFN720934:JGA720945 JPJ720934:JPW720945 JZF720934:JZS720945 KJB720934:KJO720945 KSX720934:KTK720945 LCT720934:LDG720945 LMP720934:LNC720945 LWL720934:LWY720945 MGH720934:MGU720945 MQD720934:MQQ720945 MZZ720934:NAM720945 NJV720934:NKI720945 NTR720934:NUE720945 ODN720934:OEA720945 ONJ720934:ONW720945 OXF720934:OXS720945 PHB720934:PHO720945 PQX720934:PRK720945 QAT720934:QBG720945 QKP720934:QLC720945 QUL720934:QUY720945 REH720934:REU720945 ROD720934:ROQ720945 RXZ720934:RYM720945 SHV720934:SII720945 SRR720934:SSE720945 TBN720934:TCA720945 TLJ720934:TLW720945 TVF720934:TVS720945 UFB720934:UFO720945 UOX720934:UPK720945 UYT720934:UZG720945 VIP720934:VJC720945 VSL720934:VSY720945 WCH720934:WCU720945 WMD720934:WMQ720945 WVZ720934:WWM720945 JX34 TT34 ADP34 ANL34 AXH34 BHD34 BQZ34 CAV34 CKR34 CUN34 DEJ34 DOF34 DYB34 EHX34 ERT34 FBP34 FLL34 FVH34 GFD34 GOZ34 GYV34 HIR34 HSN34 ICJ34 IMF34 IWB34 JFX34 JPT34 JZP34 KJL34 KTH34 LDD34 LMZ34 LWV34 MGR34 MQN34 NAJ34 NKF34 NUB34 ODX34 ONT34 OXP34 PHL34 PRH34 QBD34 QKZ34 QUV34 RER34 RON34 RYJ34 SIF34 SSB34 TBX34 TLT34 TVP34 UFL34 UPH34 UZD34 VIZ34 VSV34 WCR34 WMN34 WWJ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JN38:KA49 TJ38:TW49 ADF38:ADS49 ANB38:ANO49 AWX38:AXK49 BGT38:BHG49 BQP38:BRC49 CAL38:CAY49 CKH38:CKU49 CUD38:CUQ49 DDZ38:DEM49 DNV38:DOI49 DXR38:DYE49 EHN38:EIA49 ERJ38:ERW49 FBF38:FBS49 FLB38:FLO49 FUX38:FVK49 GET38:GFG49 GOP38:GPC49 GYL38:GYY49 HIH38:HIU49 HSD38:HSQ49 IBZ38:ICM49 ILV38:IMI49 IVR38:IWE49 JFN38:JGA49 JPJ38:JPW49 JZF38:JZS49 KJB38:KJO49 KSX38:KTK49 LCT38:LDG49 LMP38:LNC49 LWL38:LWY49 MGH38:MGU49 MQD38:MQQ49 MZZ38:NAM49 NJV38:NKI49 NTR38:NUE49 ODN38:OEA49 ONJ38:ONW49 OXF38:OXS49 PHB38:PHO49 PQX38:PRK49 QAT38:QBG49 QKP38:QLC49 QUL38:QUY49 REH38:REU49 ROD38:ROQ49 RXZ38:RYM49 SHV38:SII49 SRR38:SSE49 TBN38:TCA49 TLJ38:TLW49 TVF38:TVS49 UFB38:UFO49 UOX38:UPK49 UYT38:UZG49 VIP38:VJC49 VSL38:VSY49 WCH38:WCU49 WMD38:WMQ49 WVZ38:WWM49 W34 AA34 Q34 Q38:AD49" xr:uid="{B97A2D73-6148-48D1-88A6-3990843531B1}">
      <formula1>2000</formula1>
    </dataValidation>
  </dataValidations>
  <printOptions horizontalCentered="1"/>
  <pageMargins left="0.19685039370078741" right="0.19685039370078741" top="0.19685039370078741" bottom="0.19685039370078741" header="0" footer="0"/>
  <pageSetup scale="27" fitToHeight="0" orientation="landscape" r:id="rId1"/>
  <rowBreaks count="1" manualBreakCount="1">
    <brk id="41"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5"/>
  <sheetViews>
    <sheetView showGridLines="0" view="pageBreakPreview" topLeftCell="J29" zoomScale="60" zoomScaleNormal="75" workbookViewId="0">
      <selection activeCell="AB46" sqref="AB46"/>
    </sheetView>
  </sheetViews>
  <sheetFormatPr baseColWidth="10" defaultColWidth="10.85546875" defaultRowHeight="15"/>
  <cols>
    <col min="1" max="1" width="38.42578125" style="50" customWidth="1"/>
    <col min="2" max="2" width="15.42578125" style="50" customWidth="1"/>
    <col min="3" max="30" width="14.85546875" style="50" customWidth="1"/>
    <col min="31" max="31" width="12" style="50" bestFit="1" customWidth="1"/>
    <col min="32" max="32" width="22.85546875" style="50" customWidth="1"/>
    <col min="33" max="33" width="18.42578125" style="50" bestFit="1" customWidth="1"/>
    <col min="34" max="34" width="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792" t="s">
        <v>1</v>
      </c>
      <c r="AC1" s="793"/>
      <c r="AD1" s="794"/>
    </row>
    <row r="2" spans="1:30"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795" t="s">
        <v>3</v>
      </c>
      <c r="AC2" s="796"/>
      <c r="AD2" s="797"/>
    </row>
    <row r="3" spans="1:30" ht="33" customHeight="1">
      <c r="A3" s="772"/>
      <c r="B3" s="751" t="s">
        <v>4</v>
      </c>
      <c r="C3" s="752"/>
      <c r="D3" s="752"/>
      <c r="E3" s="752"/>
      <c r="F3" s="752"/>
      <c r="G3" s="752"/>
      <c r="H3" s="752"/>
      <c r="I3" s="752"/>
      <c r="J3" s="752"/>
      <c r="K3" s="752"/>
      <c r="L3" s="752"/>
      <c r="M3" s="752"/>
      <c r="N3" s="752"/>
      <c r="O3" s="752"/>
      <c r="P3" s="752"/>
      <c r="Q3" s="752"/>
      <c r="R3" s="752"/>
      <c r="S3" s="752"/>
      <c r="T3" s="752"/>
      <c r="U3" s="752"/>
      <c r="V3" s="752"/>
      <c r="W3" s="752"/>
      <c r="X3" s="752"/>
      <c r="Y3" s="752"/>
      <c r="Z3" s="752"/>
      <c r="AA3" s="753"/>
      <c r="AB3" s="795" t="s">
        <v>5</v>
      </c>
      <c r="AC3" s="796"/>
      <c r="AD3" s="797"/>
    </row>
    <row r="4" spans="1:30" ht="21.95" customHeight="1" thickBot="1">
      <c r="A4" s="773"/>
      <c r="B4" s="754"/>
      <c r="C4" s="755"/>
      <c r="D4" s="755"/>
      <c r="E4" s="755"/>
      <c r="F4" s="755"/>
      <c r="G4" s="755"/>
      <c r="H4" s="755"/>
      <c r="I4" s="755"/>
      <c r="J4" s="755"/>
      <c r="K4" s="755"/>
      <c r="L4" s="755"/>
      <c r="M4" s="755"/>
      <c r="N4" s="755"/>
      <c r="O4" s="755"/>
      <c r="P4" s="755"/>
      <c r="Q4" s="755"/>
      <c r="R4" s="755"/>
      <c r="S4" s="755"/>
      <c r="T4" s="755"/>
      <c r="U4" s="755"/>
      <c r="V4" s="755"/>
      <c r="W4" s="755"/>
      <c r="X4" s="755"/>
      <c r="Y4" s="755"/>
      <c r="Z4" s="755"/>
      <c r="AA4" s="756"/>
      <c r="AB4" s="789" t="s">
        <v>6</v>
      </c>
      <c r="AC4" s="790"/>
      <c r="AD4" s="791"/>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742" t="s">
        <v>7</v>
      </c>
      <c r="B7" s="743"/>
      <c r="C7" s="757" t="s">
        <v>32</v>
      </c>
      <c r="D7" s="742" t="s">
        <v>9</v>
      </c>
      <c r="E7" s="760"/>
      <c r="F7" s="760"/>
      <c r="G7" s="760"/>
      <c r="H7" s="743"/>
      <c r="I7" s="763">
        <v>44685</v>
      </c>
      <c r="J7" s="764"/>
      <c r="K7" s="742" t="s">
        <v>10</v>
      </c>
      <c r="L7" s="743"/>
      <c r="M7" s="769" t="s">
        <v>11</v>
      </c>
      <c r="N7" s="770"/>
      <c r="O7" s="732"/>
      <c r="P7" s="733"/>
      <c r="Q7" s="54"/>
      <c r="R7" s="54"/>
      <c r="S7" s="54"/>
      <c r="T7" s="54"/>
      <c r="U7" s="54"/>
      <c r="V7" s="54"/>
      <c r="W7" s="54"/>
      <c r="X7" s="54"/>
      <c r="Y7" s="54"/>
      <c r="Z7" s="55"/>
      <c r="AA7" s="54"/>
      <c r="AB7" s="54"/>
      <c r="AC7" s="60"/>
      <c r="AD7" s="61"/>
    </row>
    <row r="8" spans="1:30">
      <c r="A8" s="744"/>
      <c r="B8" s="745"/>
      <c r="C8" s="758"/>
      <c r="D8" s="744"/>
      <c r="E8" s="761"/>
      <c r="F8" s="761"/>
      <c r="G8" s="761"/>
      <c r="H8" s="745"/>
      <c r="I8" s="765"/>
      <c r="J8" s="766"/>
      <c r="K8" s="744"/>
      <c r="L8" s="745"/>
      <c r="M8" s="734" t="s">
        <v>12</v>
      </c>
      <c r="N8" s="735"/>
      <c r="O8" s="736"/>
      <c r="P8" s="737"/>
      <c r="Q8" s="54"/>
      <c r="R8" s="54"/>
      <c r="S8" s="54"/>
      <c r="T8" s="54"/>
      <c r="U8" s="54"/>
      <c r="V8" s="54"/>
      <c r="W8" s="54"/>
      <c r="X8" s="54"/>
      <c r="Y8" s="54"/>
      <c r="Z8" s="55"/>
      <c r="AA8" s="54"/>
      <c r="AB8" s="54"/>
      <c r="AC8" s="60"/>
      <c r="AD8" s="61"/>
    </row>
    <row r="9" spans="1:30" ht="15.75" thickBot="1">
      <c r="A9" s="746"/>
      <c r="B9" s="747"/>
      <c r="C9" s="759"/>
      <c r="D9" s="746"/>
      <c r="E9" s="762"/>
      <c r="F9" s="762"/>
      <c r="G9" s="762"/>
      <c r="H9" s="747"/>
      <c r="I9" s="767"/>
      <c r="J9" s="768"/>
      <c r="K9" s="746"/>
      <c r="L9" s="747"/>
      <c r="M9" s="738" t="s">
        <v>13</v>
      </c>
      <c r="N9" s="739"/>
      <c r="O9" s="740" t="s">
        <v>14</v>
      </c>
      <c r="P9" s="741"/>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742" t="s">
        <v>15</v>
      </c>
      <c r="B11" s="743"/>
      <c r="C11" s="748" t="s">
        <v>16</v>
      </c>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50"/>
    </row>
    <row r="12" spans="1:30" ht="15" customHeight="1">
      <c r="A12" s="744"/>
      <c r="B12" s="745"/>
      <c r="C12" s="751"/>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3"/>
    </row>
    <row r="13" spans="1:30" ht="15" customHeight="1" thickBot="1">
      <c r="A13" s="746"/>
      <c r="B13" s="747"/>
      <c r="C13" s="754"/>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19" t="s">
        <v>17</v>
      </c>
      <c r="B15" s="720"/>
      <c r="C15" s="726" t="s">
        <v>18</v>
      </c>
      <c r="D15" s="727"/>
      <c r="E15" s="727"/>
      <c r="F15" s="727"/>
      <c r="G15" s="727"/>
      <c r="H15" s="727"/>
      <c r="I15" s="727"/>
      <c r="J15" s="727"/>
      <c r="K15" s="728"/>
      <c r="L15" s="710" t="s">
        <v>19</v>
      </c>
      <c r="M15" s="711"/>
      <c r="N15" s="711"/>
      <c r="O15" s="711"/>
      <c r="P15" s="711"/>
      <c r="Q15" s="712"/>
      <c r="R15" s="729" t="s">
        <v>20</v>
      </c>
      <c r="S15" s="730"/>
      <c r="T15" s="730"/>
      <c r="U15" s="730"/>
      <c r="V15" s="730"/>
      <c r="W15" s="730"/>
      <c r="X15" s="731"/>
      <c r="Y15" s="710" t="s">
        <v>21</v>
      </c>
      <c r="Z15" s="712"/>
      <c r="AA15" s="726" t="s">
        <v>22</v>
      </c>
      <c r="AB15" s="727"/>
      <c r="AC15" s="727"/>
      <c r="AD15" s="728"/>
    </row>
    <row r="16" spans="1:30" ht="9" customHeight="1" thickBot="1">
      <c r="A16" s="59"/>
      <c r="B16" s="54"/>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3"/>
      <c r="AD16" s="74"/>
    </row>
    <row r="17" spans="1:41" s="76" customFormat="1" ht="37.5" customHeight="1" thickBot="1">
      <c r="A17" s="719" t="s">
        <v>23</v>
      </c>
      <c r="B17" s="720"/>
      <c r="C17" s="798" t="s">
        <v>93</v>
      </c>
      <c r="D17" s="799"/>
      <c r="E17" s="799"/>
      <c r="F17" s="799"/>
      <c r="G17" s="799"/>
      <c r="H17" s="799"/>
      <c r="I17" s="799"/>
      <c r="J17" s="799"/>
      <c r="K17" s="799"/>
      <c r="L17" s="799"/>
      <c r="M17" s="799"/>
      <c r="N17" s="799"/>
      <c r="O17" s="799"/>
      <c r="P17" s="799"/>
      <c r="Q17" s="800"/>
      <c r="R17" s="710" t="s">
        <v>25</v>
      </c>
      <c r="S17" s="711"/>
      <c r="T17" s="711"/>
      <c r="U17" s="711"/>
      <c r="V17" s="712"/>
      <c r="W17" s="801">
        <v>4</v>
      </c>
      <c r="X17" s="802"/>
      <c r="Y17" s="711" t="s">
        <v>26</v>
      </c>
      <c r="Z17" s="711"/>
      <c r="AA17" s="711"/>
      <c r="AB17" s="712"/>
      <c r="AC17" s="708">
        <v>0.1</v>
      </c>
      <c r="AD17" s="709"/>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710" t="s">
        <v>27</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2"/>
      <c r="AE19" s="83"/>
      <c r="AF19" s="83"/>
    </row>
    <row r="20" spans="1:41" ht="32.1" customHeight="1" thickBot="1">
      <c r="A20" s="473"/>
      <c r="B20" s="58"/>
      <c r="C20" s="803" t="s">
        <v>28</v>
      </c>
      <c r="D20" s="803"/>
      <c r="E20" s="803"/>
      <c r="F20" s="803"/>
      <c r="G20" s="803"/>
      <c r="H20" s="803"/>
      <c r="I20" s="803"/>
      <c r="J20" s="803"/>
      <c r="K20" s="803"/>
      <c r="L20" s="803"/>
      <c r="M20" s="803"/>
      <c r="N20" s="803"/>
      <c r="O20" s="803"/>
      <c r="P20" s="804"/>
      <c r="Q20" s="713" t="s">
        <v>29</v>
      </c>
      <c r="R20" s="714"/>
      <c r="S20" s="714"/>
      <c r="T20" s="714"/>
      <c r="U20" s="714"/>
      <c r="V20" s="714"/>
      <c r="W20" s="714"/>
      <c r="X20" s="714"/>
      <c r="Y20" s="714"/>
      <c r="Z20" s="714"/>
      <c r="AA20" s="714"/>
      <c r="AB20" s="714"/>
      <c r="AC20" s="714"/>
      <c r="AD20" s="715"/>
      <c r="AE20" s="83"/>
      <c r="AF20" s="83"/>
    </row>
    <row r="21" spans="1:41" ht="32.1" customHeight="1" thickBot="1">
      <c r="A21" s="381"/>
      <c r="B21" s="528"/>
      <c r="C21" s="526" t="s">
        <v>30</v>
      </c>
      <c r="D21" s="410" t="s">
        <v>31</v>
      </c>
      <c r="E21" s="410" t="s">
        <v>8</v>
      </c>
      <c r="F21" s="410" t="s">
        <v>32</v>
      </c>
      <c r="G21" s="410" t="s">
        <v>33</v>
      </c>
      <c r="H21" s="410" t="s">
        <v>34</v>
      </c>
      <c r="I21" s="410" t="s">
        <v>35</v>
      </c>
      <c r="J21" s="410" t="s">
        <v>36</v>
      </c>
      <c r="K21" s="410" t="s">
        <v>37</v>
      </c>
      <c r="L21" s="410" t="s">
        <v>38</v>
      </c>
      <c r="M21" s="410" t="s">
        <v>39</v>
      </c>
      <c r="N21" s="410" t="s">
        <v>40</v>
      </c>
      <c r="O21" s="410" t="s">
        <v>41</v>
      </c>
      <c r="P21" s="411" t="s">
        <v>42</v>
      </c>
      <c r="Q21" s="409" t="s">
        <v>30</v>
      </c>
      <c r="R21" s="410" t="s">
        <v>31</v>
      </c>
      <c r="S21" s="410" t="s">
        <v>8</v>
      </c>
      <c r="T21" s="410" t="s">
        <v>32</v>
      </c>
      <c r="U21" s="410" t="s">
        <v>33</v>
      </c>
      <c r="V21" s="410" t="s">
        <v>34</v>
      </c>
      <c r="W21" s="410" t="s">
        <v>35</v>
      </c>
      <c r="X21" s="410" t="s">
        <v>36</v>
      </c>
      <c r="Y21" s="410" t="s">
        <v>37</v>
      </c>
      <c r="Z21" s="410" t="s">
        <v>38</v>
      </c>
      <c r="AA21" s="410" t="s">
        <v>39</v>
      </c>
      <c r="AB21" s="410" t="s">
        <v>40</v>
      </c>
      <c r="AC21" s="410" t="s">
        <v>41</v>
      </c>
      <c r="AD21" s="411" t="s">
        <v>42</v>
      </c>
      <c r="AE21" s="3"/>
      <c r="AF21" s="3"/>
    </row>
    <row r="22" spans="1:41" ht="32.1" customHeight="1">
      <c r="A22" s="716" t="s">
        <v>43</v>
      </c>
      <c r="B22" s="717"/>
      <c r="C22" s="470">
        <v>0</v>
      </c>
      <c r="D22" s="166">
        <v>0</v>
      </c>
      <c r="E22" s="166">
        <v>0</v>
      </c>
      <c r="F22" s="166">
        <v>0</v>
      </c>
      <c r="G22" s="166">
        <v>0</v>
      </c>
      <c r="H22" s="166">
        <v>0</v>
      </c>
      <c r="I22" s="166">
        <v>0</v>
      </c>
      <c r="J22" s="166">
        <v>0</v>
      </c>
      <c r="K22" s="166">
        <v>0</v>
      </c>
      <c r="L22" s="166">
        <v>0</v>
      </c>
      <c r="M22" s="166">
        <v>0</v>
      </c>
      <c r="N22" s="166">
        <v>0</v>
      </c>
      <c r="O22" s="166">
        <f>SUM(C22:N22)</f>
        <v>0</v>
      </c>
      <c r="P22" s="382"/>
      <c r="Q22" s="368">
        <v>0</v>
      </c>
      <c r="R22" s="166">
        <v>0</v>
      </c>
      <c r="S22" s="369">
        <v>0</v>
      </c>
      <c r="T22" s="369">
        <v>0</v>
      </c>
      <c r="U22" s="369">
        <v>0</v>
      </c>
      <c r="V22" s="369">
        <v>0</v>
      </c>
      <c r="W22" s="369">
        <v>184761500</v>
      </c>
      <c r="X22" s="166">
        <v>0</v>
      </c>
      <c r="Y22" s="369">
        <v>0</v>
      </c>
      <c r="Z22" s="166">
        <v>0</v>
      </c>
      <c r="AA22" s="166">
        <v>0</v>
      </c>
      <c r="AB22" s="166">
        <v>0</v>
      </c>
      <c r="AC22" s="369">
        <f>SUM(Q22:AB22)</f>
        <v>184761500</v>
      </c>
      <c r="AD22" s="170"/>
      <c r="AE22" s="3"/>
      <c r="AF22" s="3"/>
      <c r="AG22" s="378"/>
    </row>
    <row r="23" spans="1:41" ht="32.1" customHeight="1">
      <c r="A23" s="691" t="s">
        <v>44</v>
      </c>
      <c r="B23" s="693"/>
      <c r="C23" s="471">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167">
        <v>0</v>
      </c>
      <c r="R23" s="166">
        <v>0</v>
      </c>
      <c r="S23" s="166">
        <v>0</v>
      </c>
      <c r="T23" s="166">
        <v>0</v>
      </c>
      <c r="U23" s="166">
        <v>0</v>
      </c>
      <c r="V23" s="166">
        <v>0</v>
      </c>
      <c r="W23" s="166">
        <v>0</v>
      </c>
      <c r="X23" s="166">
        <v>0</v>
      </c>
      <c r="Y23" s="166">
        <v>0</v>
      </c>
      <c r="Z23" s="166">
        <v>0</v>
      </c>
      <c r="AA23" s="166">
        <v>0</v>
      </c>
      <c r="AB23" s="166">
        <v>0</v>
      </c>
      <c r="AC23" s="370">
        <f>SUM(Q23:AB23)</f>
        <v>0</v>
      </c>
      <c r="AD23" s="168">
        <f>AC23/AC22</f>
        <v>0</v>
      </c>
      <c r="AE23" s="3"/>
      <c r="AF23" s="3"/>
    </row>
    <row r="24" spans="1:41" ht="32.1" customHeight="1">
      <c r="A24" s="691" t="s">
        <v>46</v>
      </c>
      <c r="B24" s="693"/>
      <c r="C24" s="527">
        <v>0</v>
      </c>
      <c r="D24" s="220">
        <v>0</v>
      </c>
      <c r="E24" s="220">
        <v>0</v>
      </c>
      <c r="F24" s="220">
        <v>24000003</v>
      </c>
      <c r="G24" s="163">
        <v>0</v>
      </c>
      <c r="H24" s="163">
        <v>0</v>
      </c>
      <c r="I24" s="163">
        <v>0</v>
      </c>
      <c r="J24" s="163">
        <v>0</v>
      </c>
      <c r="K24" s="163">
        <v>0</v>
      </c>
      <c r="L24" s="163">
        <v>0</v>
      </c>
      <c r="M24" s="163">
        <v>0</v>
      </c>
      <c r="N24" s="163">
        <v>0</v>
      </c>
      <c r="O24" s="220">
        <f>SUM(C24:N24)</f>
        <v>24000003</v>
      </c>
      <c r="P24" s="383"/>
      <c r="Q24" s="368">
        <v>0</v>
      </c>
      <c r="R24" s="369">
        <v>0</v>
      </c>
      <c r="S24" s="369">
        <v>0</v>
      </c>
      <c r="T24" s="369">
        <v>0</v>
      </c>
      <c r="U24" s="370">
        <v>0</v>
      </c>
      <c r="V24" s="370">
        <v>0</v>
      </c>
      <c r="W24" s="370">
        <v>0</v>
      </c>
      <c r="X24" s="370">
        <v>0</v>
      </c>
      <c r="Y24" s="370">
        <f>184761500*40%</f>
        <v>73904600</v>
      </c>
      <c r="Z24" s="370">
        <v>0</v>
      </c>
      <c r="AA24" s="370">
        <f>184761500*30%</f>
        <v>55428450</v>
      </c>
      <c r="AB24" s="370">
        <f>184761500*30%</f>
        <v>55428450</v>
      </c>
      <c r="AC24" s="370">
        <f>SUM(Q24:AB24)</f>
        <v>184761500</v>
      </c>
      <c r="AD24" s="168"/>
      <c r="AE24" s="3"/>
      <c r="AF24" s="3"/>
    </row>
    <row r="25" spans="1:41" ht="32.1" customHeight="1" thickBot="1">
      <c r="A25" s="695" t="s">
        <v>47</v>
      </c>
      <c r="B25" s="696"/>
      <c r="C25" s="478">
        <v>0</v>
      </c>
      <c r="D25" s="474">
        <v>0</v>
      </c>
      <c r="E25" s="474">
        <v>0</v>
      </c>
      <c r="F25" s="474">
        <v>24000003</v>
      </c>
      <c r="G25" s="165">
        <v>0</v>
      </c>
      <c r="H25" s="165">
        <v>0</v>
      </c>
      <c r="I25" s="165">
        <v>0</v>
      </c>
      <c r="J25" s="165">
        <v>0</v>
      </c>
      <c r="K25" s="165">
        <v>0</v>
      </c>
      <c r="L25" s="165">
        <v>0</v>
      </c>
      <c r="M25" s="165">
        <v>0</v>
      </c>
      <c r="N25" s="165">
        <v>0</v>
      </c>
      <c r="O25" s="512">
        <f>SUM(C25:N25)</f>
        <v>24000003</v>
      </c>
      <c r="P25" s="555">
        <f>O25/O24</f>
        <v>1</v>
      </c>
      <c r="Q25" s="461">
        <v>0</v>
      </c>
      <c r="R25" s="458">
        <v>0</v>
      </c>
      <c r="S25" s="458">
        <v>0</v>
      </c>
      <c r="T25" s="380">
        <v>0</v>
      </c>
      <c r="U25" s="380">
        <v>0</v>
      </c>
      <c r="V25" s="380">
        <v>0</v>
      </c>
      <c r="W25" s="380">
        <v>0</v>
      </c>
      <c r="X25" s="380">
        <v>0</v>
      </c>
      <c r="Y25" s="380"/>
      <c r="Z25" s="380">
        <v>0</v>
      </c>
      <c r="AA25" s="380">
        <v>0</v>
      </c>
      <c r="AB25" s="380">
        <v>0</v>
      </c>
      <c r="AC25" s="371">
        <f>SUM(Q25:AB25)</f>
        <v>0</v>
      </c>
      <c r="AD25" s="169">
        <f>AC25/AC24</f>
        <v>0</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c r="A27" s="697" t="s">
        <v>48</v>
      </c>
      <c r="B27" s="698"/>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row>
    <row r="28" spans="1:41" ht="15" customHeight="1">
      <c r="A28" s="701" t="s">
        <v>49</v>
      </c>
      <c r="B28" s="703" t="s">
        <v>50</v>
      </c>
      <c r="C28" s="704"/>
      <c r="D28" s="705" t="s">
        <v>51</v>
      </c>
      <c r="E28" s="706"/>
      <c r="F28" s="706"/>
      <c r="G28" s="706"/>
      <c r="H28" s="706"/>
      <c r="I28" s="706"/>
      <c r="J28" s="706"/>
      <c r="K28" s="706"/>
      <c r="L28" s="706"/>
      <c r="M28" s="706"/>
      <c r="N28" s="706"/>
      <c r="O28" s="707"/>
      <c r="P28" s="683" t="s">
        <v>41</v>
      </c>
      <c r="Q28" s="683" t="s">
        <v>52</v>
      </c>
      <c r="R28" s="683"/>
      <c r="S28" s="683"/>
      <c r="T28" s="683"/>
      <c r="U28" s="683"/>
      <c r="V28" s="683"/>
      <c r="W28" s="683"/>
      <c r="X28" s="683"/>
      <c r="Y28" s="683"/>
      <c r="Z28" s="683"/>
      <c r="AA28" s="683"/>
      <c r="AB28" s="683"/>
      <c r="AC28" s="683"/>
      <c r="AD28" s="693"/>
    </row>
    <row r="29" spans="1:41" ht="27" customHeight="1">
      <c r="A29" s="702"/>
      <c r="B29" s="670"/>
      <c r="C29" s="694"/>
      <c r="D29" s="88" t="s">
        <v>30</v>
      </c>
      <c r="E29" s="88" t="s">
        <v>31</v>
      </c>
      <c r="F29" s="88" t="s">
        <v>8</v>
      </c>
      <c r="G29" s="88" t="s">
        <v>32</v>
      </c>
      <c r="H29" s="88" t="s">
        <v>33</v>
      </c>
      <c r="I29" s="88" t="s">
        <v>34</v>
      </c>
      <c r="J29" s="88" t="s">
        <v>35</v>
      </c>
      <c r="K29" s="88" t="s">
        <v>36</v>
      </c>
      <c r="L29" s="88" t="s">
        <v>37</v>
      </c>
      <c r="M29" s="88" t="s">
        <v>38</v>
      </c>
      <c r="N29" s="88" t="s">
        <v>39</v>
      </c>
      <c r="O29" s="88" t="s">
        <v>40</v>
      </c>
      <c r="P29" s="707"/>
      <c r="Q29" s="683"/>
      <c r="R29" s="683"/>
      <c r="S29" s="683"/>
      <c r="T29" s="683"/>
      <c r="U29" s="683"/>
      <c r="V29" s="683"/>
      <c r="W29" s="683"/>
      <c r="X29" s="683"/>
      <c r="Y29" s="683"/>
      <c r="Z29" s="683"/>
      <c r="AA29" s="683"/>
      <c r="AB29" s="683"/>
      <c r="AC29" s="683"/>
      <c r="AD29" s="693"/>
    </row>
    <row r="30" spans="1:41" ht="84" customHeight="1" thickBot="1">
      <c r="A30" s="408" t="str">
        <f>C17</f>
        <v>Diseñar 13 contenidos para el desarrollo de capacidades socioemocionales, técnicas y digitales de las mujeres, en toda su diversidad.</v>
      </c>
      <c r="B30" s="805"/>
      <c r="C30" s="806"/>
      <c r="D30" s="89"/>
      <c r="E30" s="89"/>
      <c r="F30" s="89"/>
      <c r="G30" s="89"/>
      <c r="H30" s="89"/>
      <c r="I30" s="89"/>
      <c r="J30" s="89"/>
      <c r="K30" s="89"/>
      <c r="L30" s="89"/>
      <c r="M30" s="89"/>
      <c r="N30" s="89"/>
      <c r="O30" s="89"/>
      <c r="P30" s="86">
        <f>SUM(D30:O30)</f>
        <v>0</v>
      </c>
      <c r="Q30" s="807" t="s">
        <v>1113</v>
      </c>
      <c r="R30" s="807"/>
      <c r="S30" s="807"/>
      <c r="T30" s="807"/>
      <c r="U30" s="807"/>
      <c r="V30" s="807"/>
      <c r="W30" s="807"/>
      <c r="X30" s="807"/>
      <c r="Y30" s="807"/>
      <c r="Z30" s="807"/>
      <c r="AA30" s="807"/>
      <c r="AB30" s="807"/>
      <c r="AC30" s="807"/>
      <c r="AD30" s="808"/>
    </row>
    <row r="31" spans="1:41" ht="45" customHeight="1">
      <c r="A31" s="688" t="s">
        <v>53</v>
      </c>
      <c r="B31" s="68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90"/>
    </row>
    <row r="32" spans="1:41" ht="23.1" customHeight="1">
      <c r="A32" s="809" t="s">
        <v>54</v>
      </c>
      <c r="B32" s="683" t="s">
        <v>55</v>
      </c>
      <c r="C32" s="683" t="s">
        <v>50</v>
      </c>
      <c r="D32" s="683" t="s">
        <v>56</v>
      </c>
      <c r="E32" s="683"/>
      <c r="F32" s="683"/>
      <c r="G32" s="683"/>
      <c r="H32" s="683"/>
      <c r="I32" s="683"/>
      <c r="J32" s="683"/>
      <c r="K32" s="683"/>
      <c r="L32" s="683"/>
      <c r="M32" s="683"/>
      <c r="N32" s="683"/>
      <c r="O32" s="683"/>
      <c r="P32" s="683"/>
      <c r="Q32" s="683" t="s">
        <v>57</v>
      </c>
      <c r="R32" s="683"/>
      <c r="S32" s="683"/>
      <c r="T32" s="683"/>
      <c r="U32" s="683"/>
      <c r="V32" s="683"/>
      <c r="W32" s="683"/>
      <c r="X32" s="683"/>
      <c r="Y32" s="683"/>
      <c r="Z32" s="683"/>
      <c r="AA32" s="683"/>
      <c r="AB32" s="683"/>
      <c r="AC32" s="683"/>
      <c r="AD32" s="693"/>
      <c r="AG32" s="87"/>
      <c r="AH32" s="87"/>
      <c r="AI32" s="87"/>
      <c r="AJ32" s="87"/>
      <c r="AK32" s="87"/>
      <c r="AL32" s="87"/>
      <c r="AM32" s="87"/>
      <c r="AN32" s="87"/>
      <c r="AO32" s="87"/>
    </row>
    <row r="33" spans="1:41" ht="23.1" customHeight="1">
      <c r="A33" s="810"/>
      <c r="B33" s="683"/>
      <c r="C33" s="692"/>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670" t="s">
        <v>58</v>
      </c>
      <c r="R33" s="671"/>
      <c r="S33" s="671"/>
      <c r="T33" s="671"/>
      <c r="U33" s="671"/>
      <c r="V33" s="694"/>
      <c r="W33" s="670" t="s">
        <v>59</v>
      </c>
      <c r="X33" s="671"/>
      <c r="Y33" s="671"/>
      <c r="Z33" s="694"/>
      <c r="AA33" s="670" t="s">
        <v>60</v>
      </c>
      <c r="AB33" s="671"/>
      <c r="AC33" s="671"/>
      <c r="AD33" s="672"/>
      <c r="AF33" s="496" t="s">
        <v>61</v>
      </c>
      <c r="AG33" s="496" t="s">
        <v>62</v>
      </c>
      <c r="AH33" s="495" t="s">
        <v>63</v>
      </c>
      <c r="AI33" s="87"/>
      <c r="AJ33" s="87"/>
      <c r="AK33" s="87"/>
      <c r="AL33" s="87"/>
      <c r="AM33" s="87"/>
      <c r="AN33" s="87"/>
      <c r="AO33" s="87"/>
    </row>
    <row r="34" spans="1:41" ht="50.25" customHeight="1">
      <c r="A34" s="811" t="str">
        <f>C17</f>
        <v>Diseñar 13 contenidos para el desarrollo de capacidades socioemocionales, técnicas y digitales de las mujeres, en toda su diversidad.</v>
      </c>
      <c r="B34" s="675">
        <f>+B38</f>
        <v>0.1</v>
      </c>
      <c r="C34" s="90" t="s">
        <v>64</v>
      </c>
      <c r="D34" s="89">
        <v>0</v>
      </c>
      <c r="E34" s="89">
        <v>0</v>
      </c>
      <c r="F34" s="89">
        <v>0</v>
      </c>
      <c r="G34" s="89">
        <v>0</v>
      </c>
      <c r="H34" s="89">
        <v>0</v>
      </c>
      <c r="I34" s="89">
        <v>0</v>
      </c>
      <c r="J34" s="89">
        <v>0</v>
      </c>
      <c r="K34" s="89">
        <v>1</v>
      </c>
      <c r="L34" s="89">
        <v>0</v>
      </c>
      <c r="M34" s="89">
        <v>2</v>
      </c>
      <c r="N34" s="89">
        <v>0</v>
      </c>
      <c r="O34" s="89">
        <v>1</v>
      </c>
      <c r="P34" s="193">
        <f>SUM(D34:O34)</f>
        <v>4</v>
      </c>
      <c r="Q34" s="677" t="s">
        <v>1112</v>
      </c>
      <c r="R34" s="678"/>
      <c r="S34" s="678"/>
      <c r="T34" s="678"/>
      <c r="U34" s="678"/>
      <c r="V34" s="679"/>
      <c r="W34" s="817"/>
      <c r="X34" s="818"/>
      <c r="Y34" s="818"/>
      <c r="Z34" s="819"/>
      <c r="AA34" s="817"/>
      <c r="AB34" s="818"/>
      <c r="AC34" s="818"/>
      <c r="AD34" s="823"/>
      <c r="AF34" s="72" t="s">
        <v>94</v>
      </c>
      <c r="AG34" s="72" t="s">
        <v>95</v>
      </c>
      <c r="AH34" s="72" t="s">
        <v>96</v>
      </c>
      <c r="AI34" s="87"/>
      <c r="AJ34" s="87"/>
      <c r="AK34" s="87"/>
      <c r="AL34" s="87"/>
      <c r="AM34" s="87"/>
      <c r="AN34" s="87"/>
      <c r="AO34" s="87"/>
    </row>
    <row r="35" spans="1:41" ht="50.25" customHeight="1" thickBot="1">
      <c r="A35" s="812"/>
      <c r="B35" s="813"/>
      <c r="C35" s="91" t="s">
        <v>67</v>
      </c>
      <c r="D35" s="459">
        <v>0</v>
      </c>
      <c r="E35" s="459">
        <v>0</v>
      </c>
      <c r="F35" s="459">
        <v>0</v>
      </c>
      <c r="G35" s="616">
        <v>0</v>
      </c>
      <c r="H35" s="460"/>
      <c r="I35" s="460"/>
      <c r="J35" s="460"/>
      <c r="K35" s="460"/>
      <c r="L35" s="460"/>
      <c r="M35" s="460"/>
      <c r="N35" s="460"/>
      <c r="O35" s="460"/>
      <c r="P35" s="460">
        <f>SUM(D35:O35)</f>
        <v>0</v>
      </c>
      <c r="Q35" s="814"/>
      <c r="R35" s="815"/>
      <c r="S35" s="815"/>
      <c r="T35" s="815"/>
      <c r="U35" s="815"/>
      <c r="V35" s="816"/>
      <c r="W35" s="820"/>
      <c r="X35" s="821"/>
      <c r="Y35" s="821"/>
      <c r="Z35" s="822"/>
      <c r="AA35" s="820"/>
      <c r="AB35" s="821"/>
      <c r="AC35" s="821"/>
      <c r="AD35" s="824"/>
      <c r="AE35" s="49"/>
      <c r="AF35" s="495">
        <f>LEN(AF34)</f>
        <v>289</v>
      </c>
      <c r="AG35" s="495">
        <f>LEN(AG34)</f>
        <v>125</v>
      </c>
      <c r="AH35" s="495">
        <f>LEN(AH34)</f>
        <v>67</v>
      </c>
      <c r="AI35" s="87"/>
      <c r="AJ35" s="87"/>
      <c r="AK35" s="87"/>
      <c r="AL35" s="87"/>
      <c r="AM35" s="87"/>
      <c r="AN35" s="87"/>
      <c r="AO35" s="87"/>
    </row>
    <row r="36" spans="1:41" ht="26.1" customHeight="1">
      <c r="A36" s="716" t="s">
        <v>68</v>
      </c>
      <c r="B36" s="835" t="s">
        <v>69</v>
      </c>
      <c r="C36" s="837" t="s">
        <v>70</v>
      </c>
      <c r="D36" s="837"/>
      <c r="E36" s="837"/>
      <c r="F36" s="837"/>
      <c r="G36" s="837"/>
      <c r="H36" s="837"/>
      <c r="I36" s="837"/>
      <c r="J36" s="837"/>
      <c r="K36" s="837"/>
      <c r="L36" s="837"/>
      <c r="M36" s="837"/>
      <c r="N36" s="837"/>
      <c r="O36" s="837"/>
      <c r="P36" s="837"/>
      <c r="Q36" s="838" t="s">
        <v>71</v>
      </c>
      <c r="R36" s="839"/>
      <c r="S36" s="839"/>
      <c r="T36" s="839"/>
      <c r="U36" s="839"/>
      <c r="V36" s="839"/>
      <c r="W36" s="839"/>
      <c r="X36" s="839"/>
      <c r="Y36" s="839"/>
      <c r="Z36" s="839"/>
      <c r="AA36" s="839"/>
      <c r="AB36" s="839"/>
      <c r="AC36" s="839"/>
      <c r="AD36" s="840"/>
      <c r="AG36" s="87"/>
      <c r="AH36" s="87"/>
      <c r="AI36" s="87"/>
      <c r="AJ36" s="87"/>
      <c r="AK36" s="87"/>
      <c r="AL36" s="87"/>
      <c r="AM36" s="87"/>
      <c r="AN36" s="87"/>
      <c r="AO36" s="87"/>
    </row>
    <row r="37" spans="1:41" ht="26.1" customHeight="1">
      <c r="A37" s="691"/>
      <c r="B37" s="836"/>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705" t="s">
        <v>86</v>
      </c>
      <c r="R37" s="706"/>
      <c r="S37" s="706"/>
      <c r="T37" s="706"/>
      <c r="U37" s="706"/>
      <c r="V37" s="706"/>
      <c r="W37" s="706"/>
      <c r="X37" s="706"/>
      <c r="Y37" s="706"/>
      <c r="Z37" s="706"/>
      <c r="AA37" s="706"/>
      <c r="AB37" s="706"/>
      <c r="AC37" s="706"/>
      <c r="AD37" s="841"/>
      <c r="AG37" s="94"/>
      <c r="AH37" s="94"/>
      <c r="AI37" s="94"/>
      <c r="AJ37" s="94"/>
      <c r="AK37" s="94"/>
      <c r="AL37" s="94"/>
      <c r="AM37" s="94"/>
      <c r="AN37" s="94"/>
      <c r="AO37" s="94"/>
    </row>
    <row r="38" spans="1:41" ht="51" customHeight="1">
      <c r="A38" s="825" t="s">
        <v>97</v>
      </c>
      <c r="B38" s="827">
        <v>0.1</v>
      </c>
      <c r="C38" s="90" t="s">
        <v>64</v>
      </c>
      <c r="D38" s="95">
        <v>0</v>
      </c>
      <c r="E38" s="95">
        <v>0</v>
      </c>
      <c r="F38" s="95">
        <v>0</v>
      </c>
      <c r="G38" s="95">
        <v>0</v>
      </c>
      <c r="H38" s="95">
        <v>0</v>
      </c>
      <c r="I38" s="95">
        <v>0</v>
      </c>
      <c r="J38" s="95">
        <v>0</v>
      </c>
      <c r="K38" s="95">
        <v>0.25</v>
      </c>
      <c r="L38" s="95">
        <v>0</v>
      </c>
      <c r="M38" s="95">
        <v>0.5</v>
      </c>
      <c r="N38" s="95">
        <v>0</v>
      </c>
      <c r="O38" s="95">
        <v>0.25</v>
      </c>
      <c r="P38" s="96">
        <f t="shared" ref="P38:P39" si="0">SUM(D38:O38)</f>
        <v>1</v>
      </c>
      <c r="Q38" s="829" t="s">
        <v>98</v>
      </c>
      <c r="R38" s="830"/>
      <c r="S38" s="830"/>
      <c r="T38" s="830"/>
      <c r="U38" s="830"/>
      <c r="V38" s="830"/>
      <c r="W38" s="830"/>
      <c r="X38" s="830"/>
      <c r="Y38" s="830"/>
      <c r="Z38" s="830"/>
      <c r="AA38" s="830"/>
      <c r="AB38" s="830"/>
      <c r="AC38" s="830"/>
      <c r="AD38" s="831"/>
      <c r="AE38" s="97"/>
      <c r="AG38" s="98"/>
      <c r="AH38" s="98"/>
      <c r="AI38" s="98"/>
      <c r="AJ38" s="98"/>
      <c r="AK38" s="98"/>
      <c r="AL38" s="98"/>
      <c r="AM38" s="98"/>
      <c r="AN38" s="98"/>
      <c r="AO38" s="98"/>
    </row>
    <row r="39" spans="1:41" ht="51" customHeight="1" thickBot="1">
      <c r="A39" s="826"/>
      <c r="B39" s="828"/>
      <c r="C39" s="91" t="s">
        <v>67</v>
      </c>
      <c r="D39" s="105">
        <v>0</v>
      </c>
      <c r="E39" s="105">
        <v>0</v>
      </c>
      <c r="F39" s="105">
        <v>0</v>
      </c>
      <c r="G39" s="105">
        <v>0</v>
      </c>
      <c r="H39" s="105"/>
      <c r="I39" s="105"/>
      <c r="J39" s="105"/>
      <c r="K39" s="105"/>
      <c r="L39" s="105"/>
      <c r="M39" s="105"/>
      <c r="N39" s="105"/>
      <c r="O39" s="105"/>
      <c r="P39" s="107">
        <f t="shared" si="0"/>
        <v>0</v>
      </c>
      <c r="Q39" s="832"/>
      <c r="R39" s="833"/>
      <c r="S39" s="833"/>
      <c r="T39" s="833"/>
      <c r="U39" s="833"/>
      <c r="V39" s="833"/>
      <c r="W39" s="833"/>
      <c r="X39" s="833"/>
      <c r="Y39" s="833"/>
      <c r="Z39" s="833"/>
      <c r="AA39" s="833"/>
      <c r="AB39" s="833"/>
      <c r="AC39" s="833"/>
      <c r="AD39" s="834"/>
      <c r="AE39" s="97"/>
    </row>
    <row r="40" spans="1:41">
      <c r="A40" s="50" t="s">
        <v>92</v>
      </c>
    </row>
    <row r="45" spans="1:41">
      <c r="M45" s="622" t="s">
        <v>1154</v>
      </c>
    </row>
  </sheetData>
  <mergeCells count="71">
    <mergeCell ref="A38:A39"/>
    <mergeCell ref="B38:B39"/>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Y68"/>
  <sheetViews>
    <sheetView showGridLines="0" tabSelected="1" view="pageBreakPreview" topLeftCell="A14" zoomScale="60" zoomScaleNormal="75" workbookViewId="0">
      <selection activeCell="A14" sqref="A14"/>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14" width="9.7109375" style="50" customWidth="1"/>
    <col min="15" max="15" width="15.28515625"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41.28515625" style="624" customWidth="1"/>
    <col min="33" max="33" width="22.5703125" style="72" customWidth="1"/>
    <col min="34" max="35" width="22.42578125" style="72" customWidth="1"/>
    <col min="36" max="37" width="22.42578125" style="160" customWidth="1"/>
    <col min="38" max="38" width="4.7109375" style="160" customWidth="1"/>
    <col min="39" max="39" width="23" style="160" bestFit="1" customWidth="1"/>
    <col min="40" max="40" width="10.85546875" style="160"/>
    <col min="41" max="41" width="18.42578125" style="50" bestFit="1" customWidth="1"/>
    <col min="42" max="42" width="16.140625" style="50" customWidth="1"/>
    <col min="43" max="16384" width="10.85546875" style="50"/>
  </cols>
  <sheetData>
    <row r="1" spans="1:30"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792" t="s">
        <v>1</v>
      </c>
      <c r="AC1" s="793"/>
      <c r="AD1" s="794"/>
    </row>
    <row r="2" spans="1:30"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795" t="s">
        <v>3</v>
      </c>
      <c r="AC2" s="796"/>
      <c r="AD2" s="797"/>
    </row>
    <row r="3" spans="1:30" ht="24" customHeight="1">
      <c r="A3" s="772"/>
      <c r="B3" s="751" t="s">
        <v>4</v>
      </c>
      <c r="C3" s="752"/>
      <c r="D3" s="752"/>
      <c r="E3" s="752"/>
      <c r="F3" s="752"/>
      <c r="G3" s="752"/>
      <c r="H3" s="752"/>
      <c r="I3" s="752"/>
      <c r="J3" s="752"/>
      <c r="K3" s="752"/>
      <c r="L3" s="752"/>
      <c r="M3" s="752"/>
      <c r="N3" s="752"/>
      <c r="O3" s="752"/>
      <c r="P3" s="752"/>
      <c r="Q3" s="752"/>
      <c r="R3" s="752"/>
      <c r="S3" s="752"/>
      <c r="T3" s="752"/>
      <c r="U3" s="752"/>
      <c r="V3" s="752"/>
      <c r="W3" s="752"/>
      <c r="X3" s="752"/>
      <c r="Y3" s="752"/>
      <c r="Z3" s="752"/>
      <c r="AA3" s="753"/>
      <c r="AB3" s="795" t="s">
        <v>5</v>
      </c>
      <c r="AC3" s="796"/>
      <c r="AD3" s="797"/>
    </row>
    <row r="4" spans="1:30" ht="21.95" customHeight="1" thickBot="1">
      <c r="A4" s="773"/>
      <c r="B4" s="754"/>
      <c r="C4" s="755"/>
      <c r="D4" s="755"/>
      <c r="E4" s="755"/>
      <c r="F4" s="755"/>
      <c r="G4" s="755"/>
      <c r="H4" s="755"/>
      <c r="I4" s="755"/>
      <c r="J4" s="755"/>
      <c r="K4" s="755"/>
      <c r="L4" s="755"/>
      <c r="M4" s="755"/>
      <c r="N4" s="755"/>
      <c r="O4" s="755"/>
      <c r="P4" s="755"/>
      <c r="Q4" s="755"/>
      <c r="R4" s="755"/>
      <c r="S4" s="755"/>
      <c r="T4" s="755"/>
      <c r="U4" s="755"/>
      <c r="V4" s="755"/>
      <c r="W4" s="755"/>
      <c r="X4" s="755"/>
      <c r="Y4" s="755"/>
      <c r="Z4" s="755"/>
      <c r="AA4" s="756"/>
      <c r="AB4" s="789" t="s">
        <v>6</v>
      </c>
      <c r="AC4" s="790"/>
      <c r="AD4" s="791"/>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742" t="s">
        <v>7</v>
      </c>
      <c r="B7" s="743"/>
      <c r="C7" s="757" t="s">
        <v>32</v>
      </c>
      <c r="D7" s="742" t="s">
        <v>9</v>
      </c>
      <c r="E7" s="760"/>
      <c r="F7" s="760"/>
      <c r="G7" s="760"/>
      <c r="H7" s="743"/>
      <c r="I7" s="763">
        <v>44685</v>
      </c>
      <c r="J7" s="764"/>
      <c r="K7" s="742" t="s">
        <v>10</v>
      </c>
      <c r="L7" s="743"/>
      <c r="M7" s="769" t="s">
        <v>11</v>
      </c>
      <c r="N7" s="770"/>
      <c r="O7" s="732"/>
      <c r="P7" s="733"/>
      <c r="Q7" s="54"/>
      <c r="R7" s="54"/>
      <c r="S7" s="54"/>
      <c r="T7" s="54"/>
      <c r="U7" s="54"/>
      <c r="V7" s="54"/>
      <c r="W7" s="54"/>
      <c r="X7" s="54"/>
      <c r="Y7" s="54"/>
      <c r="Z7" s="55"/>
      <c r="AA7" s="54"/>
      <c r="AB7" s="54"/>
      <c r="AC7" s="60"/>
      <c r="AD7" s="61"/>
    </row>
    <row r="8" spans="1:30" ht="15" customHeight="1">
      <c r="A8" s="744"/>
      <c r="B8" s="745"/>
      <c r="C8" s="758"/>
      <c r="D8" s="744"/>
      <c r="E8" s="761"/>
      <c r="F8" s="761"/>
      <c r="G8" s="761"/>
      <c r="H8" s="745"/>
      <c r="I8" s="765"/>
      <c r="J8" s="766"/>
      <c r="K8" s="744"/>
      <c r="L8" s="745"/>
      <c r="M8" s="734" t="s">
        <v>12</v>
      </c>
      <c r="N8" s="735"/>
      <c r="O8" s="736"/>
      <c r="P8" s="737"/>
      <c r="Q8" s="54"/>
      <c r="R8" s="54"/>
      <c r="S8" s="54"/>
      <c r="T8" s="54"/>
      <c r="U8" s="54"/>
      <c r="V8" s="54"/>
      <c r="W8" s="54"/>
      <c r="X8" s="54"/>
      <c r="Y8" s="54"/>
      <c r="Z8" s="55"/>
      <c r="AA8" s="54"/>
      <c r="AB8" s="54"/>
      <c r="AC8" s="60"/>
      <c r="AD8" s="61"/>
    </row>
    <row r="9" spans="1:30" ht="15.75" customHeight="1" thickBot="1">
      <c r="A9" s="746"/>
      <c r="B9" s="747"/>
      <c r="C9" s="759"/>
      <c r="D9" s="746"/>
      <c r="E9" s="762"/>
      <c r="F9" s="762"/>
      <c r="G9" s="762"/>
      <c r="H9" s="747"/>
      <c r="I9" s="767"/>
      <c r="J9" s="768"/>
      <c r="K9" s="746"/>
      <c r="L9" s="747"/>
      <c r="M9" s="738" t="s">
        <v>13</v>
      </c>
      <c r="N9" s="739"/>
      <c r="O9" s="740" t="s">
        <v>14</v>
      </c>
      <c r="P9" s="741"/>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742" t="s">
        <v>15</v>
      </c>
      <c r="B11" s="743"/>
      <c r="C11" s="748" t="s">
        <v>16</v>
      </c>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50"/>
    </row>
    <row r="12" spans="1:30" ht="15" customHeight="1">
      <c r="A12" s="744"/>
      <c r="B12" s="745"/>
      <c r="C12" s="751"/>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3"/>
    </row>
    <row r="13" spans="1:30" ht="15" customHeight="1" thickBot="1">
      <c r="A13" s="746"/>
      <c r="B13" s="747"/>
      <c r="C13" s="754"/>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19" t="s">
        <v>17</v>
      </c>
      <c r="B15" s="720"/>
      <c r="C15" s="726" t="s">
        <v>18</v>
      </c>
      <c r="D15" s="727"/>
      <c r="E15" s="727"/>
      <c r="F15" s="727"/>
      <c r="G15" s="727"/>
      <c r="H15" s="727"/>
      <c r="I15" s="727"/>
      <c r="J15" s="727"/>
      <c r="K15" s="728"/>
      <c r="L15" s="710" t="s">
        <v>19</v>
      </c>
      <c r="M15" s="711"/>
      <c r="N15" s="711"/>
      <c r="O15" s="711"/>
      <c r="P15" s="711"/>
      <c r="Q15" s="712"/>
      <c r="R15" s="729" t="s">
        <v>20</v>
      </c>
      <c r="S15" s="730"/>
      <c r="T15" s="730"/>
      <c r="U15" s="730"/>
      <c r="V15" s="730"/>
      <c r="W15" s="730"/>
      <c r="X15" s="731"/>
      <c r="Y15" s="710" t="s">
        <v>21</v>
      </c>
      <c r="Z15" s="712"/>
      <c r="AA15" s="726" t="s">
        <v>22</v>
      </c>
      <c r="AB15" s="727"/>
      <c r="AC15" s="727"/>
      <c r="AD15" s="728"/>
    </row>
    <row r="16" spans="1:30" ht="9" customHeight="1" thickBot="1">
      <c r="A16" s="59"/>
      <c r="B16" s="54"/>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3"/>
      <c r="AD16" s="74"/>
    </row>
    <row r="17" spans="1:41" s="76" customFormat="1" ht="37.5" customHeight="1" thickBot="1">
      <c r="A17" s="719" t="s">
        <v>23</v>
      </c>
      <c r="B17" s="720"/>
      <c r="C17" s="721" t="s">
        <v>99</v>
      </c>
      <c r="D17" s="722"/>
      <c r="E17" s="722"/>
      <c r="F17" s="722"/>
      <c r="G17" s="722"/>
      <c r="H17" s="722"/>
      <c r="I17" s="722"/>
      <c r="J17" s="722"/>
      <c r="K17" s="722"/>
      <c r="L17" s="722"/>
      <c r="M17" s="722"/>
      <c r="N17" s="722"/>
      <c r="O17" s="722"/>
      <c r="P17" s="722"/>
      <c r="Q17" s="723"/>
      <c r="R17" s="710" t="s">
        <v>25</v>
      </c>
      <c r="S17" s="711"/>
      <c r="T17" s="711"/>
      <c r="U17" s="711"/>
      <c r="V17" s="712"/>
      <c r="W17" s="854">
        <v>0.2</v>
      </c>
      <c r="X17" s="855"/>
      <c r="Y17" s="711" t="s">
        <v>26</v>
      </c>
      <c r="Z17" s="711"/>
      <c r="AA17" s="711"/>
      <c r="AB17" s="712"/>
      <c r="AC17" s="708">
        <v>0.25</v>
      </c>
      <c r="AD17" s="709"/>
      <c r="AF17" s="625"/>
      <c r="AG17" s="462"/>
      <c r="AH17" s="462"/>
      <c r="AI17" s="462"/>
      <c r="AJ17" s="462"/>
      <c r="AK17" s="462"/>
      <c r="AL17" s="462"/>
      <c r="AM17" s="462"/>
      <c r="AN17" s="462"/>
    </row>
    <row r="18" spans="1:41"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hidden="1" customHeight="1" thickBot="1">
      <c r="A19" s="710" t="s">
        <v>27</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2"/>
      <c r="AE19" s="83"/>
      <c r="AF19" s="626"/>
    </row>
    <row r="20" spans="1:41" ht="32.1" customHeight="1" thickBot="1">
      <c r="A20" s="82"/>
      <c r="B20" s="60"/>
      <c r="C20" s="713" t="s">
        <v>28</v>
      </c>
      <c r="D20" s="714"/>
      <c r="E20" s="714"/>
      <c r="F20" s="714"/>
      <c r="G20" s="714"/>
      <c r="H20" s="714"/>
      <c r="I20" s="714"/>
      <c r="J20" s="714"/>
      <c r="K20" s="714"/>
      <c r="L20" s="714"/>
      <c r="M20" s="714"/>
      <c r="N20" s="714"/>
      <c r="O20" s="714"/>
      <c r="P20" s="715"/>
      <c r="Q20" s="853" t="s">
        <v>29</v>
      </c>
      <c r="R20" s="803"/>
      <c r="S20" s="803"/>
      <c r="T20" s="803"/>
      <c r="U20" s="803"/>
      <c r="V20" s="803"/>
      <c r="W20" s="803"/>
      <c r="X20" s="803"/>
      <c r="Y20" s="803"/>
      <c r="Z20" s="803"/>
      <c r="AA20" s="803"/>
      <c r="AB20" s="803"/>
      <c r="AC20" s="803"/>
      <c r="AD20" s="804"/>
      <c r="AE20" s="83"/>
      <c r="AF20" s="626"/>
    </row>
    <row r="21" spans="1:41" ht="32.1" customHeight="1" thickBot="1">
      <c r="A21" s="381"/>
      <c r="B21" s="56"/>
      <c r="C21" s="409" t="s">
        <v>30</v>
      </c>
      <c r="D21" s="410" t="s">
        <v>31</v>
      </c>
      <c r="E21" s="410" t="s">
        <v>8</v>
      </c>
      <c r="F21" s="410" t="s">
        <v>32</v>
      </c>
      <c r="G21" s="410" t="s">
        <v>33</v>
      </c>
      <c r="H21" s="410" t="s">
        <v>34</v>
      </c>
      <c r="I21" s="410" t="s">
        <v>35</v>
      </c>
      <c r="J21" s="410" t="s">
        <v>36</v>
      </c>
      <c r="K21" s="410" t="s">
        <v>37</v>
      </c>
      <c r="L21" s="410" t="s">
        <v>38</v>
      </c>
      <c r="M21" s="410" t="s">
        <v>39</v>
      </c>
      <c r="N21" s="410" t="s">
        <v>40</v>
      </c>
      <c r="O21" s="410" t="s">
        <v>41</v>
      </c>
      <c r="P21" s="411" t="s">
        <v>42</v>
      </c>
      <c r="Q21" s="409" t="s">
        <v>30</v>
      </c>
      <c r="R21" s="410" t="s">
        <v>31</v>
      </c>
      <c r="S21" s="410" t="s">
        <v>8</v>
      </c>
      <c r="T21" s="410" t="s">
        <v>32</v>
      </c>
      <c r="U21" s="410" t="s">
        <v>33</v>
      </c>
      <c r="V21" s="410" t="s">
        <v>34</v>
      </c>
      <c r="W21" s="410" t="s">
        <v>35</v>
      </c>
      <c r="X21" s="410" t="s">
        <v>36</v>
      </c>
      <c r="Y21" s="410" t="s">
        <v>37</v>
      </c>
      <c r="Z21" s="410" t="s">
        <v>38</v>
      </c>
      <c r="AA21" s="410" t="s">
        <v>39</v>
      </c>
      <c r="AB21" s="410" t="s">
        <v>40</v>
      </c>
      <c r="AC21" s="410" t="s">
        <v>41</v>
      </c>
      <c r="AD21" s="411" t="s">
        <v>42</v>
      </c>
      <c r="AE21" s="3"/>
      <c r="AF21" s="627"/>
    </row>
    <row r="22" spans="1:41" ht="32.1" customHeight="1">
      <c r="A22" s="716" t="s">
        <v>43</v>
      </c>
      <c r="B22" s="838"/>
      <c r="C22" s="167">
        <v>0</v>
      </c>
      <c r="D22" s="166">
        <v>0</v>
      </c>
      <c r="E22" s="166">
        <v>0</v>
      </c>
      <c r="F22" s="166">
        <v>0</v>
      </c>
      <c r="G22" s="166">
        <v>0</v>
      </c>
      <c r="H22" s="166">
        <v>0</v>
      </c>
      <c r="I22" s="166">
        <v>0</v>
      </c>
      <c r="J22" s="166">
        <v>0</v>
      </c>
      <c r="K22" s="166">
        <v>0</v>
      </c>
      <c r="L22" s="166">
        <v>0</v>
      </c>
      <c r="M22" s="166">
        <v>0</v>
      </c>
      <c r="N22" s="166">
        <v>0</v>
      </c>
      <c r="O22" s="166">
        <f>SUM(C22:N22)</f>
        <v>0</v>
      </c>
      <c r="P22" s="382"/>
      <c r="Q22" s="368">
        <v>1452847000</v>
      </c>
      <c r="R22" s="166">
        <v>0</v>
      </c>
      <c r="S22" s="369">
        <v>0</v>
      </c>
      <c r="T22" s="369">
        <f>(5500000*9%)+(150000000*67%)</f>
        <v>100995000</v>
      </c>
      <c r="U22" s="369">
        <f>(471340694*5%)+8000000</f>
        <v>31567034.700000003</v>
      </c>
      <c r="V22" s="369">
        <f>(58000000*14%)+(5117000*29%)+(71651306*19%)</f>
        <v>23217678.140000001</v>
      </c>
      <c r="W22" s="369">
        <v>0</v>
      </c>
      <c r="X22" s="166">
        <v>0</v>
      </c>
      <c r="Y22" s="369">
        <v>0</v>
      </c>
      <c r="Z22" s="166">
        <v>0</v>
      </c>
      <c r="AA22" s="166">
        <v>0</v>
      </c>
      <c r="AB22" s="166">
        <v>0</v>
      </c>
      <c r="AC22" s="369">
        <f>SUM(Q22:AB22)</f>
        <v>1608626712.8400002</v>
      </c>
      <c r="AD22" s="170"/>
      <c r="AE22" s="3"/>
      <c r="AF22" s="627"/>
      <c r="AG22" s="498"/>
    </row>
    <row r="23" spans="1:41" ht="32.1" customHeight="1">
      <c r="A23" s="691" t="s">
        <v>44</v>
      </c>
      <c r="B23" s="705"/>
      <c r="C23" s="164">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368">
        <v>1451347000</v>
      </c>
      <c r="R23" s="166">
        <v>0</v>
      </c>
      <c r="S23" s="369">
        <v>100000000</v>
      </c>
      <c r="T23" s="369">
        <v>0</v>
      </c>
      <c r="U23" s="166">
        <v>0</v>
      </c>
      <c r="V23" s="166">
        <v>0</v>
      </c>
      <c r="W23" s="166">
        <v>0</v>
      </c>
      <c r="X23" s="166">
        <v>0</v>
      </c>
      <c r="Y23" s="166">
        <v>0</v>
      </c>
      <c r="Z23" s="166">
        <v>0</v>
      </c>
      <c r="AA23" s="166">
        <v>0</v>
      </c>
      <c r="AB23" s="166">
        <v>0</v>
      </c>
      <c r="AC23" s="370">
        <f>SUM(Q23:AB23)</f>
        <v>1551347000</v>
      </c>
      <c r="AD23" s="168">
        <f>AC23/AC22</f>
        <v>0.9643921660738346</v>
      </c>
      <c r="AE23" s="3"/>
      <c r="AF23" s="629" t="s">
        <v>100</v>
      </c>
    </row>
    <row r="24" spans="1:41" ht="32.1" customHeight="1">
      <c r="A24" s="691" t="s">
        <v>46</v>
      </c>
      <c r="B24" s="705"/>
      <c r="C24" s="164">
        <v>0</v>
      </c>
      <c r="D24" s="220">
        <f>4533333</f>
        <v>4533333</v>
      </c>
      <c r="E24" s="220">
        <v>3795913.4249999998</v>
      </c>
      <c r="F24" s="220">
        <v>6507926.4249999998</v>
      </c>
      <c r="G24" s="220">
        <v>7591826.8499999996</v>
      </c>
      <c r="H24" s="163">
        <v>0</v>
      </c>
      <c r="I24" s="163">
        <v>0</v>
      </c>
      <c r="J24" s="163">
        <v>0</v>
      </c>
      <c r="K24" s="163">
        <v>0</v>
      </c>
      <c r="L24" s="163">
        <v>0</v>
      </c>
      <c r="M24" s="163">
        <v>0</v>
      </c>
      <c r="N24" s="163">
        <v>0</v>
      </c>
      <c r="O24" s="492">
        <f>SUM(C24:N24)</f>
        <v>22428999.699999999</v>
      </c>
      <c r="P24" s="383"/>
      <c r="Q24" s="368">
        <v>0</v>
      </c>
      <c r="R24" s="369">
        <v>47124065.236666664</v>
      </c>
      <c r="S24" s="369">
        <v>135175398.56999999</v>
      </c>
      <c r="T24" s="369">
        <v>135175398.56999999</v>
      </c>
      <c r="U24" s="370">
        <v>135175398.56999999</v>
      </c>
      <c r="V24" s="370">
        <v>135237273.56999999</v>
      </c>
      <c r="W24" s="370">
        <v>170752273.56999999</v>
      </c>
      <c r="X24" s="370">
        <v>137252273.56999999</v>
      </c>
      <c r="Y24" s="370">
        <v>170752273.56999999</v>
      </c>
      <c r="Z24" s="370">
        <v>137252273.56999999</v>
      </c>
      <c r="AA24" s="370">
        <v>170752273.56999999</v>
      </c>
      <c r="AB24" s="370">
        <f>137252273.57+96725536.9033333</f>
        <v>233977810.4733333</v>
      </c>
      <c r="AC24" s="370">
        <f>SUM(Q24:AB24)</f>
        <v>1608626712.8399997</v>
      </c>
      <c r="AD24" s="168"/>
      <c r="AE24" s="3"/>
      <c r="AF24" s="627"/>
    </row>
    <row r="25" spans="1:41" ht="32.1" customHeight="1" thickBot="1">
      <c r="A25" s="695" t="s">
        <v>47</v>
      </c>
      <c r="B25" s="696"/>
      <c r="C25" s="478">
        <v>1721301.54</v>
      </c>
      <c r="D25" s="474">
        <v>600398.46</v>
      </c>
      <c r="E25" s="474">
        <v>10231325.92</v>
      </c>
      <c r="F25" s="474">
        <v>0</v>
      </c>
      <c r="G25" s="165">
        <v>0</v>
      </c>
      <c r="H25" s="165">
        <v>0</v>
      </c>
      <c r="I25" s="165">
        <v>0</v>
      </c>
      <c r="J25" s="165">
        <v>0</v>
      </c>
      <c r="K25" s="165">
        <v>0</v>
      </c>
      <c r="L25" s="165">
        <v>0</v>
      </c>
      <c r="M25" s="165">
        <v>0</v>
      </c>
      <c r="N25" s="165">
        <v>0</v>
      </c>
      <c r="O25" s="512">
        <f>SUM(C25:N25)</f>
        <v>12553025.92</v>
      </c>
      <c r="P25" s="555">
        <f>O25/O24</f>
        <v>0.55967836675302107</v>
      </c>
      <c r="Q25" s="461">
        <v>0</v>
      </c>
      <c r="R25" s="458">
        <v>47866500</v>
      </c>
      <c r="S25" s="458">
        <v>133077000</v>
      </c>
      <c r="T25" s="458">
        <v>133077000</v>
      </c>
      <c r="U25" s="380">
        <v>0</v>
      </c>
      <c r="V25" s="380">
        <v>0</v>
      </c>
      <c r="W25" s="380">
        <v>0</v>
      </c>
      <c r="X25" s="380">
        <v>0</v>
      </c>
      <c r="Y25" s="380"/>
      <c r="Z25" s="380">
        <v>0</v>
      </c>
      <c r="AA25" s="380">
        <v>0</v>
      </c>
      <c r="AB25" s="380">
        <v>0</v>
      </c>
      <c r="AC25" s="371">
        <f>SUM(Q25:AB25)</f>
        <v>314020500</v>
      </c>
      <c r="AD25" s="169">
        <f>AC25/AC24</f>
        <v>0.19521029800978676</v>
      </c>
      <c r="AE25" s="3"/>
      <c r="AF25" s="627"/>
      <c r="AG25" s="50"/>
      <c r="AH25" s="50"/>
      <c r="AI25" s="50"/>
      <c r="AJ25" s="50"/>
      <c r="AK25" s="50"/>
      <c r="AL25" s="50"/>
      <c r="AM25" s="50"/>
      <c r="AN25" s="50"/>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F26" s="628"/>
    </row>
    <row r="27" spans="1:41" ht="33.950000000000003" customHeight="1">
      <c r="A27" s="697" t="s">
        <v>48</v>
      </c>
      <c r="B27" s="698"/>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row>
    <row r="28" spans="1:41" ht="15" customHeight="1">
      <c r="A28" s="701" t="s">
        <v>49</v>
      </c>
      <c r="B28" s="703" t="s">
        <v>50</v>
      </c>
      <c r="C28" s="704"/>
      <c r="D28" s="705" t="s">
        <v>51</v>
      </c>
      <c r="E28" s="706"/>
      <c r="F28" s="706"/>
      <c r="G28" s="706"/>
      <c r="H28" s="706"/>
      <c r="I28" s="706"/>
      <c r="J28" s="706"/>
      <c r="K28" s="706"/>
      <c r="L28" s="706"/>
      <c r="M28" s="706"/>
      <c r="N28" s="706"/>
      <c r="O28" s="707"/>
      <c r="P28" s="683" t="s">
        <v>41</v>
      </c>
      <c r="Q28" s="683" t="s">
        <v>52</v>
      </c>
      <c r="R28" s="683"/>
      <c r="S28" s="683"/>
      <c r="T28" s="683"/>
      <c r="U28" s="683"/>
      <c r="V28" s="683"/>
      <c r="W28" s="683"/>
      <c r="X28" s="683"/>
      <c r="Y28" s="683"/>
      <c r="Z28" s="683"/>
      <c r="AA28" s="683"/>
      <c r="AB28" s="683"/>
      <c r="AC28" s="683"/>
      <c r="AD28" s="693"/>
    </row>
    <row r="29" spans="1:41" ht="27" customHeight="1">
      <c r="A29" s="702"/>
      <c r="B29" s="670"/>
      <c r="C29" s="694"/>
      <c r="D29" s="88" t="s">
        <v>30</v>
      </c>
      <c r="E29" s="88" t="s">
        <v>31</v>
      </c>
      <c r="F29" s="88" t="s">
        <v>8</v>
      </c>
      <c r="G29" s="88" t="s">
        <v>32</v>
      </c>
      <c r="H29" s="88" t="s">
        <v>33</v>
      </c>
      <c r="I29" s="88" t="s">
        <v>34</v>
      </c>
      <c r="J29" s="88" t="s">
        <v>35</v>
      </c>
      <c r="K29" s="88" t="s">
        <v>36</v>
      </c>
      <c r="L29" s="88" t="s">
        <v>37</v>
      </c>
      <c r="M29" s="88" t="s">
        <v>38</v>
      </c>
      <c r="N29" s="88" t="s">
        <v>39</v>
      </c>
      <c r="O29" s="88" t="s">
        <v>40</v>
      </c>
      <c r="P29" s="707"/>
      <c r="Q29" s="683"/>
      <c r="R29" s="683"/>
      <c r="S29" s="683"/>
      <c r="T29" s="683"/>
      <c r="U29" s="683"/>
      <c r="V29" s="683"/>
      <c r="W29" s="683"/>
      <c r="X29" s="683"/>
      <c r="Y29" s="683"/>
      <c r="Z29" s="683"/>
      <c r="AA29" s="683"/>
      <c r="AB29" s="683"/>
      <c r="AC29" s="683"/>
      <c r="AD29" s="693"/>
    </row>
    <row r="30" spans="1:41" ht="123" customHeight="1" thickBot="1">
      <c r="A30" s="408" t="str">
        <f>C17</f>
        <v>Diseñar e implementar una (1) estrategía para el desarrollo de capacidades socioemocionales y técnicas de las mujeres en toda su diversidad para su emprendimiento y empleabilidad.</v>
      </c>
      <c r="B30" s="805"/>
      <c r="C30" s="806"/>
      <c r="D30" s="89"/>
      <c r="E30" s="89"/>
      <c r="F30" s="89"/>
      <c r="G30" s="89"/>
      <c r="H30" s="89"/>
      <c r="I30" s="89"/>
      <c r="J30" s="89"/>
      <c r="K30" s="89"/>
      <c r="L30" s="89"/>
      <c r="M30" s="89"/>
      <c r="N30" s="89"/>
      <c r="O30" s="89"/>
      <c r="P30" s="86">
        <f>SUM(D30:O30)</f>
        <v>0</v>
      </c>
      <c r="Q30" s="686" t="s">
        <v>1114</v>
      </c>
      <c r="R30" s="686"/>
      <c r="S30" s="686"/>
      <c r="T30" s="686"/>
      <c r="U30" s="686"/>
      <c r="V30" s="686"/>
      <c r="W30" s="686"/>
      <c r="X30" s="686"/>
      <c r="Y30" s="686"/>
      <c r="Z30" s="686"/>
      <c r="AA30" s="686"/>
      <c r="AB30" s="686"/>
      <c r="AC30" s="686"/>
      <c r="AD30" s="687"/>
    </row>
    <row r="31" spans="1:41" ht="45" customHeight="1">
      <c r="A31" s="688" t="s">
        <v>53</v>
      </c>
      <c r="B31" s="68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90"/>
    </row>
    <row r="32" spans="1:41" ht="23.1" customHeight="1">
      <c r="A32" s="691" t="s">
        <v>54</v>
      </c>
      <c r="B32" s="683" t="s">
        <v>55</v>
      </c>
      <c r="C32" s="683" t="s">
        <v>50</v>
      </c>
      <c r="D32" s="683" t="s">
        <v>56</v>
      </c>
      <c r="E32" s="683"/>
      <c r="F32" s="683"/>
      <c r="G32" s="683"/>
      <c r="H32" s="683"/>
      <c r="I32" s="683"/>
      <c r="J32" s="683"/>
      <c r="K32" s="683"/>
      <c r="L32" s="683"/>
      <c r="M32" s="683"/>
      <c r="N32" s="683"/>
      <c r="O32" s="683"/>
      <c r="P32" s="683"/>
      <c r="Q32" s="683" t="s">
        <v>57</v>
      </c>
      <c r="R32" s="683"/>
      <c r="S32" s="683"/>
      <c r="T32" s="683"/>
      <c r="U32" s="683"/>
      <c r="V32" s="683"/>
      <c r="W32" s="683"/>
      <c r="X32" s="683"/>
      <c r="Y32" s="683"/>
      <c r="Z32" s="683"/>
      <c r="AA32" s="683"/>
      <c r="AB32" s="683"/>
      <c r="AC32" s="683"/>
      <c r="AD32" s="693"/>
      <c r="AG32" s="499"/>
      <c r="AH32" s="499"/>
      <c r="AI32" s="499"/>
      <c r="AJ32" s="457"/>
      <c r="AK32" s="457"/>
      <c r="AL32" s="457"/>
      <c r="AM32" s="457"/>
      <c r="AN32" s="457"/>
      <c r="AO32" s="87"/>
    </row>
    <row r="33" spans="1:43" ht="23.1" customHeight="1">
      <c r="A33" s="691"/>
      <c r="B33" s="683"/>
      <c r="C33" s="692"/>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670" t="s">
        <v>58</v>
      </c>
      <c r="R33" s="671"/>
      <c r="S33" s="671"/>
      <c r="T33" s="671"/>
      <c r="U33" s="671"/>
      <c r="V33" s="694"/>
      <c r="W33" s="670" t="s">
        <v>59</v>
      </c>
      <c r="X33" s="671"/>
      <c r="Y33" s="671"/>
      <c r="Z33" s="694"/>
      <c r="AA33" s="670" t="s">
        <v>60</v>
      </c>
      <c r="AB33" s="671"/>
      <c r="AC33" s="671"/>
      <c r="AD33" s="672"/>
      <c r="AH33" s="72" t="s">
        <v>61</v>
      </c>
      <c r="AI33" s="499" t="s">
        <v>62</v>
      </c>
      <c r="AJ33" s="590" t="s">
        <v>63</v>
      </c>
      <c r="AK33" s="499" t="s">
        <v>101</v>
      </c>
      <c r="AL33" s="457"/>
      <c r="AM33" s="457"/>
      <c r="AN33" s="457"/>
      <c r="AO33" s="87"/>
    </row>
    <row r="34" spans="1:43" ht="164.25" customHeight="1">
      <c r="A34" s="811" t="str">
        <f>C17</f>
        <v>Diseñar e implementar una (1) estrategía para el desarrollo de capacidades socioemocionales y técnicas de las mujeres en toda su diversidad para su emprendimiento y empleabilidad.</v>
      </c>
      <c r="B34" s="675">
        <f>B38+B40+B42+B44+B46</f>
        <v>0.25</v>
      </c>
      <c r="C34" s="90" t="s">
        <v>64</v>
      </c>
      <c r="D34" s="218">
        <f>D68</f>
        <v>0</v>
      </c>
      <c r="E34" s="218">
        <f t="shared" ref="E34:O34" si="0">E68</f>
        <v>1.0400000000000003E-2</v>
      </c>
      <c r="F34" s="218">
        <f t="shared" si="0"/>
        <v>2.0000000000000004E-2</v>
      </c>
      <c r="G34" s="218">
        <f t="shared" si="0"/>
        <v>2.0000000000000004E-2</v>
      </c>
      <c r="H34" s="218">
        <f t="shared" si="0"/>
        <v>2.0000000000000004E-2</v>
      </c>
      <c r="I34" s="218">
        <f t="shared" si="0"/>
        <v>2.0000000000000004E-2</v>
      </c>
      <c r="J34" s="218">
        <f t="shared" si="0"/>
        <v>2.0000000000000004E-2</v>
      </c>
      <c r="K34" s="218">
        <f t="shared" si="0"/>
        <v>2.0000000000000004E-2</v>
      </c>
      <c r="L34" s="218">
        <f t="shared" si="0"/>
        <v>2.0000000000000004E-2</v>
      </c>
      <c r="M34" s="218">
        <f t="shared" si="0"/>
        <v>2.0000000000000004E-2</v>
      </c>
      <c r="N34" s="218">
        <f t="shared" si="0"/>
        <v>2.0000000000000004E-2</v>
      </c>
      <c r="O34" s="218">
        <f t="shared" si="0"/>
        <v>9.6000000000000026E-3</v>
      </c>
      <c r="P34" s="218">
        <f>SUM(D34:O34)</f>
        <v>0.20000000000000007</v>
      </c>
      <c r="Q34" s="856" t="s">
        <v>1194</v>
      </c>
      <c r="R34" s="857"/>
      <c r="S34" s="857"/>
      <c r="T34" s="857"/>
      <c r="U34" s="857"/>
      <c r="V34" s="858"/>
      <c r="W34" s="862" t="s">
        <v>102</v>
      </c>
      <c r="X34" s="863"/>
      <c r="Y34" s="863"/>
      <c r="Z34" s="864"/>
      <c r="AA34" s="862" t="s">
        <v>1195</v>
      </c>
      <c r="AB34" s="868"/>
      <c r="AC34" s="868"/>
      <c r="AD34" s="869"/>
      <c r="AH34" s="624" t="s">
        <v>103</v>
      </c>
      <c r="AI34" s="624" t="s">
        <v>104</v>
      </c>
      <c r="AJ34" s="624" t="s">
        <v>105</v>
      </c>
      <c r="AK34" s="624" t="s">
        <v>1181</v>
      </c>
      <c r="AL34" s="624"/>
      <c r="AM34" s="624"/>
      <c r="AN34" s="624"/>
      <c r="AO34" s="624"/>
      <c r="AP34" s="624"/>
      <c r="AQ34" s="624"/>
    </row>
    <row r="35" spans="1:43" ht="164.25" customHeight="1" thickBot="1">
      <c r="A35" s="812"/>
      <c r="B35" s="813"/>
      <c r="C35" s="392" t="s">
        <v>67</v>
      </c>
      <c r="D35" s="449">
        <f t="shared" ref="D35:O35" si="1">D65</f>
        <v>0</v>
      </c>
      <c r="E35" s="449">
        <f t="shared" si="1"/>
        <v>1.0480000000000003E-2</v>
      </c>
      <c r="F35" s="449">
        <f t="shared" si="1"/>
        <v>1.9440000000000006E-2</v>
      </c>
      <c r="G35" s="449">
        <f t="shared" si="1"/>
        <v>1.7280000000000007E-2</v>
      </c>
      <c r="H35" s="449">
        <f t="shared" si="1"/>
        <v>0</v>
      </c>
      <c r="I35" s="449">
        <f t="shared" si="1"/>
        <v>0</v>
      </c>
      <c r="J35" s="449">
        <f t="shared" si="1"/>
        <v>0</v>
      </c>
      <c r="K35" s="449">
        <f t="shared" si="1"/>
        <v>0</v>
      </c>
      <c r="L35" s="449">
        <f t="shared" si="1"/>
        <v>0</v>
      </c>
      <c r="M35" s="449">
        <f t="shared" si="1"/>
        <v>0</v>
      </c>
      <c r="N35" s="449">
        <f t="shared" si="1"/>
        <v>0</v>
      </c>
      <c r="O35" s="449">
        <f t="shared" si="1"/>
        <v>0</v>
      </c>
      <c r="P35" s="448">
        <f>SUM(D35:O35)</f>
        <v>4.720000000000002E-2</v>
      </c>
      <c r="Q35" s="859"/>
      <c r="R35" s="860"/>
      <c r="S35" s="860"/>
      <c r="T35" s="860"/>
      <c r="U35" s="860"/>
      <c r="V35" s="861"/>
      <c r="W35" s="865"/>
      <c r="X35" s="866"/>
      <c r="Y35" s="866"/>
      <c r="Z35" s="867"/>
      <c r="AA35" s="870"/>
      <c r="AB35" s="871"/>
      <c r="AC35" s="871"/>
      <c r="AD35" s="872"/>
      <c r="AE35" s="49"/>
      <c r="AH35" s="652">
        <f>LEN(AH34)</f>
        <v>300</v>
      </c>
      <c r="AI35" s="652">
        <f>LEN(AI34)</f>
        <v>288</v>
      </c>
      <c r="AJ35" s="652">
        <f>LEN(AJ34)</f>
        <v>300</v>
      </c>
      <c r="AK35" s="652">
        <f>LEN(AK34)</f>
        <v>298</v>
      </c>
      <c r="AL35" s="649"/>
      <c r="AM35" s="649"/>
      <c r="AN35" s="649"/>
      <c r="AO35" s="650"/>
      <c r="AP35" s="651"/>
    </row>
    <row r="36" spans="1:43" ht="32.25" customHeight="1">
      <c r="A36" s="716" t="s">
        <v>68</v>
      </c>
      <c r="B36" s="835" t="s">
        <v>69</v>
      </c>
      <c r="C36" s="837" t="s">
        <v>70</v>
      </c>
      <c r="D36" s="837"/>
      <c r="E36" s="837"/>
      <c r="F36" s="837"/>
      <c r="G36" s="837"/>
      <c r="H36" s="837"/>
      <c r="I36" s="837"/>
      <c r="J36" s="837"/>
      <c r="K36" s="837"/>
      <c r="L36" s="837"/>
      <c r="M36" s="837"/>
      <c r="N36" s="837"/>
      <c r="O36" s="837"/>
      <c r="P36" s="837"/>
      <c r="Q36" s="838" t="s">
        <v>71</v>
      </c>
      <c r="R36" s="839"/>
      <c r="S36" s="839"/>
      <c r="T36" s="839"/>
      <c r="U36" s="839"/>
      <c r="V36" s="839"/>
      <c r="W36" s="839"/>
      <c r="X36" s="839"/>
      <c r="Y36" s="839"/>
      <c r="Z36" s="839"/>
      <c r="AA36" s="839"/>
      <c r="AB36" s="839"/>
      <c r="AC36" s="839"/>
      <c r="AD36" s="840"/>
      <c r="AG36" s="499"/>
      <c r="AH36" s="499"/>
      <c r="AI36" s="499"/>
      <c r="AJ36" s="457"/>
      <c r="AK36" s="457"/>
      <c r="AL36" s="457"/>
      <c r="AM36" s="457"/>
      <c r="AN36" s="457"/>
      <c r="AO36" s="87"/>
    </row>
    <row r="37" spans="1:43" ht="32.25" customHeight="1" thickBot="1">
      <c r="A37" s="809"/>
      <c r="B37" s="873"/>
      <c r="C37" s="215" t="s">
        <v>72</v>
      </c>
      <c r="D37" s="215" t="s">
        <v>73</v>
      </c>
      <c r="E37" s="215" t="s">
        <v>74</v>
      </c>
      <c r="F37" s="215" t="s">
        <v>75</v>
      </c>
      <c r="G37" s="215" t="s">
        <v>76</v>
      </c>
      <c r="H37" s="215" t="s">
        <v>77</v>
      </c>
      <c r="I37" s="215" t="s">
        <v>78</v>
      </c>
      <c r="J37" s="215" t="s">
        <v>79</v>
      </c>
      <c r="K37" s="215" t="s">
        <v>80</v>
      </c>
      <c r="L37" s="215" t="s">
        <v>81</v>
      </c>
      <c r="M37" s="215" t="s">
        <v>82</v>
      </c>
      <c r="N37" s="215" t="s">
        <v>83</v>
      </c>
      <c r="O37" s="215" t="s">
        <v>84</v>
      </c>
      <c r="P37" s="215" t="s">
        <v>85</v>
      </c>
      <c r="Q37" s="703" t="s">
        <v>86</v>
      </c>
      <c r="R37" s="874"/>
      <c r="S37" s="874"/>
      <c r="T37" s="874"/>
      <c r="U37" s="874"/>
      <c r="V37" s="874"/>
      <c r="W37" s="874"/>
      <c r="X37" s="874"/>
      <c r="Y37" s="874"/>
      <c r="Z37" s="874"/>
      <c r="AA37" s="874"/>
      <c r="AB37" s="874"/>
      <c r="AC37" s="874"/>
      <c r="AD37" s="874"/>
      <c r="AE37" s="636"/>
      <c r="AF37" s="647" t="s">
        <v>1173</v>
      </c>
      <c r="AG37" s="638"/>
      <c r="AH37" s="500"/>
      <c r="AI37" s="500"/>
      <c r="AJ37" s="495"/>
      <c r="AK37" s="495"/>
      <c r="AL37" s="495"/>
      <c r="AM37" s="495"/>
      <c r="AN37" s="495"/>
      <c r="AO37" s="94"/>
    </row>
    <row r="38" spans="1:43" ht="50.25" customHeight="1">
      <c r="A38" s="875" t="s">
        <v>106</v>
      </c>
      <c r="B38" s="876">
        <v>7.0000000000000007E-2</v>
      </c>
      <c r="C38" s="216" t="s">
        <v>64</v>
      </c>
      <c r="D38" s="217">
        <v>0</v>
      </c>
      <c r="E38" s="217">
        <v>0.05</v>
      </c>
      <c r="F38" s="217">
        <v>0.1</v>
      </c>
      <c r="G38" s="217">
        <v>0.1</v>
      </c>
      <c r="H38" s="217">
        <v>0.1</v>
      </c>
      <c r="I38" s="217">
        <v>0.1</v>
      </c>
      <c r="J38" s="217">
        <v>0.1</v>
      </c>
      <c r="K38" s="217">
        <v>0.1</v>
      </c>
      <c r="L38" s="217">
        <v>0.1</v>
      </c>
      <c r="M38" s="217">
        <v>0.1</v>
      </c>
      <c r="N38" s="217">
        <v>0.1</v>
      </c>
      <c r="O38" s="217">
        <v>0.05</v>
      </c>
      <c r="P38" s="362">
        <f t="shared" ref="P38:P45" si="2">SUM(D38:O38)</f>
        <v>0.99999999999999989</v>
      </c>
      <c r="Q38" s="877" t="s">
        <v>107</v>
      </c>
      <c r="R38" s="877"/>
      <c r="S38" s="877"/>
      <c r="T38" s="877"/>
      <c r="U38" s="877"/>
      <c r="V38" s="877"/>
      <c r="W38" s="877"/>
      <c r="X38" s="877"/>
      <c r="Y38" s="877"/>
      <c r="Z38" s="877"/>
      <c r="AA38" s="877"/>
      <c r="AB38" s="877"/>
      <c r="AC38" s="877"/>
      <c r="AD38" s="878"/>
      <c r="AE38" s="639"/>
      <c r="AF38" s="842" t="s">
        <v>1167</v>
      </c>
      <c r="AG38" s="639"/>
      <c r="AH38" s="159"/>
      <c r="AI38" s="159"/>
      <c r="AJ38" s="496"/>
      <c r="AK38" s="496"/>
      <c r="AL38" s="496"/>
      <c r="AM38" s="496"/>
      <c r="AN38" s="496"/>
      <c r="AO38" s="98"/>
    </row>
    <row r="39" spans="1:43" ht="50.25" customHeight="1">
      <c r="A39" s="846"/>
      <c r="B39" s="848"/>
      <c r="C39" s="99" t="s">
        <v>67</v>
      </c>
      <c r="D39" s="100">
        <v>0</v>
      </c>
      <c r="E39" s="100">
        <v>0.04</v>
      </c>
      <c r="F39" s="100">
        <v>0.09</v>
      </c>
      <c r="G39" s="100">
        <v>0.08</v>
      </c>
      <c r="H39" s="100"/>
      <c r="I39" s="100"/>
      <c r="J39" s="100"/>
      <c r="K39" s="100"/>
      <c r="L39" s="100"/>
      <c r="M39" s="100"/>
      <c r="N39" s="100"/>
      <c r="O39" s="100"/>
      <c r="P39" s="363">
        <f t="shared" si="2"/>
        <v>0.21000000000000002</v>
      </c>
      <c r="Q39" s="877"/>
      <c r="R39" s="877"/>
      <c r="S39" s="877"/>
      <c r="T39" s="877"/>
      <c r="U39" s="877"/>
      <c r="V39" s="877"/>
      <c r="W39" s="877"/>
      <c r="X39" s="877"/>
      <c r="Y39" s="877"/>
      <c r="Z39" s="877"/>
      <c r="AA39" s="877"/>
      <c r="AB39" s="877"/>
      <c r="AC39" s="877"/>
      <c r="AD39" s="878"/>
      <c r="AE39" s="639"/>
      <c r="AF39" s="842"/>
      <c r="AG39" s="639"/>
    </row>
    <row r="40" spans="1:43" ht="72.75" customHeight="1">
      <c r="A40" s="846" t="s">
        <v>108</v>
      </c>
      <c r="B40" s="675">
        <v>0.05</v>
      </c>
      <c r="C40" s="102" t="s">
        <v>64</v>
      </c>
      <c r="D40" s="103">
        <v>0</v>
      </c>
      <c r="E40" s="103">
        <v>0.1</v>
      </c>
      <c r="F40" s="103">
        <v>0.1</v>
      </c>
      <c r="G40" s="103">
        <v>0.1</v>
      </c>
      <c r="H40" s="103">
        <v>0.1</v>
      </c>
      <c r="I40" s="103">
        <v>0.1</v>
      </c>
      <c r="J40" s="103">
        <v>0.1</v>
      </c>
      <c r="K40" s="103">
        <v>0.1</v>
      </c>
      <c r="L40" s="103">
        <v>0.1</v>
      </c>
      <c r="M40" s="103">
        <v>0.1</v>
      </c>
      <c r="N40" s="103">
        <v>0.1</v>
      </c>
      <c r="O40" s="103">
        <v>0</v>
      </c>
      <c r="P40" s="363">
        <f t="shared" si="2"/>
        <v>0.99999999999999989</v>
      </c>
      <c r="Q40" s="851" t="s">
        <v>1166</v>
      </c>
      <c r="R40" s="851"/>
      <c r="S40" s="851"/>
      <c r="T40" s="851"/>
      <c r="U40" s="851"/>
      <c r="V40" s="851"/>
      <c r="W40" s="851"/>
      <c r="X40" s="851"/>
      <c r="Y40" s="851"/>
      <c r="Z40" s="851"/>
      <c r="AA40" s="851"/>
      <c r="AB40" s="851"/>
      <c r="AC40" s="851"/>
      <c r="AD40" s="852"/>
      <c r="AE40" s="639"/>
      <c r="AF40" s="842" t="s">
        <v>1168</v>
      </c>
      <c r="AG40" s="639"/>
    </row>
    <row r="41" spans="1:43" ht="72.75" customHeight="1">
      <c r="A41" s="846"/>
      <c r="B41" s="848"/>
      <c r="C41" s="99" t="s">
        <v>67</v>
      </c>
      <c r="D41" s="100">
        <v>0</v>
      </c>
      <c r="E41" s="100">
        <v>0.1</v>
      </c>
      <c r="F41" s="100">
        <v>0.1</v>
      </c>
      <c r="G41" s="100">
        <v>0.1</v>
      </c>
      <c r="H41" s="100"/>
      <c r="I41" s="100"/>
      <c r="J41" s="100"/>
      <c r="K41" s="100"/>
      <c r="L41" s="100"/>
      <c r="M41" s="100"/>
      <c r="N41" s="100"/>
      <c r="O41" s="100"/>
      <c r="P41" s="363">
        <f t="shared" si="2"/>
        <v>0.30000000000000004</v>
      </c>
      <c r="Q41" s="851"/>
      <c r="R41" s="851"/>
      <c r="S41" s="851"/>
      <c r="T41" s="851"/>
      <c r="U41" s="851"/>
      <c r="V41" s="851"/>
      <c r="W41" s="851"/>
      <c r="X41" s="851"/>
      <c r="Y41" s="851"/>
      <c r="Z41" s="851"/>
      <c r="AA41" s="851"/>
      <c r="AB41" s="851"/>
      <c r="AC41" s="851"/>
      <c r="AD41" s="852"/>
      <c r="AE41" s="639"/>
      <c r="AF41" s="842"/>
      <c r="AG41" s="639"/>
    </row>
    <row r="42" spans="1:43" ht="69.75" customHeight="1">
      <c r="A42" s="846" t="s">
        <v>109</v>
      </c>
      <c r="B42" s="675">
        <v>0.05</v>
      </c>
      <c r="C42" s="102" t="s">
        <v>64</v>
      </c>
      <c r="D42" s="103">
        <v>0</v>
      </c>
      <c r="E42" s="103">
        <v>0.05</v>
      </c>
      <c r="F42" s="103">
        <v>0.1</v>
      </c>
      <c r="G42" s="103">
        <v>0.1</v>
      </c>
      <c r="H42" s="103">
        <v>0.1</v>
      </c>
      <c r="I42" s="103">
        <v>0.1</v>
      </c>
      <c r="J42" s="103">
        <v>0.1</v>
      </c>
      <c r="K42" s="103">
        <v>0.1</v>
      </c>
      <c r="L42" s="103">
        <v>0.1</v>
      </c>
      <c r="M42" s="103">
        <v>0.1</v>
      </c>
      <c r="N42" s="103">
        <v>0.1</v>
      </c>
      <c r="O42" s="103">
        <v>0.05</v>
      </c>
      <c r="P42" s="363">
        <f>SUM(D42:O42)</f>
        <v>0.99999999999999989</v>
      </c>
      <c r="Q42" s="851" t="s">
        <v>1169</v>
      </c>
      <c r="R42" s="851"/>
      <c r="S42" s="851"/>
      <c r="T42" s="851"/>
      <c r="U42" s="851"/>
      <c r="V42" s="851"/>
      <c r="W42" s="851"/>
      <c r="X42" s="851"/>
      <c r="Y42" s="851"/>
      <c r="Z42" s="851"/>
      <c r="AA42" s="851"/>
      <c r="AB42" s="851"/>
      <c r="AC42" s="851"/>
      <c r="AD42" s="852"/>
      <c r="AE42" s="640"/>
      <c r="AF42" s="842" t="s">
        <v>1170</v>
      </c>
      <c r="AG42" s="637"/>
    </row>
    <row r="43" spans="1:43" ht="69.75" customHeight="1">
      <c r="A43" s="846"/>
      <c r="B43" s="848"/>
      <c r="C43" s="99" t="s">
        <v>67</v>
      </c>
      <c r="D43" s="100">
        <v>0</v>
      </c>
      <c r="E43" s="100">
        <v>0.05</v>
      </c>
      <c r="F43" s="100">
        <v>0.1</v>
      </c>
      <c r="G43" s="100">
        <v>0.1</v>
      </c>
      <c r="H43" s="100"/>
      <c r="I43" s="100"/>
      <c r="J43" s="100"/>
      <c r="K43" s="100"/>
      <c r="L43" s="100"/>
      <c r="M43" s="100"/>
      <c r="N43" s="100"/>
      <c r="O43" s="100"/>
      <c r="P43" s="363">
        <f>SUM(D43:O43)</f>
        <v>0.25</v>
      </c>
      <c r="Q43" s="851"/>
      <c r="R43" s="851"/>
      <c r="S43" s="851"/>
      <c r="T43" s="851"/>
      <c r="U43" s="851"/>
      <c r="V43" s="851"/>
      <c r="W43" s="851"/>
      <c r="X43" s="851"/>
      <c r="Y43" s="851"/>
      <c r="Z43" s="851"/>
      <c r="AA43" s="851"/>
      <c r="AB43" s="851"/>
      <c r="AC43" s="851"/>
      <c r="AD43" s="852"/>
      <c r="AE43" s="640"/>
      <c r="AF43" s="842"/>
      <c r="AG43" s="637"/>
      <c r="AH43" s="72" t="s">
        <v>61</v>
      </c>
      <c r="AI43" s="159" t="s">
        <v>110</v>
      </c>
      <c r="AJ43" s="159" t="s">
        <v>111</v>
      </c>
      <c r="AK43" s="159" t="s">
        <v>1174</v>
      </c>
    </row>
    <row r="44" spans="1:43" ht="64.5" customHeight="1">
      <c r="A44" s="846" t="s">
        <v>112</v>
      </c>
      <c r="B44" s="675">
        <v>0.04</v>
      </c>
      <c r="C44" s="102" t="s">
        <v>64</v>
      </c>
      <c r="D44" s="103">
        <v>0</v>
      </c>
      <c r="E44" s="103">
        <v>0</v>
      </c>
      <c r="F44" s="103">
        <v>0.1</v>
      </c>
      <c r="G44" s="103">
        <v>0.1</v>
      </c>
      <c r="H44" s="103">
        <v>0.1</v>
      </c>
      <c r="I44" s="103">
        <v>0.1</v>
      </c>
      <c r="J44" s="103">
        <v>0.1</v>
      </c>
      <c r="K44" s="103">
        <v>0.1</v>
      </c>
      <c r="L44" s="103">
        <v>0.1</v>
      </c>
      <c r="M44" s="103">
        <v>0.1</v>
      </c>
      <c r="N44" s="103">
        <v>0.1</v>
      </c>
      <c r="O44" s="103">
        <v>0.1</v>
      </c>
      <c r="P44" s="363">
        <f t="shared" si="2"/>
        <v>0.99999999999999989</v>
      </c>
      <c r="Q44" s="879" t="s">
        <v>1171</v>
      </c>
      <c r="R44" s="879"/>
      <c r="S44" s="879"/>
      <c r="T44" s="879"/>
      <c r="U44" s="879"/>
      <c r="V44" s="879"/>
      <c r="W44" s="879"/>
      <c r="X44" s="879"/>
      <c r="Y44" s="879"/>
      <c r="Z44" s="879"/>
      <c r="AA44" s="879"/>
      <c r="AB44" s="879"/>
      <c r="AC44" s="879"/>
      <c r="AD44" s="880"/>
      <c r="AE44" s="97"/>
      <c r="AF44" s="842" t="s">
        <v>1172</v>
      </c>
      <c r="AH44" s="72" t="s">
        <v>113</v>
      </c>
      <c r="AI44" s="72" t="s">
        <v>114</v>
      </c>
      <c r="AJ44" s="72" t="s">
        <v>115</v>
      </c>
      <c r="AK44" s="72" t="s">
        <v>1175</v>
      </c>
    </row>
    <row r="45" spans="1:43" ht="64.5" customHeight="1">
      <c r="A45" s="846"/>
      <c r="B45" s="848"/>
      <c r="C45" s="99" t="s">
        <v>67</v>
      </c>
      <c r="D45" s="100">
        <v>0</v>
      </c>
      <c r="E45" s="100">
        <v>0.02</v>
      </c>
      <c r="F45" s="100">
        <v>0.1</v>
      </c>
      <c r="G45" s="100">
        <v>0.05</v>
      </c>
      <c r="H45" s="100"/>
      <c r="I45" s="100"/>
      <c r="J45" s="100"/>
      <c r="K45" s="100"/>
      <c r="L45" s="100"/>
      <c r="M45" s="100"/>
      <c r="N45" s="100"/>
      <c r="O45" s="100"/>
      <c r="P45" s="363">
        <f t="shared" si="2"/>
        <v>0.17</v>
      </c>
      <c r="Q45" s="879"/>
      <c r="R45" s="879"/>
      <c r="S45" s="879"/>
      <c r="T45" s="879"/>
      <c r="U45" s="879"/>
      <c r="V45" s="879"/>
      <c r="W45" s="879"/>
      <c r="X45" s="879"/>
      <c r="Y45" s="879"/>
      <c r="Z45" s="879"/>
      <c r="AA45" s="879"/>
      <c r="AB45" s="879"/>
      <c r="AC45" s="879"/>
      <c r="AD45" s="880"/>
      <c r="AE45" s="97"/>
      <c r="AF45" s="842"/>
      <c r="AH45" s="652">
        <f>LEN(AH44)</f>
        <v>1</v>
      </c>
      <c r="AI45" s="652">
        <f>LEN(AI44)</f>
        <v>135</v>
      </c>
      <c r="AJ45" s="652">
        <f>LEN(AJ44)</f>
        <v>296</v>
      </c>
      <c r="AK45" s="652">
        <f>LEN(AK44)</f>
        <v>202</v>
      </c>
    </row>
    <row r="46" spans="1:43" ht="110.25" customHeight="1">
      <c r="A46" s="846" t="s">
        <v>116</v>
      </c>
      <c r="B46" s="675">
        <v>0.04</v>
      </c>
      <c r="C46" s="102" t="s">
        <v>64</v>
      </c>
      <c r="D46" s="103">
        <v>0</v>
      </c>
      <c r="E46" s="103">
        <v>0.05</v>
      </c>
      <c r="F46" s="103">
        <v>0.1</v>
      </c>
      <c r="G46" s="103">
        <v>0.1</v>
      </c>
      <c r="H46" s="103">
        <v>0.1</v>
      </c>
      <c r="I46" s="103">
        <v>0.1</v>
      </c>
      <c r="J46" s="103">
        <v>0.1</v>
      </c>
      <c r="K46" s="103">
        <v>0.1</v>
      </c>
      <c r="L46" s="103">
        <v>0.1</v>
      </c>
      <c r="M46" s="103">
        <v>0.1</v>
      </c>
      <c r="N46" s="103">
        <v>0.1</v>
      </c>
      <c r="O46" s="103">
        <v>0.05</v>
      </c>
      <c r="P46" s="363">
        <f>SUM(D46:O46)</f>
        <v>0.99999999999999989</v>
      </c>
      <c r="Q46" s="849" t="s">
        <v>117</v>
      </c>
      <c r="R46" s="849"/>
      <c r="S46" s="849"/>
      <c r="T46" s="849"/>
      <c r="U46" s="849"/>
      <c r="V46" s="849"/>
      <c r="W46" s="849"/>
      <c r="X46" s="849"/>
      <c r="Y46" s="849"/>
      <c r="Z46" s="849"/>
      <c r="AA46" s="849"/>
      <c r="AB46" s="849"/>
      <c r="AC46" s="849"/>
      <c r="AD46" s="850"/>
      <c r="AE46" s="97"/>
      <c r="AF46" s="842"/>
      <c r="AH46" s="72" t="s">
        <v>118</v>
      </c>
      <c r="AI46" s="72" t="s">
        <v>119</v>
      </c>
      <c r="AJ46" s="72" t="s">
        <v>120</v>
      </c>
      <c r="AK46" s="160" t="s">
        <v>1176</v>
      </c>
    </row>
    <row r="47" spans="1:43" ht="110.25" customHeight="1" thickBot="1">
      <c r="A47" s="826"/>
      <c r="B47" s="847"/>
      <c r="C47" s="91" t="s">
        <v>67</v>
      </c>
      <c r="D47" s="105">
        <v>0</v>
      </c>
      <c r="E47" s="105">
        <v>0.05</v>
      </c>
      <c r="F47" s="105">
        <v>0.1</v>
      </c>
      <c r="G47" s="105">
        <v>0.1</v>
      </c>
      <c r="H47" s="105"/>
      <c r="I47" s="105"/>
      <c r="J47" s="105"/>
      <c r="K47" s="105"/>
      <c r="L47" s="105"/>
      <c r="M47" s="105"/>
      <c r="N47" s="105"/>
      <c r="O47" s="105"/>
      <c r="P47" s="364">
        <f>SUM(D47:O47)</f>
        <v>0.25</v>
      </c>
      <c r="Q47" s="849"/>
      <c r="R47" s="849"/>
      <c r="S47" s="849"/>
      <c r="T47" s="849"/>
      <c r="U47" s="849"/>
      <c r="V47" s="849"/>
      <c r="W47" s="849"/>
      <c r="X47" s="849"/>
      <c r="Y47" s="849"/>
      <c r="Z47" s="849"/>
      <c r="AA47" s="849"/>
      <c r="AB47" s="849"/>
      <c r="AC47" s="849"/>
      <c r="AD47" s="850"/>
      <c r="AE47" s="97"/>
      <c r="AF47" s="842"/>
      <c r="AH47" s="72" t="s">
        <v>121</v>
      </c>
      <c r="AI47" s="72" t="s">
        <v>122</v>
      </c>
      <c r="AJ47" s="72" t="s">
        <v>123</v>
      </c>
      <c r="AK47" s="72" t="s">
        <v>1191</v>
      </c>
    </row>
    <row r="48" spans="1:43">
      <c r="A48" s="50" t="s">
        <v>92</v>
      </c>
      <c r="AF48" s="642"/>
      <c r="AH48" s="653">
        <f>LEN(AH47)</f>
        <v>300</v>
      </c>
      <c r="AI48" s="653">
        <f>LEN(AI47)</f>
        <v>263</v>
      </c>
      <c r="AJ48" s="653">
        <f>LEN(AJ47)</f>
        <v>300</v>
      </c>
      <c r="AK48" s="653">
        <f>LEN(AK47)</f>
        <v>299</v>
      </c>
    </row>
    <row r="49" spans="1:51">
      <c r="AF49" s="642"/>
      <c r="AH49" s="499"/>
      <c r="AI49" s="499"/>
      <c r="AJ49" s="72"/>
    </row>
    <row r="50" spans="1:51">
      <c r="AI50" s="72" t="s">
        <v>119</v>
      </c>
      <c r="AJ50" s="72" t="s">
        <v>120</v>
      </c>
      <c r="AK50" s="160" t="s">
        <v>1176</v>
      </c>
    </row>
    <row r="51" spans="1:51">
      <c r="AJ51" s="72"/>
    </row>
    <row r="52" spans="1:51" s="204" customFormat="1" ht="165">
      <c r="A52" s="845" t="s">
        <v>124</v>
      </c>
      <c r="B52" s="845" t="s">
        <v>69</v>
      </c>
      <c r="C52" s="881" t="s">
        <v>70</v>
      </c>
      <c r="D52" s="882"/>
      <c r="E52" s="882"/>
      <c r="F52" s="882"/>
      <c r="G52" s="882"/>
      <c r="H52" s="882"/>
      <c r="I52" s="882"/>
      <c r="J52" s="882"/>
      <c r="K52" s="882"/>
      <c r="L52" s="882"/>
      <c r="M52" s="882"/>
      <c r="N52" s="882"/>
      <c r="O52" s="882"/>
      <c r="P52" s="883"/>
      <c r="Q52" s="202"/>
      <c r="R52" s="202"/>
      <c r="S52" s="202"/>
      <c r="T52" s="202"/>
      <c r="U52" s="202"/>
      <c r="V52" s="202"/>
      <c r="W52" s="202"/>
      <c r="X52" s="202"/>
      <c r="Y52" s="202"/>
      <c r="Z52" s="202"/>
      <c r="AA52" s="202"/>
      <c r="AB52" s="202"/>
      <c r="AC52" s="202"/>
      <c r="AD52" s="202"/>
      <c r="AE52" s="202"/>
      <c r="AF52" s="643"/>
      <c r="AH52" s="501"/>
      <c r="AI52" s="72" t="s">
        <v>125</v>
      </c>
      <c r="AJ52" s="72" t="s">
        <v>126</v>
      </c>
      <c r="AK52" s="72" t="s">
        <v>1177</v>
      </c>
      <c r="AL52" s="497"/>
      <c r="AM52" s="497"/>
      <c r="AN52" s="497"/>
      <c r="AO52" s="202"/>
      <c r="AP52" s="202"/>
      <c r="AQ52" s="203"/>
      <c r="AR52" s="203"/>
      <c r="AS52" s="203"/>
      <c r="AT52" s="203"/>
      <c r="AU52" s="203"/>
      <c r="AV52" s="203"/>
      <c r="AW52" s="203"/>
      <c r="AX52" s="203"/>
      <c r="AY52" s="203"/>
    </row>
    <row r="53" spans="1:51" s="204" customFormat="1" ht="21">
      <c r="A53" s="844"/>
      <c r="B53" s="844"/>
      <c r="C53" s="205" t="s">
        <v>72</v>
      </c>
      <c r="D53" s="205" t="s">
        <v>73</v>
      </c>
      <c r="E53" s="205" t="s">
        <v>74</v>
      </c>
      <c r="F53" s="205" t="s">
        <v>75</v>
      </c>
      <c r="G53" s="205" t="s">
        <v>76</v>
      </c>
      <c r="H53" s="205" t="s">
        <v>77</v>
      </c>
      <c r="I53" s="205" t="s">
        <v>78</v>
      </c>
      <c r="J53" s="205" t="s">
        <v>79</v>
      </c>
      <c r="K53" s="205" t="s">
        <v>80</v>
      </c>
      <c r="L53" s="205" t="s">
        <v>81</v>
      </c>
      <c r="M53" s="205" t="s">
        <v>82</v>
      </c>
      <c r="N53" s="205" t="s">
        <v>83</v>
      </c>
      <c r="O53" s="205" t="s">
        <v>84</v>
      </c>
      <c r="P53" s="205" t="s">
        <v>85</v>
      </c>
      <c r="Q53" s="202"/>
      <c r="R53" s="202"/>
      <c r="S53" s="202"/>
      <c r="T53" s="202"/>
      <c r="U53" s="202"/>
      <c r="V53" s="202"/>
      <c r="W53" s="202"/>
      <c r="X53" s="202"/>
      <c r="Y53" s="202"/>
      <c r="Z53" s="202"/>
      <c r="AA53" s="202"/>
      <c r="AB53" s="202"/>
      <c r="AC53" s="202"/>
      <c r="AD53" s="202"/>
      <c r="AE53" s="202"/>
      <c r="AF53" s="643"/>
      <c r="AH53" s="501"/>
      <c r="AI53" s="653">
        <f>LEN(AI52)</f>
        <v>196</v>
      </c>
      <c r="AJ53" s="653">
        <f>LEN(AJ52)</f>
        <v>218</v>
      </c>
      <c r="AK53" s="653">
        <f>LEN(AK52)</f>
        <v>199</v>
      </c>
      <c r="AL53" s="497"/>
      <c r="AM53" s="497"/>
      <c r="AN53" s="497"/>
      <c r="AO53" s="202"/>
      <c r="AP53" s="202"/>
      <c r="AQ53" s="203"/>
      <c r="AR53" s="203"/>
      <c r="AS53" s="203"/>
      <c r="AT53" s="203"/>
      <c r="AU53" s="203"/>
      <c r="AV53" s="203"/>
      <c r="AW53" s="203"/>
      <c r="AX53" s="203"/>
      <c r="AY53" s="203"/>
    </row>
    <row r="54" spans="1:51" s="204" customFormat="1">
      <c r="A54" s="843" t="str">
        <f>A38</f>
        <v>8. Implementar la ruta de divulgación y orientación para la formación y oferta de empleo y emprendimiento de mujeres diseñada en el marco de la estrategia de emprendimiento y empleabilidad.</v>
      </c>
      <c r="B54" s="843">
        <f>B38</f>
        <v>7.0000000000000007E-2</v>
      </c>
      <c r="C54" s="206" t="s">
        <v>64</v>
      </c>
      <c r="D54" s="365">
        <f>D38*$B$38/$P$38</f>
        <v>0</v>
      </c>
      <c r="E54" s="207">
        <f t="shared" ref="E54:O54" si="3">E38*$B$38/$P$38</f>
        <v>3.5000000000000009E-3</v>
      </c>
      <c r="F54" s="207">
        <f t="shared" si="3"/>
        <v>7.0000000000000019E-3</v>
      </c>
      <c r="G54" s="207">
        <f t="shared" si="3"/>
        <v>7.0000000000000019E-3</v>
      </c>
      <c r="H54" s="207">
        <f t="shared" si="3"/>
        <v>7.0000000000000019E-3</v>
      </c>
      <c r="I54" s="207">
        <f t="shared" si="3"/>
        <v>7.0000000000000019E-3</v>
      </c>
      <c r="J54" s="207">
        <f t="shared" si="3"/>
        <v>7.0000000000000019E-3</v>
      </c>
      <c r="K54" s="207">
        <f t="shared" si="3"/>
        <v>7.0000000000000019E-3</v>
      </c>
      <c r="L54" s="207">
        <f t="shared" si="3"/>
        <v>7.0000000000000019E-3</v>
      </c>
      <c r="M54" s="207">
        <f t="shared" si="3"/>
        <v>7.0000000000000019E-3</v>
      </c>
      <c r="N54" s="207">
        <f t="shared" si="3"/>
        <v>7.0000000000000019E-3</v>
      </c>
      <c r="O54" s="207">
        <f t="shared" si="3"/>
        <v>3.5000000000000009E-3</v>
      </c>
      <c r="P54" s="361">
        <f t="shared" ref="P54:P57" si="4">SUM(D54:O54)</f>
        <v>7.0000000000000007E-2</v>
      </c>
      <c r="Q54" s="207"/>
      <c r="R54" s="207"/>
      <c r="S54" s="207"/>
      <c r="T54" s="207"/>
      <c r="U54" s="207"/>
      <c r="V54" s="207"/>
      <c r="W54" s="207"/>
      <c r="X54" s="207"/>
      <c r="Y54" s="207"/>
      <c r="Z54" s="207"/>
      <c r="AA54" s="207"/>
      <c r="AB54" s="207"/>
      <c r="AC54" s="207"/>
      <c r="AD54" s="207"/>
      <c r="AE54" s="207"/>
      <c r="AF54" s="643"/>
      <c r="AH54" s="502"/>
      <c r="AI54" s="159" t="s">
        <v>119</v>
      </c>
      <c r="AJ54" s="159" t="s">
        <v>120</v>
      </c>
      <c r="AK54" s="159" t="s">
        <v>101</v>
      </c>
      <c r="AL54" s="207"/>
      <c r="AM54" s="207"/>
      <c r="AN54" s="207"/>
      <c r="AO54" s="207"/>
      <c r="AP54" s="207"/>
      <c r="AQ54" s="203"/>
      <c r="AR54" s="203"/>
      <c r="AS54" s="203"/>
      <c r="AT54" s="203"/>
      <c r="AU54" s="203"/>
      <c r="AV54" s="203"/>
      <c r="AW54" s="203"/>
      <c r="AX54" s="203"/>
      <c r="AY54" s="203"/>
    </row>
    <row r="55" spans="1:51" s="204" customFormat="1">
      <c r="A55" s="844"/>
      <c r="B55" s="844"/>
      <c r="C55" s="208" t="s">
        <v>67</v>
      </c>
      <c r="D55" s="209">
        <f>D38*$B$38/$P$38</f>
        <v>0</v>
      </c>
      <c r="E55" s="209">
        <f t="shared" ref="E55:O55" si="5">E39*$B$38/$P$38</f>
        <v>2.8000000000000008E-3</v>
      </c>
      <c r="F55" s="209">
        <f t="shared" si="5"/>
        <v>6.3000000000000009E-3</v>
      </c>
      <c r="G55" s="209">
        <f t="shared" si="5"/>
        <v>5.6000000000000017E-3</v>
      </c>
      <c r="H55" s="209">
        <f t="shared" si="5"/>
        <v>0</v>
      </c>
      <c r="I55" s="209">
        <f t="shared" si="5"/>
        <v>0</v>
      </c>
      <c r="J55" s="209">
        <f t="shared" si="5"/>
        <v>0</v>
      </c>
      <c r="K55" s="209">
        <f t="shared" si="5"/>
        <v>0</v>
      </c>
      <c r="L55" s="209">
        <f t="shared" si="5"/>
        <v>0</v>
      </c>
      <c r="M55" s="209">
        <f t="shared" si="5"/>
        <v>0</v>
      </c>
      <c r="N55" s="209">
        <f t="shared" si="5"/>
        <v>0</v>
      </c>
      <c r="O55" s="209">
        <f t="shared" si="5"/>
        <v>0</v>
      </c>
      <c r="P55" s="210">
        <f t="shared" si="4"/>
        <v>1.4700000000000005E-2</v>
      </c>
      <c r="Q55" s="207"/>
      <c r="R55" s="207"/>
      <c r="S55" s="207"/>
      <c r="T55" s="207"/>
      <c r="U55" s="207"/>
      <c r="V55" s="207"/>
      <c r="W55" s="207"/>
      <c r="X55" s="207"/>
      <c r="Y55" s="207"/>
      <c r="Z55" s="207"/>
      <c r="AA55" s="207"/>
      <c r="AB55" s="207"/>
      <c r="AC55" s="207"/>
      <c r="AD55" s="207"/>
      <c r="AE55" s="207"/>
      <c r="AF55" s="643"/>
      <c r="AH55" s="502"/>
      <c r="AI55" s="72"/>
      <c r="AJ55" s="502"/>
      <c r="AK55" s="207"/>
      <c r="AL55" s="207"/>
      <c r="AM55" s="207"/>
      <c r="AN55" s="207"/>
      <c r="AO55" s="207"/>
      <c r="AP55" s="207"/>
      <c r="AQ55" s="203"/>
      <c r="AR55" s="203"/>
      <c r="AS55" s="203"/>
      <c r="AT55" s="203"/>
      <c r="AU55" s="203"/>
      <c r="AV55" s="203"/>
      <c r="AW55" s="203"/>
      <c r="AX55" s="203"/>
      <c r="AY55" s="203"/>
    </row>
    <row r="56" spans="1:51" s="204" customFormat="1" ht="330">
      <c r="A56" s="843"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843">
        <f>B40</f>
        <v>0.05</v>
      </c>
      <c r="C56" s="206" t="s">
        <v>64</v>
      </c>
      <c r="D56" s="207">
        <f>D40*$B$40/$P$40</f>
        <v>0</v>
      </c>
      <c r="E56" s="207">
        <f t="shared" ref="E56:O56" si="6">E40*$B$40/$P$40</f>
        <v>5.0000000000000018E-3</v>
      </c>
      <c r="F56" s="207">
        <f t="shared" si="6"/>
        <v>5.0000000000000018E-3</v>
      </c>
      <c r="G56" s="207">
        <f t="shared" si="6"/>
        <v>5.0000000000000018E-3</v>
      </c>
      <c r="H56" s="207">
        <f t="shared" si="6"/>
        <v>5.0000000000000018E-3</v>
      </c>
      <c r="I56" s="207">
        <f t="shared" si="6"/>
        <v>5.0000000000000018E-3</v>
      </c>
      <c r="J56" s="207">
        <f t="shared" si="6"/>
        <v>5.0000000000000018E-3</v>
      </c>
      <c r="K56" s="207">
        <f t="shared" si="6"/>
        <v>5.0000000000000018E-3</v>
      </c>
      <c r="L56" s="207">
        <f t="shared" si="6"/>
        <v>5.0000000000000018E-3</v>
      </c>
      <c r="M56" s="207">
        <f t="shared" si="6"/>
        <v>5.0000000000000018E-3</v>
      </c>
      <c r="N56" s="207">
        <f t="shared" si="6"/>
        <v>5.0000000000000018E-3</v>
      </c>
      <c r="O56" s="207">
        <f t="shared" si="6"/>
        <v>0</v>
      </c>
      <c r="P56" s="361">
        <f t="shared" si="4"/>
        <v>5.0000000000000024E-2</v>
      </c>
      <c r="Q56" s="207"/>
      <c r="R56" s="207"/>
      <c r="S56" s="207"/>
      <c r="T56" s="207"/>
      <c r="U56" s="207"/>
      <c r="V56" s="207"/>
      <c r="W56" s="207"/>
      <c r="X56" s="207"/>
      <c r="Y56" s="207"/>
      <c r="Z56" s="207"/>
      <c r="AA56" s="207"/>
      <c r="AB56" s="207"/>
      <c r="AC56" s="207"/>
      <c r="AD56" s="207"/>
      <c r="AE56" s="207"/>
      <c r="AF56" s="643"/>
      <c r="AH56" s="502"/>
      <c r="AI56" s="72" t="str">
        <f>'Meta 4'!AI40</f>
        <v>Se plantea la necesidad de elaborar un plan de trabajo con el equipo de comunicaciones para desarrollar el pilotaje de la convocatoria, los copies, intensidad de la divulgación, piezas de comunicaciones a fin de poder lanzar la convocatoria del programa en el marco del 8 de marzo</v>
      </c>
      <c r="AJ56" s="72" t="str">
        <f>'Meta 4'!AJ40</f>
        <v>17 jornadas divulgación, 170 llamadas acompañamiento, 54 encuentros territoriales, socialización con: Confecoop, Corporación Mundial Mujer, Onu Mujeres, Fundación Andi, Fundación Keralty, Fundación Saldarriaga Concha. 43 postulaciones (en proceso de verificación cumplimiento términos de referencia)</v>
      </c>
      <c r="AK56" s="72" t="str">
        <f>'Meta 4'!AK40</f>
        <v>Durante el mes de abril por medio de la ruta de divulgación de la Estrategia de E&amp;E se llevaron a cabo 279 orientaciones, a través de la Ruta de Divulgación y Orientación para Mujeres. Para un total de 814 de enero a abril. Se entrega a PNUD 128 carpetas de organizaciones que pasaron a primer filtro de revisión de términos de referencia, las cuales corresponden al 35,3% del total de las postulaciones que se recibieron en la convocatoria (362).</v>
      </c>
      <c r="AL56" s="207"/>
      <c r="AM56" s="207"/>
      <c r="AN56" s="207"/>
      <c r="AO56" s="207"/>
      <c r="AP56" s="207"/>
      <c r="AQ56" s="203"/>
      <c r="AR56" s="203"/>
      <c r="AS56" s="203"/>
      <c r="AT56" s="203"/>
      <c r="AU56" s="203"/>
      <c r="AV56" s="203"/>
      <c r="AW56" s="203"/>
      <c r="AX56" s="203"/>
      <c r="AY56" s="203"/>
    </row>
    <row r="57" spans="1:51" s="204" customFormat="1">
      <c r="A57" s="844"/>
      <c r="B57" s="844"/>
      <c r="C57" s="208" t="s">
        <v>67</v>
      </c>
      <c r="D57" s="209">
        <f t="shared" ref="D57" si="7">D41*$B$40/$P$40</f>
        <v>0</v>
      </c>
      <c r="E57" s="209">
        <f t="shared" ref="E57:O57" si="8">E41*$B$40/$P$40</f>
        <v>5.0000000000000018E-3</v>
      </c>
      <c r="F57" s="209">
        <f t="shared" si="8"/>
        <v>5.0000000000000018E-3</v>
      </c>
      <c r="G57" s="209">
        <f t="shared" si="8"/>
        <v>5.0000000000000018E-3</v>
      </c>
      <c r="H57" s="209">
        <f t="shared" si="8"/>
        <v>0</v>
      </c>
      <c r="I57" s="209">
        <f t="shared" si="8"/>
        <v>0</v>
      </c>
      <c r="J57" s="209">
        <f t="shared" si="8"/>
        <v>0</v>
      </c>
      <c r="K57" s="209">
        <f t="shared" si="8"/>
        <v>0</v>
      </c>
      <c r="L57" s="209">
        <f t="shared" si="8"/>
        <v>0</v>
      </c>
      <c r="M57" s="209">
        <f t="shared" si="8"/>
        <v>0</v>
      </c>
      <c r="N57" s="209">
        <f t="shared" si="8"/>
        <v>0</v>
      </c>
      <c r="O57" s="209">
        <f t="shared" si="8"/>
        <v>0</v>
      </c>
      <c r="P57" s="210">
        <f t="shared" si="4"/>
        <v>1.5000000000000006E-2</v>
      </c>
      <c r="Q57" s="207"/>
      <c r="R57" s="207"/>
      <c r="S57" s="207"/>
      <c r="T57" s="207"/>
      <c r="U57" s="207"/>
      <c r="V57" s="207"/>
      <c r="W57" s="207"/>
      <c r="X57" s="207"/>
      <c r="Y57" s="207"/>
      <c r="Z57" s="207"/>
      <c r="AA57" s="207"/>
      <c r="AB57" s="207"/>
      <c r="AC57" s="207"/>
      <c r="AD57" s="207"/>
      <c r="AE57" s="207"/>
      <c r="AF57" s="643"/>
      <c r="AH57" s="502"/>
      <c r="AI57" s="653">
        <f>LEN(AI56)</f>
        <v>280</v>
      </c>
      <c r="AJ57" s="653">
        <f>LEN(AJ56)</f>
        <v>299</v>
      </c>
      <c r="AK57" s="653">
        <f>LEN(AK56)</f>
        <v>447</v>
      </c>
      <c r="AL57" s="207"/>
      <c r="AM57" s="207"/>
      <c r="AN57" s="207"/>
      <c r="AO57" s="207"/>
      <c r="AP57" s="207"/>
      <c r="AQ57" s="203"/>
      <c r="AR57" s="203"/>
      <c r="AS57" s="203"/>
      <c r="AT57" s="203"/>
      <c r="AU57" s="203"/>
      <c r="AV57" s="203"/>
      <c r="AW57" s="203"/>
      <c r="AX57" s="203"/>
      <c r="AY57" s="203"/>
    </row>
    <row r="58" spans="1:51" s="204" customFormat="1">
      <c r="A58" s="843" t="str">
        <f>A42</f>
        <v>10. Promover acciones que contribuyan a la generación de ingresos y empleo para las mujeres, conforme a la oferta de las diferentes entidades del distrito.</v>
      </c>
      <c r="B58" s="843">
        <f>B42</f>
        <v>0.05</v>
      </c>
      <c r="C58" s="206" t="s">
        <v>64</v>
      </c>
      <c r="D58" s="207">
        <f>D42*$B$42/$P$42</f>
        <v>0</v>
      </c>
      <c r="E58" s="207">
        <f t="shared" ref="E58:O58" si="9">E42*$B$42/$P$42</f>
        <v>2.5000000000000009E-3</v>
      </c>
      <c r="F58" s="207">
        <f t="shared" si="9"/>
        <v>5.0000000000000018E-3</v>
      </c>
      <c r="G58" s="207">
        <f t="shared" si="9"/>
        <v>5.0000000000000018E-3</v>
      </c>
      <c r="H58" s="207">
        <f t="shared" si="9"/>
        <v>5.0000000000000018E-3</v>
      </c>
      <c r="I58" s="207">
        <f t="shared" si="9"/>
        <v>5.0000000000000018E-3</v>
      </c>
      <c r="J58" s="207">
        <f t="shared" si="9"/>
        <v>5.0000000000000018E-3</v>
      </c>
      <c r="K58" s="207">
        <f t="shared" si="9"/>
        <v>5.0000000000000018E-3</v>
      </c>
      <c r="L58" s="207">
        <f t="shared" si="9"/>
        <v>5.0000000000000018E-3</v>
      </c>
      <c r="M58" s="207">
        <f t="shared" si="9"/>
        <v>5.0000000000000018E-3</v>
      </c>
      <c r="N58" s="207">
        <f t="shared" si="9"/>
        <v>5.0000000000000018E-3</v>
      </c>
      <c r="O58" s="207">
        <f t="shared" si="9"/>
        <v>2.5000000000000009E-3</v>
      </c>
      <c r="P58" s="361">
        <f t="shared" ref="P58:P61" si="10">SUM(D58:O58)</f>
        <v>5.0000000000000024E-2</v>
      </c>
      <c r="Q58" s="207"/>
      <c r="R58" s="207"/>
      <c r="S58" s="207"/>
      <c r="T58" s="207"/>
      <c r="U58" s="207"/>
      <c r="V58" s="207"/>
      <c r="W58" s="207"/>
      <c r="X58" s="207"/>
      <c r="Y58" s="207"/>
      <c r="Z58" s="207"/>
      <c r="AA58" s="207"/>
      <c r="AB58" s="207"/>
      <c r="AC58" s="207"/>
      <c r="AD58" s="207"/>
      <c r="AE58" s="207"/>
      <c r="AF58" s="643"/>
      <c r="AH58" s="502"/>
      <c r="AI58" s="502"/>
      <c r="AJ58" s="502"/>
      <c r="AK58" s="207"/>
      <c r="AL58" s="207"/>
      <c r="AM58" s="207"/>
      <c r="AN58" s="207"/>
      <c r="AO58" s="207"/>
      <c r="AP58" s="207"/>
      <c r="AQ58" s="203"/>
      <c r="AR58" s="203"/>
      <c r="AS58" s="203"/>
      <c r="AT58" s="203"/>
      <c r="AU58" s="203"/>
      <c r="AV58" s="203"/>
      <c r="AW58" s="203"/>
      <c r="AX58" s="203"/>
      <c r="AY58" s="203"/>
    </row>
    <row r="59" spans="1:51" s="204" customFormat="1">
      <c r="A59" s="844"/>
      <c r="B59" s="844"/>
      <c r="C59" s="208" t="s">
        <v>67</v>
      </c>
      <c r="D59" s="209">
        <f>D43*$B$42/$P$42</f>
        <v>0</v>
      </c>
      <c r="E59" s="209">
        <f t="shared" ref="E59:O59" si="11">E43*$B$42/$P$42</f>
        <v>2.5000000000000009E-3</v>
      </c>
      <c r="F59" s="209">
        <f t="shared" si="11"/>
        <v>5.0000000000000018E-3</v>
      </c>
      <c r="G59" s="209">
        <f t="shared" si="11"/>
        <v>5.0000000000000018E-3</v>
      </c>
      <c r="H59" s="209">
        <f t="shared" si="11"/>
        <v>0</v>
      </c>
      <c r="I59" s="209">
        <f t="shared" si="11"/>
        <v>0</v>
      </c>
      <c r="J59" s="209">
        <f t="shared" si="11"/>
        <v>0</v>
      </c>
      <c r="K59" s="209">
        <f t="shared" si="11"/>
        <v>0</v>
      </c>
      <c r="L59" s="209">
        <f t="shared" si="11"/>
        <v>0</v>
      </c>
      <c r="M59" s="209">
        <f t="shared" si="11"/>
        <v>0</v>
      </c>
      <c r="N59" s="209">
        <f t="shared" si="11"/>
        <v>0</v>
      </c>
      <c r="O59" s="209">
        <f t="shared" si="11"/>
        <v>0</v>
      </c>
      <c r="P59" s="210">
        <f t="shared" si="10"/>
        <v>1.2500000000000004E-2</v>
      </c>
      <c r="Q59" s="207"/>
      <c r="R59" s="207"/>
      <c r="S59" s="207"/>
      <c r="T59" s="207"/>
      <c r="U59" s="207"/>
      <c r="V59" s="207"/>
      <c r="W59" s="207"/>
      <c r="X59" s="207"/>
      <c r="Y59" s="207"/>
      <c r="Z59" s="207"/>
      <c r="AA59" s="207"/>
      <c r="AB59" s="207"/>
      <c r="AC59" s="207"/>
      <c r="AD59" s="207"/>
      <c r="AE59" s="207"/>
      <c r="AF59" s="643"/>
      <c r="AH59" s="502"/>
      <c r="AI59" s="159" t="s">
        <v>119</v>
      </c>
      <c r="AJ59" s="159" t="s">
        <v>120</v>
      </c>
      <c r="AK59" s="159" t="s">
        <v>120</v>
      </c>
      <c r="AL59" s="207"/>
      <c r="AM59" s="207"/>
      <c r="AN59" s="207"/>
      <c r="AO59" s="207"/>
      <c r="AP59" s="207"/>
      <c r="AQ59" s="203"/>
      <c r="AR59" s="203"/>
      <c r="AS59" s="203"/>
      <c r="AT59" s="203"/>
      <c r="AU59" s="203"/>
      <c r="AV59" s="203"/>
      <c r="AW59" s="203"/>
      <c r="AX59" s="203"/>
      <c r="AY59" s="203"/>
    </row>
    <row r="60" spans="1:51" s="204" customFormat="1" ht="105">
      <c r="A60" s="843" t="str">
        <f>A44</f>
        <v>11. Diseñar dos (2) programas que promuevan la autonomía económica de mujeres, en especial cuidadoras.</v>
      </c>
      <c r="B60" s="843">
        <f>B44</f>
        <v>0.04</v>
      </c>
      <c r="C60" s="206" t="s">
        <v>64</v>
      </c>
      <c r="D60" s="207">
        <f>D44*$B$44/$P$44</f>
        <v>0</v>
      </c>
      <c r="E60" s="207">
        <f t="shared" ref="E60:O60" si="12">E44*$B$44/$P$44</f>
        <v>0</v>
      </c>
      <c r="F60" s="207">
        <f t="shared" si="12"/>
        <v>4.000000000000001E-3</v>
      </c>
      <c r="G60" s="207">
        <f t="shared" si="12"/>
        <v>4.000000000000001E-3</v>
      </c>
      <c r="H60" s="207">
        <f t="shared" si="12"/>
        <v>4.000000000000001E-3</v>
      </c>
      <c r="I60" s="207">
        <f t="shared" si="12"/>
        <v>4.000000000000001E-3</v>
      </c>
      <c r="J60" s="207">
        <f t="shared" si="12"/>
        <v>4.000000000000001E-3</v>
      </c>
      <c r="K60" s="207">
        <f t="shared" si="12"/>
        <v>4.000000000000001E-3</v>
      </c>
      <c r="L60" s="207">
        <f t="shared" si="12"/>
        <v>4.000000000000001E-3</v>
      </c>
      <c r="M60" s="207">
        <f t="shared" si="12"/>
        <v>4.000000000000001E-3</v>
      </c>
      <c r="N60" s="207">
        <f t="shared" si="12"/>
        <v>4.000000000000001E-3</v>
      </c>
      <c r="O60" s="207">
        <f t="shared" si="12"/>
        <v>4.000000000000001E-3</v>
      </c>
      <c r="P60" s="361">
        <f t="shared" si="10"/>
        <v>4.0000000000000015E-2</v>
      </c>
      <c r="Q60" s="207"/>
      <c r="R60" s="207"/>
      <c r="S60" s="207"/>
      <c r="T60" s="207"/>
      <c r="U60" s="207"/>
      <c r="V60" s="207"/>
      <c r="W60" s="207"/>
      <c r="X60" s="207"/>
      <c r="Y60" s="207"/>
      <c r="Z60" s="207"/>
      <c r="AA60" s="207"/>
      <c r="AB60" s="207"/>
      <c r="AC60" s="207"/>
      <c r="AD60" s="207"/>
      <c r="AE60" s="207"/>
      <c r="AF60" s="643"/>
      <c r="AH60" s="502"/>
      <c r="AI60" s="72" t="s">
        <v>127</v>
      </c>
      <c r="AJ60" s="72" t="s">
        <v>128</v>
      </c>
      <c r="AK60" s="72" t="s">
        <v>1178</v>
      </c>
      <c r="AL60" s="207"/>
      <c r="AM60" s="207"/>
      <c r="AN60" s="207"/>
      <c r="AO60" s="207"/>
      <c r="AP60" s="207"/>
      <c r="AQ60" s="203"/>
      <c r="AR60" s="203"/>
      <c r="AS60" s="203"/>
      <c r="AT60" s="203"/>
      <c r="AU60" s="203"/>
      <c r="AV60" s="203"/>
      <c r="AW60" s="203"/>
      <c r="AX60" s="203"/>
      <c r="AY60" s="203"/>
    </row>
    <row r="61" spans="1:51" s="204" customFormat="1">
      <c r="A61" s="844"/>
      <c r="B61" s="844"/>
      <c r="C61" s="208" t="s">
        <v>67</v>
      </c>
      <c r="D61" s="209">
        <f>D45*$B$44/$P$44</f>
        <v>0</v>
      </c>
      <c r="E61" s="209">
        <f t="shared" ref="E61:O61" si="13">E45*$B$44/$P$44</f>
        <v>8.0000000000000015E-4</v>
      </c>
      <c r="F61" s="209">
        <f t="shared" si="13"/>
        <v>4.000000000000001E-3</v>
      </c>
      <c r="G61" s="209">
        <f t="shared" si="13"/>
        <v>2.0000000000000005E-3</v>
      </c>
      <c r="H61" s="209">
        <f t="shared" si="13"/>
        <v>0</v>
      </c>
      <c r="I61" s="209">
        <f t="shared" si="13"/>
        <v>0</v>
      </c>
      <c r="J61" s="209">
        <f t="shared" si="13"/>
        <v>0</v>
      </c>
      <c r="K61" s="209">
        <f t="shared" si="13"/>
        <v>0</v>
      </c>
      <c r="L61" s="209">
        <f t="shared" si="13"/>
        <v>0</v>
      </c>
      <c r="M61" s="209">
        <f t="shared" si="13"/>
        <v>0</v>
      </c>
      <c r="N61" s="209">
        <f t="shared" si="13"/>
        <v>0</v>
      </c>
      <c r="O61" s="209">
        <f t="shared" si="13"/>
        <v>0</v>
      </c>
      <c r="P61" s="210">
        <f t="shared" si="10"/>
        <v>6.8000000000000022E-3</v>
      </c>
      <c r="Q61" s="207"/>
      <c r="R61" s="207"/>
      <c r="S61" s="207"/>
      <c r="T61" s="207"/>
      <c r="U61" s="207"/>
      <c r="V61" s="207"/>
      <c r="W61" s="207"/>
      <c r="X61" s="207"/>
      <c r="Y61" s="207"/>
      <c r="Z61" s="207"/>
      <c r="AA61" s="207"/>
      <c r="AB61" s="207"/>
      <c r="AC61" s="207"/>
      <c r="AD61" s="207"/>
      <c r="AE61" s="207"/>
      <c r="AF61" s="643"/>
      <c r="AH61" s="502"/>
      <c r="AI61" s="653">
        <f>LEN(AI60)</f>
        <v>135</v>
      </c>
      <c r="AJ61" s="653">
        <f>LEN(AJ60)</f>
        <v>143</v>
      </c>
      <c r="AK61" s="653">
        <f>LEN(AK60)</f>
        <v>67</v>
      </c>
      <c r="AL61" s="207"/>
      <c r="AM61" s="207"/>
      <c r="AN61" s="207"/>
      <c r="AO61" s="207"/>
      <c r="AP61" s="207"/>
      <c r="AQ61" s="203"/>
      <c r="AR61" s="203"/>
      <c r="AS61" s="203"/>
      <c r="AT61" s="203"/>
      <c r="AU61" s="203"/>
      <c r="AV61" s="203"/>
      <c r="AW61" s="203"/>
      <c r="AX61" s="203"/>
      <c r="AY61" s="203"/>
    </row>
    <row r="62" spans="1:51" s="204" customFormat="1">
      <c r="A62" s="843" t="str">
        <f>+A46</f>
        <v xml:space="preserve">12. Generar y desarrollar alianzas estratégicas que contribuyan a la implementación de la estrategia de emprendimiento y empleabilidad. </v>
      </c>
      <c r="B62" s="843">
        <f>B46</f>
        <v>0.04</v>
      </c>
      <c r="C62" s="206" t="s">
        <v>64</v>
      </c>
      <c r="D62" s="207">
        <f>D46*$B$46/$P$46</f>
        <v>0</v>
      </c>
      <c r="E62" s="207">
        <f t="shared" ref="E62:O62" si="14">E46*$B$46/$P$46</f>
        <v>2.0000000000000005E-3</v>
      </c>
      <c r="F62" s="207">
        <f t="shared" si="14"/>
        <v>4.000000000000001E-3</v>
      </c>
      <c r="G62" s="207">
        <f t="shared" si="14"/>
        <v>4.000000000000001E-3</v>
      </c>
      <c r="H62" s="207">
        <f t="shared" si="14"/>
        <v>4.000000000000001E-3</v>
      </c>
      <c r="I62" s="207">
        <f t="shared" si="14"/>
        <v>4.000000000000001E-3</v>
      </c>
      <c r="J62" s="207">
        <f t="shared" si="14"/>
        <v>4.000000000000001E-3</v>
      </c>
      <c r="K62" s="207">
        <f t="shared" si="14"/>
        <v>4.000000000000001E-3</v>
      </c>
      <c r="L62" s="207">
        <f t="shared" si="14"/>
        <v>4.000000000000001E-3</v>
      </c>
      <c r="M62" s="207">
        <f t="shared" si="14"/>
        <v>4.000000000000001E-3</v>
      </c>
      <c r="N62" s="207">
        <f t="shared" si="14"/>
        <v>4.000000000000001E-3</v>
      </c>
      <c r="O62" s="207">
        <f t="shared" si="14"/>
        <v>2.0000000000000005E-3</v>
      </c>
      <c r="P62" s="361">
        <f t="shared" ref="P62:P63" si="15">SUM(D62:O62)</f>
        <v>4.0000000000000008E-2</v>
      </c>
      <c r="Q62" s="207"/>
      <c r="R62" s="207"/>
      <c r="S62" s="207"/>
      <c r="T62" s="207"/>
      <c r="U62" s="207"/>
      <c r="V62" s="207"/>
      <c r="W62" s="207"/>
      <c r="X62" s="207"/>
      <c r="Y62" s="207"/>
      <c r="Z62" s="207"/>
      <c r="AA62" s="207"/>
      <c r="AB62" s="207"/>
      <c r="AC62" s="207"/>
      <c r="AD62" s="207"/>
      <c r="AE62" s="207"/>
      <c r="AF62" s="644"/>
      <c r="AG62" s="502"/>
      <c r="AH62" s="502"/>
      <c r="AI62" s="502"/>
      <c r="AJ62" s="207"/>
      <c r="AK62" s="207"/>
      <c r="AL62" s="207"/>
      <c r="AM62" s="207"/>
      <c r="AN62" s="207"/>
      <c r="AO62" s="207"/>
      <c r="AP62" s="207"/>
      <c r="AQ62" s="203"/>
      <c r="AR62" s="203"/>
      <c r="AS62" s="203"/>
      <c r="AT62" s="203"/>
      <c r="AU62" s="203"/>
      <c r="AV62" s="203"/>
      <c r="AW62" s="203"/>
      <c r="AX62" s="203"/>
      <c r="AY62" s="203"/>
    </row>
    <row r="63" spans="1:51" s="204" customFormat="1">
      <c r="A63" s="844"/>
      <c r="B63" s="844"/>
      <c r="C63" s="208" t="s">
        <v>67</v>
      </c>
      <c r="D63" s="209">
        <f>D47*$B$46/$P$46</f>
        <v>0</v>
      </c>
      <c r="E63" s="209">
        <f t="shared" ref="E63:O63" si="16">E47*$B$46/$P$46</f>
        <v>2.0000000000000005E-3</v>
      </c>
      <c r="F63" s="209">
        <f t="shared" si="16"/>
        <v>4.000000000000001E-3</v>
      </c>
      <c r="G63" s="209">
        <f t="shared" si="16"/>
        <v>4.000000000000001E-3</v>
      </c>
      <c r="H63" s="209">
        <f t="shared" si="16"/>
        <v>0</v>
      </c>
      <c r="I63" s="209">
        <f t="shared" si="16"/>
        <v>0</v>
      </c>
      <c r="J63" s="209">
        <f t="shared" si="16"/>
        <v>0</v>
      </c>
      <c r="K63" s="209">
        <f t="shared" si="16"/>
        <v>0</v>
      </c>
      <c r="L63" s="209">
        <f t="shared" si="16"/>
        <v>0</v>
      </c>
      <c r="M63" s="209">
        <f t="shared" si="16"/>
        <v>0</v>
      </c>
      <c r="N63" s="209">
        <f t="shared" si="16"/>
        <v>0</v>
      </c>
      <c r="O63" s="209">
        <f t="shared" si="16"/>
        <v>0</v>
      </c>
      <c r="P63" s="210">
        <f t="shared" si="15"/>
        <v>1.0000000000000002E-2</v>
      </c>
      <c r="Q63" s="207"/>
      <c r="R63" s="207"/>
      <c r="S63" s="207"/>
      <c r="T63" s="207"/>
      <c r="U63" s="207"/>
      <c r="V63" s="207"/>
      <c r="W63" s="207"/>
      <c r="X63" s="207"/>
      <c r="Y63" s="207"/>
      <c r="Z63" s="207"/>
      <c r="AA63" s="207"/>
      <c r="AB63" s="207"/>
      <c r="AC63" s="207"/>
      <c r="AD63" s="207"/>
      <c r="AE63" s="207"/>
      <c r="AF63" s="644"/>
      <c r="AG63" s="502"/>
      <c r="AH63" s="502"/>
      <c r="AI63" s="502"/>
      <c r="AJ63" s="207"/>
      <c r="AK63" s="207"/>
      <c r="AL63" s="207"/>
      <c r="AM63" s="207"/>
      <c r="AN63" s="207"/>
      <c r="AO63" s="207"/>
      <c r="AP63" s="207"/>
      <c r="AQ63" s="203"/>
      <c r="AR63" s="203"/>
      <c r="AS63" s="203"/>
      <c r="AT63" s="203"/>
      <c r="AU63" s="203"/>
      <c r="AV63" s="203"/>
      <c r="AW63" s="203"/>
      <c r="AX63" s="203"/>
      <c r="AY63" s="203"/>
    </row>
    <row r="64" spans="1:51" s="204" customFormat="1">
      <c r="A64" s="207"/>
      <c r="B64" s="207"/>
      <c r="C64" s="211"/>
      <c r="D64" s="212">
        <f>D55+D57+D59+D61+D63</f>
        <v>0</v>
      </c>
      <c r="E64" s="212">
        <f t="shared" ref="E64:O64" si="17">E55+E57+E59+E61+E63</f>
        <v>1.3100000000000004E-2</v>
      </c>
      <c r="F64" s="212">
        <f t="shared" si="17"/>
        <v>2.4300000000000006E-2</v>
      </c>
      <c r="G64" s="212">
        <f t="shared" si="17"/>
        <v>2.1600000000000008E-2</v>
      </c>
      <c r="H64" s="212">
        <f t="shared" si="17"/>
        <v>0</v>
      </c>
      <c r="I64" s="212">
        <f t="shared" si="17"/>
        <v>0</v>
      </c>
      <c r="J64" s="212">
        <f t="shared" si="17"/>
        <v>0</v>
      </c>
      <c r="K64" s="212">
        <f t="shared" si="17"/>
        <v>0</v>
      </c>
      <c r="L64" s="212">
        <f t="shared" si="17"/>
        <v>0</v>
      </c>
      <c r="M64" s="212">
        <f t="shared" si="17"/>
        <v>0</v>
      </c>
      <c r="N64" s="212">
        <f t="shared" si="17"/>
        <v>0</v>
      </c>
      <c r="O64" s="212">
        <f t="shared" si="17"/>
        <v>0</v>
      </c>
      <c r="P64" s="212">
        <f>P55+P57+P59+P61+P63</f>
        <v>5.9000000000000018E-2</v>
      </c>
      <c r="Q64" s="207"/>
      <c r="R64" s="207"/>
      <c r="S64" s="207"/>
      <c r="T64" s="207"/>
      <c r="U64" s="207"/>
      <c r="V64" s="207"/>
      <c r="W64" s="207"/>
      <c r="X64" s="207"/>
      <c r="Y64" s="207"/>
      <c r="Z64" s="207"/>
      <c r="AA64" s="207"/>
      <c r="AB64" s="207"/>
      <c r="AC64" s="207"/>
      <c r="AD64" s="207"/>
      <c r="AE64" s="207"/>
      <c r="AF64" s="644"/>
      <c r="AG64" s="502"/>
      <c r="AH64" s="502"/>
      <c r="AI64" s="502"/>
      <c r="AJ64" s="207"/>
      <c r="AK64" s="207"/>
      <c r="AL64" s="207"/>
      <c r="AM64" s="207"/>
      <c r="AN64" s="207"/>
      <c r="AO64" s="207"/>
      <c r="AP64" s="207"/>
      <c r="AQ64" s="203"/>
      <c r="AR64" s="203"/>
      <c r="AS64" s="203"/>
      <c r="AT64" s="203"/>
      <c r="AU64" s="203"/>
      <c r="AV64" s="203"/>
      <c r="AW64" s="203"/>
      <c r="AX64" s="203"/>
      <c r="AY64" s="203"/>
    </row>
    <row r="65" spans="1:51" s="406" customFormat="1">
      <c r="A65" s="214"/>
      <c r="B65" s="214"/>
      <c r="C65" s="403" t="s">
        <v>67</v>
      </c>
      <c r="D65" s="404">
        <f>D64*$W$17/$B$34</f>
        <v>0</v>
      </c>
      <c r="E65" s="404">
        <f t="shared" ref="E65:O65" si="18">E64*$W$17/$B$34</f>
        <v>1.0480000000000003E-2</v>
      </c>
      <c r="F65" s="404">
        <f t="shared" si="18"/>
        <v>1.9440000000000006E-2</v>
      </c>
      <c r="G65" s="404">
        <f t="shared" si="18"/>
        <v>1.7280000000000007E-2</v>
      </c>
      <c r="H65" s="404">
        <f t="shared" si="18"/>
        <v>0</v>
      </c>
      <c r="I65" s="404">
        <f t="shared" si="18"/>
        <v>0</v>
      </c>
      <c r="J65" s="404">
        <f t="shared" si="18"/>
        <v>0</v>
      </c>
      <c r="K65" s="404">
        <f t="shared" si="18"/>
        <v>0</v>
      </c>
      <c r="L65" s="404">
        <f t="shared" si="18"/>
        <v>0</v>
      </c>
      <c r="M65" s="404">
        <f t="shared" si="18"/>
        <v>0</v>
      </c>
      <c r="N65" s="404">
        <f t="shared" si="18"/>
        <v>0</v>
      </c>
      <c r="O65" s="404">
        <f t="shared" si="18"/>
        <v>0</v>
      </c>
      <c r="P65" s="405">
        <f>SUM(D65:O65)</f>
        <v>4.720000000000002E-2</v>
      </c>
      <c r="Q65" s="213"/>
      <c r="R65" s="214"/>
      <c r="S65" s="214"/>
      <c r="T65" s="214"/>
      <c r="U65" s="214"/>
      <c r="V65" s="214"/>
      <c r="W65" s="214"/>
      <c r="X65" s="214"/>
      <c r="Y65" s="214"/>
      <c r="Z65" s="214"/>
      <c r="AA65" s="214"/>
      <c r="AB65" s="214"/>
      <c r="AC65" s="214"/>
      <c r="AD65" s="214"/>
      <c r="AE65" s="214"/>
      <c r="AF65" s="645"/>
      <c r="AG65" s="501"/>
      <c r="AH65" s="501"/>
      <c r="AI65" s="501"/>
      <c r="AJ65" s="497"/>
      <c r="AK65" s="497"/>
      <c r="AL65" s="497"/>
      <c r="AM65" s="497"/>
      <c r="AN65" s="497"/>
      <c r="AO65" s="214"/>
      <c r="AP65" s="214"/>
      <c r="AQ65" s="214"/>
      <c r="AR65" s="214"/>
      <c r="AS65" s="214"/>
      <c r="AT65" s="214"/>
      <c r="AU65" s="214"/>
      <c r="AV65" s="214"/>
      <c r="AW65" s="214"/>
      <c r="AX65" s="214"/>
      <c r="AY65" s="214"/>
    </row>
    <row r="66" spans="1:51" s="406" customFormat="1">
      <c r="A66" s="213"/>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4"/>
      <c r="AE66" s="214"/>
      <c r="AF66" s="645"/>
      <c r="AG66" s="501"/>
      <c r="AH66" s="501"/>
      <c r="AI66" s="501"/>
      <c r="AJ66" s="497"/>
      <c r="AK66" s="497"/>
      <c r="AL66" s="497"/>
      <c r="AM66" s="497"/>
      <c r="AN66" s="497"/>
      <c r="AO66" s="214"/>
      <c r="AP66" s="214"/>
      <c r="AQ66" s="214"/>
      <c r="AR66" s="214"/>
      <c r="AS66" s="214"/>
      <c r="AT66" s="214"/>
      <c r="AU66" s="214"/>
      <c r="AV66" s="214"/>
      <c r="AW66" s="214"/>
      <c r="AX66" s="214"/>
      <c r="AY66" s="214"/>
    </row>
    <row r="67" spans="1:51" s="108" customFormat="1">
      <c r="D67" s="407">
        <f>D54+D56+D58+D60+D62</f>
        <v>0</v>
      </c>
      <c r="E67" s="407">
        <f t="shared" ref="E67:O67" si="19">E54+E56+E58+E60+E62</f>
        <v>1.3000000000000003E-2</v>
      </c>
      <c r="F67" s="407">
        <f t="shared" si="19"/>
        <v>2.5000000000000005E-2</v>
      </c>
      <c r="G67" s="407">
        <f t="shared" si="19"/>
        <v>2.5000000000000005E-2</v>
      </c>
      <c r="H67" s="407">
        <f t="shared" si="19"/>
        <v>2.5000000000000005E-2</v>
      </c>
      <c r="I67" s="407">
        <f t="shared" si="19"/>
        <v>2.5000000000000005E-2</v>
      </c>
      <c r="J67" s="407">
        <f t="shared" si="19"/>
        <v>2.5000000000000005E-2</v>
      </c>
      <c r="K67" s="407">
        <f t="shared" si="19"/>
        <v>2.5000000000000005E-2</v>
      </c>
      <c r="L67" s="407">
        <f t="shared" si="19"/>
        <v>2.5000000000000005E-2</v>
      </c>
      <c r="M67" s="407">
        <f t="shared" si="19"/>
        <v>2.5000000000000005E-2</v>
      </c>
      <c r="N67" s="407">
        <f t="shared" si="19"/>
        <v>2.5000000000000005E-2</v>
      </c>
      <c r="O67" s="407">
        <f t="shared" si="19"/>
        <v>1.2000000000000002E-2</v>
      </c>
      <c r="P67" s="407">
        <f>SUM(D67:O67)</f>
        <v>0.25</v>
      </c>
      <c r="AF67" s="646"/>
      <c r="AG67" s="493"/>
      <c r="AH67" s="493"/>
      <c r="AI67" s="493"/>
      <c r="AJ67" s="114"/>
      <c r="AK67" s="114"/>
      <c r="AL67" s="114"/>
      <c r="AM67" s="114"/>
      <c r="AN67" s="114"/>
    </row>
    <row r="68" spans="1:51" s="406" customFormat="1">
      <c r="A68" s="214"/>
      <c r="B68" s="214"/>
      <c r="C68" s="403" t="s">
        <v>64</v>
      </c>
      <c r="D68" s="404">
        <f>D67*$W$17/$B$34</f>
        <v>0</v>
      </c>
      <c r="E68" s="404">
        <f t="shared" ref="E68:O68" si="20">E67*$W$17/$B$34</f>
        <v>1.0400000000000003E-2</v>
      </c>
      <c r="F68" s="404">
        <f t="shared" si="20"/>
        <v>2.0000000000000004E-2</v>
      </c>
      <c r="G68" s="404">
        <f t="shared" si="20"/>
        <v>2.0000000000000004E-2</v>
      </c>
      <c r="H68" s="404">
        <f t="shared" si="20"/>
        <v>2.0000000000000004E-2</v>
      </c>
      <c r="I68" s="404">
        <f t="shared" si="20"/>
        <v>2.0000000000000004E-2</v>
      </c>
      <c r="J68" s="404">
        <f t="shared" si="20"/>
        <v>2.0000000000000004E-2</v>
      </c>
      <c r="K68" s="404">
        <f t="shared" si="20"/>
        <v>2.0000000000000004E-2</v>
      </c>
      <c r="L68" s="404">
        <f t="shared" si="20"/>
        <v>2.0000000000000004E-2</v>
      </c>
      <c r="M68" s="404">
        <f t="shared" si="20"/>
        <v>2.0000000000000004E-2</v>
      </c>
      <c r="N68" s="404">
        <f t="shared" si="20"/>
        <v>2.0000000000000004E-2</v>
      </c>
      <c r="O68" s="404">
        <f t="shared" si="20"/>
        <v>9.6000000000000026E-3</v>
      </c>
      <c r="P68" s="405">
        <f>SUM(D68:O68)</f>
        <v>0.20000000000000007</v>
      </c>
      <c r="Q68" s="213"/>
      <c r="R68" s="214"/>
      <c r="S68" s="214"/>
      <c r="T68" s="214"/>
      <c r="U68" s="214"/>
      <c r="V68" s="214"/>
      <c r="W68" s="214"/>
      <c r="X68" s="214"/>
      <c r="Y68" s="214"/>
      <c r="Z68" s="214"/>
      <c r="AA68" s="214"/>
      <c r="AB68" s="214"/>
      <c r="AC68" s="214"/>
      <c r="AD68" s="214"/>
      <c r="AE68" s="214"/>
      <c r="AF68" s="645"/>
      <c r="AG68" s="501"/>
      <c r="AH68" s="501"/>
      <c r="AI68" s="501"/>
      <c r="AJ68" s="497"/>
      <c r="AK68" s="497"/>
      <c r="AL68" s="497"/>
      <c r="AM68" s="497"/>
      <c r="AN68" s="497"/>
      <c r="AO68" s="214"/>
      <c r="AP68" s="214"/>
      <c r="AQ68" s="214"/>
      <c r="AR68" s="214"/>
      <c r="AS68" s="214"/>
      <c r="AT68" s="214"/>
      <c r="AU68" s="214"/>
      <c r="AV68" s="214"/>
      <c r="AW68" s="214"/>
      <c r="AX68" s="214"/>
      <c r="AY68" s="214"/>
    </row>
  </sheetData>
  <mergeCells count="101">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2:B22"/>
    <mergeCell ref="A23:B23"/>
    <mergeCell ref="A24:B24"/>
    <mergeCell ref="A25:B25"/>
    <mergeCell ref="A27:AD27"/>
    <mergeCell ref="A28:A29"/>
    <mergeCell ref="B28:C29"/>
    <mergeCell ref="D28:O28"/>
    <mergeCell ref="P28:P29"/>
    <mergeCell ref="Q28:AD2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F38:AF39"/>
    <mergeCell ref="AF40:AF41"/>
    <mergeCell ref="AF42:AF43"/>
    <mergeCell ref="AF44:AF45"/>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s>
  <dataValidations count="3">
    <dataValidation type="textLength" operator="lessThanOrEqual" allowBlank="1" showInputMessage="1" showErrorMessage="1" errorTitle="Máximo 2.000 caracteres" error="Máximo 2.000 caracteres" sqref="W34 AA34 Q38:AD47 Q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D38D317C-C352-42BC-BA6C-7A0245C01227}">
      <formula1>2000</formula1>
    </dataValidation>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D19E3A7A-625A-4028-A70C-DF4B4E8F8D3F}">
      <formula1>$C$21:$N$21</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Y65"/>
  <sheetViews>
    <sheetView showGridLines="0" view="pageBreakPreview" topLeftCell="O39" zoomScale="60" zoomScaleNormal="75" workbookViewId="0">
      <selection activeCell="AD51" sqref="AD51"/>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30.7109375" style="50" customWidth="1"/>
    <col min="33" max="33" width="22.5703125" style="50" customWidth="1"/>
    <col min="34" max="38" width="17.7109375" style="624" customWidth="1"/>
    <col min="39" max="43" width="17.7109375" style="50" customWidth="1"/>
    <col min="44" max="16384" width="10.85546875" style="50"/>
  </cols>
  <sheetData>
    <row r="1" spans="1:30"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5"/>
      <c r="Z1" s="775"/>
      <c r="AA1" s="776"/>
      <c r="AB1" s="792" t="s">
        <v>1</v>
      </c>
      <c r="AC1" s="793"/>
      <c r="AD1" s="794"/>
    </row>
    <row r="2" spans="1:30"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795" t="s">
        <v>3</v>
      </c>
      <c r="AC2" s="796"/>
      <c r="AD2" s="797"/>
    </row>
    <row r="3" spans="1:30" ht="24" customHeight="1">
      <c r="A3" s="772"/>
      <c r="B3" s="751" t="s">
        <v>4</v>
      </c>
      <c r="C3" s="752"/>
      <c r="D3" s="752"/>
      <c r="E3" s="752"/>
      <c r="F3" s="752"/>
      <c r="G3" s="752"/>
      <c r="H3" s="752"/>
      <c r="I3" s="752"/>
      <c r="J3" s="752"/>
      <c r="K3" s="752"/>
      <c r="L3" s="752"/>
      <c r="M3" s="752"/>
      <c r="N3" s="752"/>
      <c r="O3" s="752"/>
      <c r="P3" s="752"/>
      <c r="Q3" s="752"/>
      <c r="R3" s="752"/>
      <c r="S3" s="752"/>
      <c r="T3" s="752"/>
      <c r="U3" s="752"/>
      <c r="V3" s="752"/>
      <c r="W3" s="752"/>
      <c r="X3" s="752"/>
      <c r="Y3" s="752"/>
      <c r="Z3" s="752"/>
      <c r="AA3" s="753"/>
      <c r="AB3" s="795" t="s">
        <v>5</v>
      </c>
      <c r="AC3" s="796"/>
      <c r="AD3" s="797"/>
    </row>
    <row r="4" spans="1:30" ht="21.95" customHeight="1" thickBot="1">
      <c r="A4" s="773"/>
      <c r="B4" s="754"/>
      <c r="C4" s="755"/>
      <c r="D4" s="755"/>
      <c r="E4" s="755"/>
      <c r="F4" s="755"/>
      <c r="G4" s="755"/>
      <c r="H4" s="755"/>
      <c r="I4" s="755"/>
      <c r="J4" s="755"/>
      <c r="K4" s="755"/>
      <c r="L4" s="755"/>
      <c r="M4" s="755"/>
      <c r="N4" s="755"/>
      <c r="O4" s="755"/>
      <c r="P4" s="755"/>
      <c r="Q4" s="755"/>
      <c r="R4" s="755"/>
      <c r="S4" s="755"/>
      <c r="T4" s="755"/>
      <c r="U4" s="755"/>
      <c r="V4" s="755"/>
      <c r="W4" s="755"/>
      <c r="X4" s="755"/>
      <c r="Y4" s="755"/>
      <c r="Z4" s="755"/>
      <c r="AA4" s="756"/>
      <c r="AB4" s="789" t="s">
        <v>6</v>
      </c>
      <c r="AC4" s="790"/>
      <c r="AD4" s="791"/>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742" t="s">
        <v>7</v>
      </c>
      <c r="B7" s="743"/>
      <c r="C7" s="757" t="s">
        <v>32</v>
      </c>
      <c r="D7" s="742" t="s">
        <v>9</v>
      </c>
      <c r="E7" s="760"/>
      <c r="F7" s="760"/>
      <c r="G7" s="760"/>
      <c r="H7" s="743"/>
      <c r="I7" s="763">
        <v>44685</v>
      </c>
      <c r="J7" s="764"/>
      <c r="K7" s="742" t="s">
        <v>10</v>
      </c>
      <c r="L7" s="743"/>
      <c r="M7" s="769" t="s">
        <v>11</v>
      </c>
      <c r="N7" s="770"/>
      <c r="O7" s="732"/>
      <c r="P7" s="733"/>
      <c r="Q7" s="54"/>
      <c r="R7" s="54"/>
      <c r="S7" s="54"/>
      <c r="T7" s="54"/>
      <c r="U7" s="54"/>
      <c r="V7" s="54"/>
      <c r="W7" s="54"/>
      <c r="X7" s="54"/>
      <c r="Y7" s="54"/>
      <c r="Z7" s="55"/>
      <c r="AA7" s="54"/>
      <c r="AB7" s="54"/>
      <c r="AC7" s="60"/>
      <c r="AD7" s="61"/>
    </row>
    <row r="8" spans="1:30" ht="15" customHeight="1">
      <c r="A8" s="744"/>
      <c r="B8" s="745"/>
      <c r="C8" s="758"/>
      <c r="D8" s="744"/>
      <c r="E8" s="761"/>
      <c r="F8" s="761"/>
      <c r="G8" s="761"/>
      <c r="H8" s="745"/>
      <c r="I8" s="765"/>
      <c r="J8" s="766"/>
      <c r="K8" s="744"/>
      <c r="L8" s="745"/>
      <c r="M8" s="734" t="s">
        <v>12</v>
      </c>
      <c r="N8" s="735"/>
      <c r="O8" s="736"/>
      <c r="P8" s="737"/>
      <c r="Q8" s="54"/>
      <c r="R8" s="54"/>
      <c r="S8" s="54"/>
      <c r="T8" s="54"/>
      <c r="U8" s="54"/>
      <c r="V8" s="54"/>
      <c r="W8" s="54"/>
      <c r="X8" s="54"/>
      <c r="Y8" s="54"/>
      <c r="Z8" s="55"/>
      <c r="AA8" s="54"/>
      <c r="AB8" s="54"/>
      <c r="AC8" s="60"/>
      <c r="AD8" s="61"/>
    </row>
    <row r="9" spans="1:30" ht="15.75" customHeight="1" thickBot="1">
      <c r="A9" s="746"/>
      <c r="B9" s="747"/>
      <c r="C9" s="759"/>
      <c r="D9" s="746"/>
      <c r="E9" s="762"/>
      <c r="F9" s="762"/>
      <c r="G9" s="762"/>
      <c r="H9" s="747"/>
      <c r="I9" s="767"/>
      <c r="J9" s="768"/>
      <c r="K9" s="746"/>
      <c r="L9" s="747"/>
      <c r="M9" s="738" t="s">
        <v>13</v>
      </c>
      <c r="N9" s="739"/>
      <c r="O9" s="740" t="s">
        <v>14</v>
      </c>
      <c r="P9" s="741"/>
      <c r="Q9" s="54"/>
      <c r="R9" s="54"/>
      <c r="S9" s="54"/>
      <c r="T9" s="54"/>
      <c r="U9" s="54"/>
      <c r="V9" s="54"/>
      <c r="W9" s="54"/>
      <c r="X9" s="54"/>
      <c r="Y9" s="54"/>
      <c r="Z9" s="55"/>
      <c r="AA9" s="54"/>
      <c r="AB9" s="54"/>
      <c r="AC9" s="60"/>
      <c r="AD9" s="61"/>
    </row>
    <row r="10" spans="1:30" ht="15" customHeight="1" thickBot="1">
      <c r="A10" s="161"/>
      <c r="B10" s="414"/>
      <c r="C10" s="414"/>
      <c r="D10" s="65"/>
      <c r="E10" s="65"/>
      <c r="F10" s="65"/>
      <c r="G10" s="65"/>
      <c r="H10" s="65"/>
      <c r="I10" s="415"/>
      <c r="J10" s="415"/>
      <c r="K10" s="65"/>
      <c r="L10" s="65"/>
      <c r="M10" s="159"/>
      <c r="N10" s="159"/>
      <c r="O10" s="160"/>
      <c r="P10" s="160"/>
      <c r="Q10" s="414"/>
      <c r="R10" s="414"/>
      <c r="S10" s="414"/>
      <c r="T10" s="414"/>
      <c r="U10" s="414"/>
      <c r="V10" s="414"/>
      <c r="W10" s="414"/>
      <c r="X10" s="414"/>
      <c r="Y10" s="414"/>
      <c r="Z10" s="416"/>
      <c r="AA10" s="414"/>
      <c r="AB10" s="414"/>
      <c r="AC10" s="417"/>
      <c r="AD10" s="162"/>
    </row>
    <row r="11" spans="1:30" ht="15" customHeight="1">
      <c r="A11" s="742" t="s">
        <v>15</v>
      </c>
      <c r="B11" s="743"/>
      <c r="C11" s="748" t="s">
        <v>16</v>
      </c>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50"/>
    </row>
    <row r="12" spans="1:30" ht="15" customHeight="1">
      <c r="A12" s="744"/>
      <c r="B12" s="745"/>
      <c r="C12" s="751"/>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3"/>
    </row>
    <row r="13" spans="1:30" ht="15" customHeight="1" thickBot="1">
      <c r="A13" s="746"/>
      <c r="B13" s="747"/>
      <c r="C13" s="754"/>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6"/>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19" t="s">
        <v>17</v>
      </c>
      <c r="B15" s="720"/>
      <c r="C15" s="726" t="s">
        <v>18</v>
      </c>
      <c r="D15" s="727"/>
      <c r="E15" s="727"/>
      <c r="F15" s="727"/>
      <c r="G15" s="727"/>
      <c r="H15" s="727"/>
      <c r="I15" s="727"/>
      <c r="J15" s="727"/>
      <c r="K15" s="728"/>
      <c r="L15" s="710" t="s">
        <v>19</v>
      </c>
      <c r="M15" s="711"/>
      <c r="N15" s="711"/>
      <c r="O15" s="711"/>
      <c r="P15" s="711"/>
      <c r="Q15" s="712"/>
      <c r="R15" s="729" t="s">
        <v>20</v>
      </c>
      <c r="S15" s="730"/>
      <c r="T15" s="730"/>
      <c r="U15" s="730"/>
      <c r="V15" s="730"/>
      <c r="W15" s="730"/>
      <c r="X15" s="731"/>
      <c r="Y15" s="710" t="s">
        <v>21</v>
      </c>
      <c r="Z15" s="712"/>
      <c r="AA15" s="726" t="s">
        <v>22</v>
      </c>
      <c r="AB15" s="727"/>
      <c r="AC15" s="727"/>
      <c r="AD15" s="728"/>
    </row>
    <row r="16" spans="1:30" ht="9" customHeight="1" thickBot="1">
      <c r="A16" s="59"/>
      <c r="B16" s="54"/>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3"/>
      <c r="AD16" s="74"/>
    </row>
    <row r="17" spans="1:41" s="76" customFormat="1" ht="37.5" customHeight="1" thickBot="1">
      <c r="A17" s="719" t="s">
        <v>23</v>
      </c>
      <c r="B17" s="720"/>
      <c r="C17" s="798" t="s">
        <v>129</v>
      </c>
      <c r="D17" s="799"/>
      <c r="E17" s="799"/>
      <c r="F17" s="799"/>
      <c r="G17" s="799"/>
      <c r="H17" s="799"/>
      <c r="I17" s="799"/>
      <c r="J17" s="799"/>
      <c r="K17" s="799"/>
      <c r="L17" s="799"/>
      <c r="M17" s="799"/>
      <c r="N17" s="799"/>
      <c r="O17" s="799"/>
      <c r="P17" s="799"/>
      <c r="Q17" s="800"/>
      <c r="R17" s="710" t="s">
        <v>25</v>
      </c>
      <c r="S17" s="711"/>
      <c r="T17" s="711"/>
      <c r="U17" s="711"/>
      <c r="V17" s="712"/>
      <c r="W17" s="801">
        <v>1</v>
      </c>
      <c r="X17" s="802"/>
      <c r="Y17" s="711" t="s">
        <v>26</v>
      </c>
      <c r="Z17" s="711"/>
      <c r="AA17" s="711"/>
      <c r="AB17" s="712"/>
      <c r="AC17" s="708">
        <v>0.35</v>
      </c>
      <c r="AD17" s="709"/>
      <c r="AH17" s="625"/>
      <c r="AI17" s="625"/>
      <c r="AJ17" s="625"/>
      <c r="AK17" s="625"/>
      <c r="AL17" s="625"/>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710" t="s">
        <v>27</v>
      </c>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2"/>
      <c r="AE19" s="83"/>
      <c r="AF19" s="83"/>
    </row>
    <row r="20" spans="1:41" ht="32.1" customHeight="1" thickBot="1">
      <c r="A20" s="82"/>
      <c r="B20" s="60"/>
      <c r="C20" s="710" t="s">
        <v>28</v>
      </c>
      <c r="D20" s="711"/>
      <c r="E20" s="711"/>
      <c r="F20" s="711"/>
      <c r="G20" s="711"/>
      <c r="H20" s="711"/>
      <c r="I20" s="711"/>
      <c r="J20" s="711"/>
      <c r="K20" s="711"/>
      <c r="L20" s="711"/>
      <c r="M20" s="711"/>
      <c r="N20" s="711"/>
      <c r="O20" s="711"/>
      <c r="P20" s="712"/>
      <c r="Q20" s="853" t="s">
        <v>29</v>
      </c>
      <c r="R20" s="803"/>
      <c r="S20" s="803"/>
      <c r="T20" s="803"/>
      <c r="U20" s="803"/>
      <c r="V20" s="803"/>
      <c r="W20" s="803"/>
      <c r="X20" s="803"/>
      <c r="Y20" s="803"/>
      <c r="Z20" s="803"/>
      <c r="AA20" s="803"/>
      <c r="AB20" s="803"/>
      <c r="AC20" s="803"/>
      <c r="AD20" s="804"/>
      <c r="AE20" s="83"/>
      <c r="AF20" s="83"/>
    </row>
    <row r="21" spans="1:41" ht="32.1" customHeight="1" thickBot="1">
      <c r="A21" s="59"/>
      <c r="B21" s="54"/>
      <c r="C21" s="409" t="s">
        <v>30</v>
      </c>
      <c r="D21" s="410" t="s">
        <v>31</v>
      </c>
      <c r="E21" s="410" t="s">
        <v>8</v>
      </c>
      <c r="F21" s="410" t="s">
        <v>32</v>
      </c>
      <c r="G21" s="410" t="s">
        <v>33</v>
      </c>
      <c r="H21" s="410" t="s">
        <v>34</v>
      </c>
      <c r="I21" s="410" t="s">
        <v>35</v>
      </c>
      <c r="J21" s="410" t="s">
        <v>36</v>
      </c>
      <c r="K21" s="410" t="s">
        <v>37</v>
      </c>
      <c r="L21" s="410" t="s">
        <v>38</v>
      </c>
      <c r="M21" s="410" t="s">
        <v>39</v>
      </c>
      <c r="N21" s="410" t="s">
        <v>40</v>
      </c>
      <c r="O21" s="410" t="s">
        <v>41</v>
      </c>
      <c r="P21" s="411" t="s">
        <v>42</v>
      </c>
      <c r="Q21" s="409" t="s">
        <v>30</v>
      </c>
      <c r="R21" s="410" t="s">
        <v>31</v>
      </c>
      <c r="S21" s="410" t="s">
        <v>8</v>
      </c>
      <c r="T21" s="410" t="s">
        <v>32</v>
      </c>
      <c r="U21" s="410" t="s">
        <v>33</v>
      </c>
      <c r="V21" s="410" t="s">
        <v>34</v>
      </c>
      <c r="W21" s="410" t="s">
        <v>35</v>
      </c>
      <c r="X21" s="410" t="s">
        <v>36</v>
      </c>
      <c r="Y21" s="410" t="s">
        <v>37</v>
      </c>
      <c r="Z21" s="410" t="s">
        <v>38</v>
      </c>
      <c r="AA21" s="410" t="s">
        <v>39</v>
      </c>
      <c r="AB21" s="410" t="s">
        <v>40</v>
      </c>
      <c r="AC21" s="410" t="s">
        <v>41</v>
      </c>
      <c r="AD21" s="411" t="s">
        <v>42</v>
      </c>
      <c r="AE21" s="3"/>
      <c r="AF21" s="3"/>
    </row>
    <row r="22" spans="1:41" ht="32.1" customHeight="1">
      <c r="A22" s="716" t="s">
        <v>43</v>
      </c>
      <c r="B22" s="838"/>
      <c r="C22" s="167">
        <v>0</v>
      </c>
      <c r="D22" s="166">
        <v>0</v>
      </c>
      <c r="E22" s="166">
        <v>0</v>
      </c>
      <c r="F22" s="166">
        <v>0</v>
      </c>
      <c r="G22" s="166">
        <v>0</v>
      </c>
      <c r="H22" s="166">
        <v>0</v>
      </c>
      <c r="I22" s="166">
        <v>0</v>
      </c>
      <c r="J22" s="166">
        <v>0</v>
      </c>
      <c r="K22" s="166">
        <v>0</v>
      </c>
      <c r="L22" s="166">
        <v>0</v>
      </c>
      <c r="M22" s="166">
        <v>0</v>
      </c>
      <c r="N22" s="166">
        <v>0</v>
      </c>
      <c r="O22" s="166">
        <f>SUM(C22:N22)</f>
        <v>0</v>
      </c>
      <c r="P22" s="382"/>
      <c r="Q22" s="219">
        <v>1230000000</v>
      </c>
      <c r="R22" s="166">
        <v>0</v>
      </c>
      <c r="S22" s="166">
        <v>0</v>
      </c>
      <c r="T22" s="166">
        <v>0</v>
      </c>
      <c r="U22" s="166">
        <v>0</v>
      </c>
      <c r="V22" s="166">
        <v>0</v>
      </c>
      <c r="W22" s="166">
        <v>0</v>
      </c>
      <c r="X22" s="166">
        <v>0</v>
      </c>
      <c r="Y22" s="166">
        <v>0</v>
      </c>
      <c r="Z22" s="166">
        <v>0</v>
      </c>
      <c r="AA22" s="166">
        <v>0</v>
      </c>
      <c r="AB22" s="166">
        <v>0</v>
      </c>
      <c r="AC22" s="369">
        <f>SUM(Q22:AB22)</f>
        <v>1230000000</v>
      </c>
      <c r="AD22" s="170"/>
      <c r="AE22" s="3"/>
      <c r="AF22" s="3"/>
    </row>
    <row r="23" spans="1:41" ht="32.1" customHeight="1">
      <c r="A23" s="691" t="s">
        <v>44</v>
      </c>
      <c r="B23" s="705"/>
      <c r="C23" s="167">
        <v>0</v>
      </c>
      <c r="D23" s="166">
        <v>0</v>
      </c>
      <c r="E23" s="166">
        <v>0</v>
      </c>
      <c r="F23" s="166">
        <v>0</v>
      </c>
      <c r="G23" s="166">
        <v>0</v>
      </c>
      <c r="H23" s="166">
        <v>0</v>
      </c>
      <c r="I23" s="166">
        <v>0</v>
      </c>
      <c r="J23" s="166">
        <v>0</v>
      </c>
      <c r="K23" s="166">
        <v>0</v>
      </c>
      <c r="L23" s="166">
        <v>0</v>
      </c>
      <c r="M23" s="166">
        <v>0</v>
      </c>
      <c r="N23" s="166">
        <v>0</v>
      </c>
      <c r="O23" s="163">
        <f>SUM(C23:N23)</f>
        <v>0</v>
      </c>
      <c r="P23" s="168" t="str">
        <f>IFERROR(O23/(SUMIF(C23:N23,"&gt;0",C22:N22))," ")</f>
        <v xml:space="preserve"> </v>
      </c>
      <c r="Q23" s="219">
        <v>1230000000</v>
      </c>
      <c r="R23" s="166">
        <v>0</v>
      </c>
      <c r="S23" s="166">
        <v>0</v>
      </c>
      <c r="T23" s="166">
        <v>0</v>
      </c>
      <c r="U23" s="166">
        <v>0</v>
      </c>
      <c r="V23" s="166">
        <v>0</v>
      </c>
      <c r="W23" s="166">
        <v>0</v>
      </c>
      <c r="X23" s="166">
        <v>0</v>
      </c>
      <c r="Y23" s="166">
        <v>0</v>
      </c>
      <c r="Z23" s="166">
        <v>0</v>
      </c>
      <c r="AA23" s="166">
        <v>0</v>
      </c>
      <c r="AB23" s="166">
        <v>0</v>
      </c>
      <c r="AC23" s="369">
        <f>SUM(Q23:AB23)</f>
        <v>1230000000</v>
      </c>
      <c r="AD23" s="168">
        <f>AC23/AC22</f>
        <v>1</v>
      </c>
      <c r="AE23" s="3"/>
      <c r="AF23" s="3"/>
    </row>
    <row r="24" spans="1:41" ht="32.1" customHeight="1">
      <c r="A24" s="691" t="s">
        <v>46</v>
      </c>
      <c r="B24" s="705"/>
      <c r="C24" s="167">
        <v>0</v>
      </c>
      <c r="D24" s="166">
        <v>0</v>
      </c>
      <c r="E24" s="166">
        <v>0</v>
      </c>
      <c r="F24" s="166">
        <v>0</v>
      </c>
      <c r="G24" s="166">
        <v>0</v>
      </c>
      <c r="H24" s="166">
        <v>0</v>
      </c>
      <c r="I24" s="166">
        <v>0</v>
      </c>
      <c r="J24" s="166">
        <v>0</v>
      </c>
      <c r="K24" s="166">
        <v>0</v>
      </c>
      <c r="L24" s="166">
        <v>0</v>
      </c>
      <c r="M24" s="166">
        <v>0</v>
      </c>
      <c r="N24" s="166">
        <v>0</v>
      </c>
      <c r="O24" s="163">
        <f>SUM(C24:N24)</f>
        <v>0</v>
      </c>
      <c r="P24" s="383"/>
      <c r="Q24" s="164">
        <v>0</v>
      </c>
      <c r="R24" s="369">
        <v>4666666.666666667</v>
      </c>
      <c r="S24" s="369">
        <v>14000000</v>
      </c>
      <c r="T24" s="369">
        <v>14000000</v>
      </c>
      <c r="U24" s="369">
        <v>14000000</v>
      </c>
      <c r="V24" s="369">
        <v>14000000</v>
      </c>
      <c r="W24" s="369">
        <v>167714285.7142857</v>
      </c>
      <c r="X24" s="369">
        <v>167714285.7142857</v>
      </c>
      <c r="Y24" s="369">
        <v>167714285.7142857</v>
      </c>
      <c r="Z24" s="369">
        <v>167714285.7142857</v>
      </c>
      <c r="AA24" s="369">
        <v>167714285.7142857</v>
      </c>
      <c r="AB24" s="369">
        <f>167714285.714286+163047619.047619</f>
        <v>330761904.76190495</v>
      </c>
      <c r="AC24" s="369">
        <f>SUM(Q24:AB24)</f>
        <v>1230000000.0000002</v>
      </c>
      <c r="AD24" s="168"/>
      <c r="AE24" s="3"/>
      <c r="AF24" s="3"/>
    </row>
    <row r="25" spans="1:41" ht="32.1" customHeight="1" thickBot="1">
      <c r="A25" s="695" t="s">
        <v>47</v>
      </c>
      <c r="B25" s="897"/>
      <c r="C25" s="379">
        <v>0</v>
      </c>
      <c r="D25" s="380">
        <v>0</v>
      </c>
      <c r="E25" s="380">
        <v>0</v>
      </c>
      <c r="F25" s="380">
        <v>0</v>
      </c>
      <c r="G25" s="380">
        <v>0</v>
      </c>
      <c r="H25" s="380">
        <v>0</v>
      </c>
      <c r="I25" s="380">
        <v>0</v>
      </c>
      <c r="J25" s="380">
        <v>0</v>
      </c>
      <c r="K25" s="380">
        <v>0</v>
      </c>
      <c r="L25" s="380">
        <v>0</v>
      </c>
      <c r="M25" s="380">
        <v>0</v>
      </c>
      <c r="N25" s="380">
        <v>0</v>
      </c>
      <c r="O25" s="165">
        <f>SUM(C25:N25)</f>
        <v>0</v>
      </c>
      <c r="P25" s="169"/>
      <c r="Q25" s="472">
        <v>0</v>
      </c>
      <c r="R25" s="458">
        <v>0</v>
      </c>
      <c r="S25" s="458">
        <v>14000000</v>
      </c>
      <c r="T25" s="458">
        <v>659600000</v>
      </c>
      <c r="U25" s="380">
        <v>0</v>
      </c>
      <c r="V25" s="380">
        <v>0</v>
      </c>
      <c r="W25" s="380">
        <v>0</v>
      </c>
      <c r="X25" s="380">
        <v>0</v>
      </c>
      <c r="Y25" s="380">
        <v>0</v>
      </c>
      <c r="Z25" s="380">
        <v>0</v>
      </c>
      <c r="AA25" s="380">
        <v>0</v>
      </c>
      <c r="AB25" s="380">
        <v>0</v>
      </c>
      <c r="AC25" s="369">
        <f>SUM(Q25:AB25)</f>
        <v>673600000</v>
      </c>
      <c r="AD25" s="169">
        <f>AC25/AC24</f>
        <v>0.54764227642276408</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F26" s="378"/>
    </row>
    <row r="27" spans="1:41" ht="33.950000000000003" customHeight="1">
      <c r="A27" s="697" t="s">
        <v>48</v>
      </c>
      <c r="B27" s="698"/>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700"/>
    </row>
    <row r="28" spans="1:41" ht="15" customHeight="1">
      <c r="A28" s="701" t="s">
        <v>49</v>
      </c>
      <c r="B28" s="703" t="s">
        <v>50</v>
      </c>
      <c r="C28" s="704"/>
      <c r="D28" s="705" t="s">
        <v>51</v>
      </c>
      <c r="E28" s="706"/>
      <c r="F28" s="706"/>
      <c r="G28" s="706"/>
      <c r="H28" s="706"/>
      <c r="I28" s="706"/>
      <c r="J28" s="706"/>
      <c r="K28" s="706"/>
      <c r="L28" s="706"/>
      <c r="M28" s="706"/>
      <c r="N28" s="706"/>
      <c r="O28" s="707"/>
      <c r="P28" s="683" t="s">
        <v>41</v>
      </c>
      <c r="Q28" s="683" t="s">
        <v>52</v>
      </c>
      <c r="R28" s="683"/>
      <c r="S28" s="683"/>
      <c r="T28" s="683"/>
      <c r="U28" s="683"/>
      <c r="V28" s="683"/>
      <c r="W28" s="683"/>
      <c r="X28" s="683"/>
      <c r="Y28" s="683"/>
      <c r="Z28" s="683"/>
      <c r="AA28" s="683"/>
      <c r="AB28" s="683"/>
      <c r="AC28" s="683"/>
      <c r="AD28" s="693"/>
    </row>
    <row r="29" spans="1:41" ht="27" customHeight="1">
      <c r="A29" s="702"/>
      <c r="B29" s="670"/>
      <c r="C29" s="694"/>
      <c r="D29" s="88" t="s">
        <v>30</v>
      </c>
      <c r="E29" s="88" t="s">
        <v>31</v>
      </c>
      <c r="F29" s="88" t="s">
        <v>8</v>
      </c>
      <c r="G29" s="88" t="s">
        <v>32</v>
      </c>
      <c r="H29" s="88" t="s">
        <v>33</v>
      </c>
      <c r="I29" s="88" t="s">
        <v>34</v>
      </c>
      <c r="J29" s="88" t="s">
        <v>35</v>
      </c>
      <c r="K29" s="88" t="s">
        <v>36</v>
      </c>
      <c r="L29" s="88" t="s">
        <v>37</v>
      </c>
      <c r="M29" s="88" t="s">
        <v>38</v>
      </c>
      <c r="N29" s="88" t="s">
        <v>39</v>
      </c>
      <c r="O29" s="88" t="s">
        <v>40</v>
      </c>
      <c r="P29" s="707"/>
      <c r="Q29" s="683"/>
      <c r="R29" s="683"/>
      <c r="S29" s="683"/>
      <c r="T29" s="683"/>
      <c r="U29" s="683"/>
      <c r="V29" s="683"/>
      <c r="W29" s="683"/>
      <c r="X29" s="683"/>
      <c r="Y29" s="683"/>
      <c r="Z29" s="683"/>
      <c r="AA29" s="683"/>
      <c r="AB29" s="683"/>
      <c r="AC29" s="683"/>
      <c r="AD29" s="693"/>
    </row>
    <row r="30" spans="1:41" ht="96" customHeight="1" thickBot="1">
      <c r="A30" s="408" t="str">
        <f>C17</f>
        <v xml:space="preserve">Diseñar e Implementar 1 programa piloto para promover la autonomía económica de las mujeres cuidadoras en el marco de la estrategia de emprendimiento y empleabilidad de la SDMujer </v>
      </c>
      <c r="B30" s="805"/>
      <c r="C30" s="806"/>
      <c r="D30" s="89"/>
      <c r="E30" s="89"/>
      <c r="F30" s="89"/>
      <c r="G30" s="89"/>
      <c r="H30" s="89"/>
      <c r="I30" s="89"/>
      <c r="J30" s="89"/>
      <c r="K30" s="89"/>
      <c r="L30" s="89"/>
      <c r="M30" s="89"/>
      <c r="N30" s="89"/>
      <c r="O30" s="89"/>
      <c r="P30" s="86">
        <f>SUM(D30:O30)</f>
        <v>0</v>
      </c>
      <c r="Q30" s="807" t="s">
        <v>113</v>
      </c>
      <c r="R30" s="807"/>
      <c r="S30" s="807"/>
      <c r="T30" s="807"/>
      <c r="U30" s="807"/>
      <c r="V30" s="807"/>
      <c r="W30" s="807"/>
      <c r="X30" s="807"/>
      <c r="Y30" s="807"/>
      <c r="Z30" s="807"/>
      <c r="AA30" s="807"/>
      <c r="AB30" s="807"/>
      <c r="AC30" s="807"/>
      <c r="AD30" s="808"/>
    </row>
    <row r="31" spans="1:41" ht="45" customHeight="1">
      <c r="A31" s="688" t="s">
        <v>53</v>
      </c>
      <c r="B31" s="68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90"/>
      <c r="AI31" s="624" t="s">
        <v>130</v>
      </c>
    </row>
    <row r="32" spans="1:41" ht="23.1" customHeight="1">
      <c r="A32" s="691" t="s">
        <v>54</v>
      </c>
      <c r="B32" s="683" t="s">
        <v>55</v>
      </c>
      <c r="C32" s="683" t="s">
        <v>50</v>
      </c>
      <c r="D32" s="683" t="s">
        <v>56</v>
      </c>
      <c r="E32" s="683"/>
      <c r="F32" s="683"/>
      <c r="G32" s="683"/>
      <c r="H32" s="683"/>
      <c r="I32" s="683"/>
      <c r="J32" s="683"/>
      <c r="K32" s="683"/>
      <c r="L32" s="683"/>
      <c r="M32" s="683"/>
      <c r="N32" s="683"/>
      <c r="O32" s="683"/>
      <c r="P32" s="683"/>
      <c r="Q32" s="683" t="s">
        <v>57</v>
      </c>
      <c r="R32" s="683"/>
      <c r="S32" s="683"/>
      <c r="T32" s="683"/>
      <c r="U32" s="683"/>
      <c r="V32" s="683"/>
      <c r="W32" s="683"/>
      <c r="X32" s="683"/>
      <c r="Y32" s="683"/>
      <c r="Z32" s="683"/>
      <c r="AA32" s="683"/>
      <c r="AB32" s="683"/>
      <c r="AC32" s="683"/>
      <c r="AD32" s="693"/>
      <c r="AF32" s="624"/>
      <c r="AI32" s="631"/>
      <c r="AJ32" s="631"/>
      <c r="AK32" s="631"/>
      <c r="AL32" s="631"/>
      <c r="AM32" s="87"/>
      <c r="AN32" s="87"/>
      <c r="AO32" s="87"/>
    </row>
    <row r="33" spans="1:41" ht="23.1" customHeight="1">
      <c r="A33" s="691"/>
      <c r="B33" s="683"/>
      <c r="C33" s="692"/>
      <c r="D33" s="88" t="s">
        <v>30</v>
      </c>
      <c r="E33" s="88" t="s">
        <v>31</v>
      </c>
      <c r="F33" s="88" t="s">
        <v>8</v>
      </c>
      <c r="G33" s="88" t="s">
        <v>32</v>
      </c>
      <c r="H33" s="88" t="s">
        <v>33</v>
      </c>
      <c r="I33" s="88" t="s">
        <v>34</v>
      </c>
      <c r="J33" s="88" t="s">
        <v>35</v>
      </c>
      <c r="K33" s="88" t="s">
        <v>36</v>
      </c>
      <c r="L33" s="88" t="s">
        <v>37</v>
      </c>
      <c r="M33" s="88" t="s">
        <v>38</v>
      </c>
      <c r="N33" s="88" t="s">
        <v>39</v>
      </c>
      <c r="O33" s="88" t="s">
        <v>40</v>
      </c>
      <c r="P33" s="88" t="s">
        <v>41</v>
      </c>
      <c r="Q33" s="670" t="s">
        <v>58</v>
      </c>
      <c r="R33" s="671"/>
      <c r="S33" s="671"/>
      <c r="T33" s="671"/>
      <c r="U33" s="671"/>
      <c r="V33" s="694"/>
      <c r="W33" s="670" t="s">
        <v>59</v>
      </c>
      <c r="X33" s="671"/>
      <c r="Y33" s="671"/>
      <c r="Z33" s="694"/>
      <c r="AA33" s="670" t="s">
        <v>60</v>
      </c>
      <c r="AB33" s="671"/>
      <c r="AC33" s="671"/>
      <c r="AD33" s="672"/>
      <c r="AH33" s="500" t="s">
        <v>61</v>
      </c>
      <c r="AI33" s="500" t="s">
        <v>62</v>
      </c>
      <c r="AJ33" s="500" t="s">
        <v>63</v>
      </c>
      <c r="AK33" s="500" t="s">
        <v>101</v>
      </c>
      <c r="AL33" s="631"/>
      <c r="AM33" s="87"/>
      <c r="AN33" s="87"/>
      <c r="AO33" s="87"/>
    </row>
    <row r="34" spans="1:41" ht="141.75" customHeight="1">
      <c r="A34" s="811" t="s">
        <v>131</v>
      </c>
      <c r="B34" s="675">
        <f>B38+B40+B42+B44</f>
        <v>0.35000000000000003</v>
      </c>
      <c r="C34" s="90" t="s">
        <v>64</v>
      </c>
      <c r="D34" s="180">
        <f>D65</f>
        <v>0</v>
      </c>
      <c r="E34" s="180">
        <f t="shared" ref="E34:O34" si="0">E65</f>
        <v>0.20476190476190476</v>
      </c>
      <c r="F34" s="180">
        <f t="shared" si="0"/>
        <v>0.24557823129251702</v>
      </c>
      <c r="G34" s="180">
        <f t="shared" si="0"/>
        <v>0.24557823129251702</v>
      </c>
      <c r="H34" s="180">
        <f t="shared" si="0"/>
        <v>5.5102040816326539E-2</v>
      </c>
      <c r="I34" s="180">
        <f t="shared" si="0"/>
        <v>5.5102040816326539E-2</v>
      </c>
      <c r="J34" s="180">
        <f t="shared" si="0"/>
        <v>5.5102040816326539E-2</v>
      </c>
      <c r="K34" s="180">
        <f t="shared" si="0"/>
        <v>5.5102040816326539E-2</v>
      </c>
      <c r="L34" s="180">
        <f t="shared" si="0"/>
        <v>5.5102040816326539E-2</v>
      </c>
      <c r="M34" s="180">
        <f t="shared" si="0"/>
        <v>1.428571428571429E-2</v>
      </c>
      <c r="N34" s="180">
        <f t="shared" si="0"/>
        <v>1.428571428571429E-2</v>
      </c>
      <c r="O34" s="180">
        <f t="shared" si="0"/>
        <v>0</v>
      </c>
      <c r="P34" s="193">
        <f>SUM(D34:O34)</f>
        <v>1</v>
      </c>
      <c r="Q34" s="856" t="s">
        <v>1179</v>
      </c>
      <c r="R34" s="857"/>
      <c r="S34" s="857"/>
      <c r="T34" s="857"/>
      <c r="U34" s="857"/>
      <c r="V34" s="858"/>
      <c r="W34" s="856" t="s">
        <v>132</v>
      </c>
      <c r="X34" s="857"/>
      <c r="Y34" s="857"/>
      <c r="Z34" s="857"/>
      <c r="AA34" s="862" t="s">
        <v>133</v>
      </c>
      <c r="AB34" s="863"/>
      <c r="AC34" s="863"/>
      <c r="AD34" s="898"/>
      <c r="AF34" s="842"/>
      <c r="AH34" s="624" t="s">
        <v>113</v>
      </c>
      <c r="AI34" s="624" t="s">
        <v>104</v>
      </c>
      <c r="AJ34" s="624" t="s">
        <v>134</v>
      </c>
      <c r="AK34" s="624" t="s">
        <v>1180</v>
      </c>
      <c r="AL34" s="631"/>
      <c r="AM34" s="87"/>
      <c r="AN34" s="87"/>
      <c r="AO34" s="87"/>
    </row>
    <row r="35" spans="1:41" ht="141.75" customHeight="1" thickBot="1">
      <c r="A35" s="812"/>
      <c r="B35" s="813"/>
      <c r="C35" s="444" t="s">
        <v>67</v>
      </c>
      <c r="D35" s="445">
        <f>D62</f>
        <v>0</v>
      </c>
      <c r="E35" s="445">
        <f t="shared" ref="E35:O35" si="1">E62</f>
        <v>0.20285714285714285</v>
      </c>
      <c r="F35" s="445">
        <f t="shared" si="1"/>
        <v>0.20380857142857142</v>
      </c>
      <c r="G35" s="445">
        <f t="shared" si="1"/>
        <v>0.15237142857142857</v>
      </c>
      <c r="H35" s="445">
        <f t="shared" si="1"/>
        <v>0</v>
      </c>
      <c r="I35" s="445">
        <f t="shared" si="1"/>
        <v>0</v>
      </c>
      <c r="J35" s="445">
        <f t="shared" si="1"/>
        <v>0</v>
      </c>
      <c r="K35" s="445">
        <f t="shared" si="1"/>
        <v>0</v>
      </c>
      <c r="L35" s="445">
        <f t="shared" si="1"/>
        <v>0</v>
      </c>
      <c r="M35" s="445">
        <f t="shared" si="1"/>
        <v>0</v>
      </c>
      <c r="N35" s="445">
        <f t="shared" si="1"/>
        <v>0</v>
      </c>
      <c r="O35" s="445">
        <f t="shared" si="1"/>
        <v>0</v>
      </c>
      <c r="P35" s="391">
        <f>SUM(D35:O35)</f>
        <v>0.5590371428571429</v>
      </c>
      <c r="Q35" s="859"/>
      <c r="R35" s="860"/>
      <c r="S35" s="860"/>
      <c r="T35" s="860"/>
      <c r="U35" s="860"/>
      <c r="V35" s="861"/>
      <c r="W35" s="859"/>
      <c r="X35" s="860"/>
      <c r="Y35" s="860"/>
      <c r="Z35" s="860"/>
      <c r="AA35" s="865"/>
      <c r="AB35" s="866"/>
      <c r="AC35" s="866"/>
      <c r="AD35" s="899"/>
      <c r="AE35" s="49"/>
      <c r="AF35" s="842"/>
      <c r="AH35" s="655"/>
      <c r="AI35" s="653">
        <f>LEN(AI34)</f>
        <v>288</v>
      </c>
      <c r="AJ35" s="653">
        <f>LEN(AJ34)</f>
        <v>296</v>
      </c>
      <c r="AK35" s="653">
        <f>LEN(AK34)</f>
        <v>251</v>
      </c>
      <c r="AL35" s="631"/>
      <c r="AM35" s="87"/>
      <c r="AN35" s="87"/>
      <c r="AO35" s="87"/>
    </row>
    <row r="36" spans="1:41" ht="26.1" customHeight="1">
      <c r="A36" s="716" t="s">
        <v>68</v>
      </c>
      <c r="B36" s="835" t="s">
        <v>69</v>
      </c>
      <c r="C36" s="837" t="s">
        <v>70</v>
      </c>
      <c r="D36" s="837"/>
      <c r="E36" s="837"/>
      <c r="F36" s="837"/>
      <c r="G36" s="837"/>
      <c r="H36" s="837"/>
      <c r="I36" s="837"/>
      <c r="J36" s="837"/>
      <c r="K36" s="837"/>
      <c r="L36" s="837"/>
      <c r="M36" s="837"/>
      <c r="N36" s="837"/>
      <c r="O36" s="837"/>
      <c r="P36" s="837"/>
      <c r="Q36" s="838" t="s">
        <v>71</v>
      </c>
      <c r="R36" s="839"/>
      <c r="S36" s="839"/>
      <c r="T36" s="839"/>
      <c r="U36" s="839"/>
      <c r="V36" s="839"/>
      <c r="W36" s="839"/>
      <c r="X36" s="839"/>
      <c r="Y36" s="839"/>
      <c r="Z36" s="839"/>
      <c r="AA36" s="839"/>
      <c r="AB36" s="839"/>
      <c r="AC36" s="839"/>
      <c r="AD36" s="840"/>
      <c r="AF36" s="656"/>
      <c r="AG36" s="87"/>
      <c r="AH36" s="631"/>
      <c r="AI36" s="631"/>
      <c r="AJ36" s="631"/>
      <c r="AK36" s="631"/>
      <c r="AL36" s="631"/>
      <c r="AM36" s="87"/>
      <c r="AN36" s="87"/>
      <c r="AO36" s="87"/>
    </row>
    <row r="37" spans="1:41" ht="26.1" customHeight="1">
      <c r="A37" s="691"/>
      <c r="B37" s="836"/>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705" t="s">
        <v>86</v>
      </c>
      <c r="R37" s="706"/>
      <c r="S37" s="706"/>
      <c r="T37" s="706"/>
      <c r="U37" s="706"/>
      <c r="V37" s="706"/>
      <c r="W37" s="706"/>
      <c r="X37" s="706"/>
      <c r="Y37" s="706"/>
      <c r="Z37" s="706"/>
      <c r="AA37" s="706"/>
      <c r="AB37" s="706"/>
      <c r="AC37" s="706"/>
      <c r="AD37" s="841"/>
      <c r="AF37" s="647" t="s">
        <v>1173</v>
      </c>
      <c r="AG37" s="94"/>
      <c r="AH37" s="632"/>
      <c r="AI37" s="632"/>
      <c r="AJ37" s="632"/>
      <c r="AK37" s="632"/>
      <c r="AL37" s="632"/>
      <c r="AM37" s="94"/>
      <c r="AN37" s="94"/>
      <c r="AO37" s="94"/>
    </row>
    <row r="38" spans="1:41" ht="61.5" customHeight="1">
      <c r="A38" s="825" t="s">
        <v>135</v>
      </c>
      <c r="B38" s="827">
        <v>0.1</v>
      </c>
      <c r="C38" s="90" t="s">
        <v>64</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2">SUM(D38:O38)</f>
        <v>1</v>
      </c>
      <c r="Q38" s="885" t="s">
        <v>1183</v>
      </c>
      <c r="R38" s="886"/>
      <c r="S38" s="886"/>
      <c r="T38" s="886"/>
      <c r="U38" s="886"/>
      <c r="V38" s="886"/>
      <c r="W38" s="886"/>
      <c r="X38" s="886"/>
      <c r="Y38" s="886"/>
      <c r="Z38" s="886"/>
      <c r="AA38" s="886"/>
      <c r="AB38" s="886"/>
      <c r="AC38" s="886"/>
      <c r="AD38" s="887"/>
      <c r="AE38" s="97"/>
      <c r="AF38" s="842" t="s">
        <v>1184</v>
      </c>
      <c r="AG38" s="98"/>
      <c r="AH38" s="654"/>
      <c r="AI38" s="654"/>
      <c r="AJ38" s="654"/>
      <c r="AK38" s="654"/>
      <c r="AL38" s="654"/>
      <c r="AM38" s="98"/>
      <c r="AN38" s="98"/>
      <c r="AO38" s="98"/>
    </row>
    <row r="39" spans="1:41" ht="61.5" customHeight="1">
      <c r="A39" s="846"/>
      <c r="B39" s="884"/>
      <c r="C39" s="99" t="s">
        <v>67</v>
      </c>
      <c r="D39" s="100">
        <v>0</v>
      </c>
      <c r="E39" s="100">
        <v>0.33</v>
      </c>
      <c r="F39" s="100">
        <v>0.33333000000000002</v>
      </c>
      <c r="G39" s="100">
        <v>0.33329999999999999</v>
      </c>
      <c r="H39" s="100"/>
      <c r="I39" s="100"/>
      <c r="J39" s="100"/>
      <c r="K39" s="100"/>
      <c r="L39" s="100"/>
      <c r="M39" s="100"/>
      <c r="N39" s="100"/>
      <c r="O39" s="100"/>
      <c r="P39" s="101">
        <f t="shared" si="2"/>
        <v>0.9966299999999999</v>
      </c>
      <c r="Q39" s="888"/>
      <c r="R39" s="889"/>
      <c r="S39" s="889"/>
      <c r="T39" s="889"/>
      <c r="U39" s="889"/>
      <c r="V39" s="889"/>
      <c r="W39" s="889"/>
      <c r="X39" s="889"/>
      <c r="Y39" s="889"/>
      <c r="Z39" s="889"/>
      <c r="AA39" s="889"/>
      <c r="AB39" s="889"/>
      <c r="AC39" s="889"/>
      <c r="AD39" s="890"/>
      <c r="AE39" s="97"/>
      <c r="AF39" s="842"/>
      <c r="AH39" s="500" t="s">
        <v>61</v>
      </c>
      <c r="AI39" s="500" t="s">
        <v>119</v>
      </c>
      <c r="AJ39" s="500" t="s">
        <v>120</v>
      </c>
      <c r="AK39" s="500" t="s">
        <v>1176</v>
      </c>
    </row>
    <row r="40" spans="1:41" ht="75.75" customHeight="1">
      <c r="A40" s="825" t="s">
        <v>136</v>
      </c>
      <c r="B40" s="827">
        <v>0.1</v>
      </c>
      <c r="C40" s="90" t="s">
        <v>64</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2"/>
        <v>1</v>
      </c>
      <c r="Q40" s="891" t="s">
        <v>1182</v>
      </c>
      <c r="R40" s="892"/>
      <c r="S40" s="892"/>
      <c r="T40" s="892"/>
      <c r="U40" s="892"/>
      <c r="V40" s="892"/>
      <c r="W40" s="892"/>
      <c r="X40" s="892"/>
      <c r="Y40" s="892"/>
      <c r="Z40" s="892"/>
      <c r="AA40" s="892"/>
      <c r="AB40" s="892"/>
      <c r="AC40" s="892"/>
      <c r="AD40" s="893"/>
      <c r="AE40" s="97"/>
      <c r="AF40" s="842" t="s">
        <v>1185</v>
      </c>
      <c r="AH40" s="72" t="s">
        <v>113</v>
      </c>
      <c r="AI40" s="624" t="s">
        <v>137</v>
      </c>
      <c r="AJ40" s="624" t="s">
        <v>138</v>
      </c>
      <c r="AK40" s="624" t="s">
        <v>1190</v>
      </c>
      <c r="AL40" s="654"/>
      <c r="AM40" s="98"/>
      <c r="AN40" s="98"/>
      <c r="AO40" s="98"/>
    </row>
    <row r="41" spans="1:41" ht="75.75" customHeight="1">
      <c r="A41" s="846"/>
      <c r="B41" s="884"/>
      <c r="C41" s="99" t="s">
        <v>67</v>
      </c>
      <c r="D41" s="100">
        <v>0</v>
      </c>
      <c r="E41" s="100">
        <v>0.33</v>
      </c>
      <c r="F41" s="100">
        <v>0.33</v>
      </c>
      <c r="G41" s="100">
        <v>0.15</v>
      </c>
      <c r="H41" s="100"/>
      <c r="I41" s="100"/>
      <c r="J41" s="100"/>
      <c r="K41" s="100"/>
      <c r="L41" s="100"/>
      <c r="M41" s="100"/>
      <c r="N41" s="100"/>
      <c r="O41" s="100"/>
      <c r="P41" s="101">
        <f t="shared" si="2"/>
        <v>0.81</v>
      </c>
      <c r="Q41" s="894"/>
      <c r="R41" s="895"/>
      <c r="S41" s="895"/>
      <c r="T41" s="895"/>
      <c r="U41" s="895"/>
      <c r="V41" s="895"/>
      <c r="W41" s="895"/>
      <c r="X41" s="895"/>
      <c r="Y41" s="895"/>
      <c r="Z41" s="895"/>
      <c r="AA41" s="895"/>
      <c r="AB41" s="895"/>
      <c r="AC41" s="895"/>
      <c r="AD41" s="896"/>
      <c r="AE41" s="97"/>
      <c r="AF41" s="842"/>
      <c r="AH41" s="655">
        <f>LEN(AH40)</f>
        <v>1</v>
      </c>
      <c r="AI41" s="653">
        <f t="shared" ref="AI41:AK41" si="3">LEN(AI40)</f>
        <v>280</v>
      </c>
      <c r="AJ41" s="653">
        <f t="shared" si="3"/>
        <v>299</v>
      </c>
      <c r="AK41" s="653">
        <f t="shared" si="3"/>
        <v>447</v>
      </c>
    </row>
    <row r="42" spans="1:41" ht="59.25" customHeight="1">
      <c r="A42" s="825" t="s">
        <v>139</v>
      </c>
      <c r="B42" s="900">
        <v>0.1</v>
      </c>
      <c r="C42" s="102" t="s">
        <v>64</v>
      </c>
      <c r="D42" s="103">
        <v>0</v>
      </c>
      <c r="E42" s="103">
        <v>0</v>
      </c>
      <c r="F42" s="103">
        <f t="shared" ref="F42:L42" si="4">1/7</f>
        <v>0.14285714285714285</v>
      </c>
      <c r="G42" s="103">
        <f t="shared" si="4"/>
        <v>0.14285714285714285</v>
      </c>
      <c r="H42" s="103">
        <f t="shared" si="4"/>
        <v>0.14285714285714285</v>
      </c>
      <c r="I42" s="103">
        <f t="shared" si="4"/>
        <v>0.14285714285714285</v>
      </c>
      <c r="J42" s="103">
        <f t="shared" si="4"/>
        <v>0.14285714285714285</v>
      </c>
      <c r="K42" s="103">
        <f t="shared" si="4"/>
        <v>0.14285714285714285</v>
      </c>
      <c r="L42" s="103">
        <f t="shared" si="4"/>
        <v>0.14285714285714285</v>
      </c>
      <c r="M42" s="103">
        <v>0</v>
      </c>
      <c r="N42" s="103">
        <v>0</v>
      </c>
      <c r="O42" s="103">
        <v>0</v>
      </c>
      <c r="P42" s="101">
        <f t="shared" si="2"/>
        <v>0.99999999999999978</v>
      </c>
      <c r="Q42" s="885" t="s">
        <v>1186</v>
      </c>
      <c r="R42" s="886"/>
      <c r="S42" s="886"/>
      <c r="T42" s="886"/>
      <c r="U42" s="886"/>
      <c r="V42" s="886"/>
      <c r="W42" s="886"/>
      <c r="X42" s="886"/>
      <c r="Y42" s="886"/>
      <c r="Z42" s="886"/>
      <c r="AA42" s="886"/>
      <c r="AB42" s="886"/>
      <c r="AC42" s="886"/>
      <c r="AD42" s="887"/>
      <c r="AE42" s="97"/>
      <c r="AF42" s="842" t="s">
        <v>1187</v>
      </c>
    </row>
    <row r="43" spans="1:41" ht="59.25" customHeight="1">
      <c r="A43" s="846"/>
      <c r="B43" s="884"/>
      <c r="C43" s="99" t="s">
        <v>67</v>
      </c>
      <c r="D43" s="100">
        <v>0</v>
      </c>
      <c r="E43" s="100">
        <v>0</v>
      </c>
      <c r="F43" s="100">
        <v>0</v>
      </c>
      <c r="G43" s="100">
        <v>0</v>
      </c>
      <c r="H43" s="100"/>
      <c r="I43" s="100"/>
      <c r="J43" s="100"/>
      <c r="K43" s="100"/>
      <c r="L43" s="104"/>
      <c r="M43" s="104"/>
      <c r="N43" s="104"/>
      <c r="O43" s="104"/>
      <c r="P43" s="101">
        <f t="shared" si="2"/>
        <v>0</v>
      </c>
      <c r="Q43" s="888"/>
      <c r="R43" s="889"/>
      <c r="S43" s="889"/>
      <c r="T43" s="889"/>
      <c r="U43" s="889"/>
      <c r="V43" s="889"/>
      <c r="W43" s="889"/>
      <c r="X43" s="889"/>
      <c r="Y43" s="889"/>
      <c r="Z43" s="889"/>
      <c r="AA43" s="889"/>
      <c r="AB43" s="889"/>
      <c r="AC43" s="889"/>
      <c r="AD43" s="890"/>
      <c r="AE43" s="97"/>
      <c r="AF43" s="842"/>
    </row>
    <row r="44" spans="1:41" ht="51.75" customHeight="1">
      <c r="A44" s="825" t="s">
        <v>140</v>
      </c>
      <c r="B44" s="900">
        <v>0.05</v>
      </c>
      <c r="C44" s="102" t="s">
        <v>64</v>
      </c>
      <c r="D44" s="103">
        <v>0</v>
      </c>
      <c r="E44" s="103">
        <v>0.1</v>
      </c>
      <c r="F44" s="103">
        <f t="shared" ref="F44:N44" si="5">1/10</f>
        <v>0.1</v>
      </c>
      <c r="G44" s="103">
        <f t="shared" si="5"/>
        <v>0.1</v>
      </c>
      <c r="H44" s="103">
        <f t="shared" si="5"/>
        <v>0.1</v>
      </c>
      <c r="I44" s="103">
        <f t="shared" si="5"/>
        <v>0.1</v>
      </c>
      <c r="J44" s="103">
        <f t="shared" si="5"/>
        <v>0.1</v>
      </c>
      <c r="K44" s="103">
        <f t="shared" si="5"/>
        <v>0.1</v>
      </c>
      <c r="L44" s="103">
        <f t="shared" si="5"/>
        <v>0.1</v>
      </c>
      <c r="M44" s="103">
        <f t="shared" si="5"/>
        <v>0.1</v>
      </c>
      <c r="N44" s="103">
        <f t="shared" si="5"/>
        <v>0.1</v>
      </c>
      <c r="O44" s="103">
        <v>0</v>
      </c>
      <c r="P44" s="101">
        <f t="shared" si="2"/>
        <v>0.99999999999999989</v>
      </c>
      <c r="Q44" s="885" t="s">
        <v>1188</v>
      </c>
      <c r="R44" s="886"/>
      <c r="S44" s="886"/>
      <c r="T44" s="886"/>
      <c r="U44" s="886"/>
      <c r="V44" s="886"/>
      <c r="W44" s="886"/>
      <c r="X44" s="886"/>
      <c r="Y44" s="886"/>
      <c r="Z44" s="886"/>
      <c r="AA44" s="886"/>
      <c r="AB44" s="886"/>
      <c r="AC44" s="886"/>
      <c r="AD44" s="887"/>
      <c r="AE44" s="97"/>
      <c r="AF44" s="842" t="s">
        <v>1189</v>
      </c>
    </row>
    <row r="45" spans="1:41" ht="51.75" customHeight="1" thickBot="1">
      <c r="A45" s="826"/>
      <c r="B45" s="828"/>
      <c r="C45" s="91" t="s">
        <v>67</v>
      </c>
      <c r="D45" s="105">
        <v>0</v>
      </c>
      <c r="E45" s="105">
        <v>0.1</v>
      </c>
      <c r="F45" s="105">
        <v>0.1</v>
      </c>
      <c r="G45" s="105">
        <v>0.1</v>
      </c>
      <c r="H45" s="105"/>
      <c r="I45" s="105"/>
      <c r="J45" s="105"/>
      <c r="K45" s="105"/>
      <c r="L45" s="106"/>
      <c r="M45" s="106"/>
      <c r="N45" s="106"/>
      <c r="O45" s="106"/>
      <c r="P45" s="107">
        <f t="shared" si="2"/>
        <v>0.30000000000000004</v>
      </c>
      <c r="Q45" s="901"/>
      <c r="R45" s="902"/>
      <c r="S45" s="902"/>
      <c r="T45" s="902"/>
      <c r="U45" s="902"/>
      <c r="V45" s="902"/>
      <c r="W45" s="902"/>
      <c r="X45" s="902"/>
      <c r="Y45" s="902"/>
      <c r="Z45" s="902"/>
      <c r="AA45" s="902"/>
      <c r="AB45" s="902"/>
      <c r="AC45" s="902"/>
      <c r="AD45" s="903"/>
      <c r="AE45" s="97"/>
      <c r="AF45" s="842"/>
    </row>
    <row r="46" spans="1:41">
      <c r="A46" s="50" t="s">
        <v>92</v>
      </c>
    </row>
    <row r="51" spans="1:51" s="204" customFormat="1" ht="21.75" customHeight="1">
      <c r="A51" s="845" t="s">
        <v>124</v>
      </c>
      <c r="B51" s="845" t="s">
        <v>69</v>
      </c>
      <c r="C51" s="881" t="s">
        <v>70</v>
      </c>
      <c r="D51" s="882"/>
      <c r="E51" s="882"/>
      <c r="F51" s="882"/>
      <c r="G51" s="882"/>
      <c r="H51" s="882"/>
      <c r="I51" s="882"/>
      <c r="J51" s="882"/>
      <c r="K51" s="882"/>
      <c r="L51" s="882"/>
      <c r="M51" s="882"/>
      <c r="N51" s="882"/>
      <c r="O51" s="882"/>
      <c r="P51" s="883"/>
      <c r="Q51" s="202"/>
      <c r="R51" s="202"/>
      <c r="S51" s="202"/>
      <c r="T51" s="202"/>
      <c r="U51" s="202"/>
      <c r="V51" s="202"/>
      <c r="W51" s="202"/>
      <c r="X51" s="202"/>
      <c r="Y51" s="202"/>
      <c r="Z51" s="202"/>
      <c r="AA51" s="202"/>
      <c r="AB51" s="202"/>
      <c r="AC51" s="202"/>
      <c r="AD51" s="202"/>
      <c r="AE51" s="202"/>
      <c r="AF51" s="202"/>
      <c r="AG51" s="202"/>
      <c r="AH51" s="645"/>
      <c r="AI51" s="645"/>
      <c r="AJ51" s="645"/>
      <c r="AK51" s="645"/>
      <c r="AL51" s="645"/>
      <c r="AM51" s="202"/>
      <c r="AN51" s="202"/>
      <c r="AO51" s="202"/>
      <c r="AP51" s="202"/>
      <c r="AQ51" s="203"/>
      <c r="AR51" s="203"/>
      <c r="AS51" s="203"/>
      <c r="AT51" s="203"/>
      <c r="AU51" s="203"/>
      <c r="AV51" s="203"/>
      <c r="AW51" s="203"/>
      <c r="AX51" s="203"/>
      <c r="AY51" s="203"/>
    </row>
    <row r="52" spans="1:51" s="204" customFormat="1" ht="21.75" customHeight="1">
      <c r="A52" s="844"/>
      <c r="B52" s="844"/>
      <c r="C52" s="205" t="s">
        <v>72</v>
      </c>
      <c r="D52" s="205" t="s">
        <v>73</v>
      </c>
      <c r="E52" s="205" t="s">
        <v>74</v>
      </c>
      <c r="F52" s="205" t="s">
        <v>75</v>
      </c>
      <c r="G52" s="205" t="s">
        <v>76</v>
      </c>
      <c r="H52" s="205" t="s">
        <v>77</v>
      </c>
      <c r="I52" s="205" t="s">
        <v>78</v>
      </c>
      <c r="J52" s="205" t="s">
        <v>79</v>
      </c>
      <c r="K52" s="205" t="s">
        <v>80</v>
      </c>
      <c r="L52" s="205" t="s">
        <v>81</v>
      </c>
      <c r="M52" s="205" t="s">
        <v>82</v>
      </c>
      <c r="N52" s="205" t="s">
        <v>83</v>
      </c>
      <c r="O52" s="205" t="s">
        <v>84</v>
      </c>
      <c r="P52" s="205" t="s">
        <v>85</v>
      </c>
      <c r="Q52" s="202"/>
      <c r="R52" s="202"/>
      <c r="S52" s="202"/>
      <c r="T52" s="202"/>
      <c r="U52" s="202"/>
      <c r="V52" s="202"/>
      <c r="W52" s="202"/>
      <c r="X52" s="202"/>
      <c r="Y52" s="202"/>
      <c r="Z52" s="202"/>
      <c r="AA52" s="202"/>
      <c r="AB52" s="202"/>
      <c r="AC52" s="202"/>
      <c r="AD52" s="202"/>
      <c r="AE52" s="202"/>
      <c r="AF52" s="202"/>
      <c r="AG52" s="202"/>
      <c r="AH52" s="645"/>
      <c r="AI52" s="645"/>
      <c r="AJ52" s="645"/>
      <c r="AK52" s="645"/>
      <c r="AL52" s="645"/>
      <c r="AM52" s="202"/>
      <c r="AN52" s="202"/>
      <c r="AO52" s="202"/>
      <c r="AP52" s="202"/>
      <c r="AQ52" s="203"/>
      <c r="AR52" s="203"/>
      <c r="AS52" s="203"/>
      <c r="AT52" s="203"/>
      <c r="AU52" s="203"/>
      <c r="AV52" s="203"/>
      <c r="AW52" s="203"/>
      <c r="AX52" s="203"/>
      <c r="AY52" s="203"/>
    </row>
    <row r="53" spans="1:51" s="204" customFormat="1" ht="12.75" customHeight="1">
      <c r="A53" s="843" t="str">
        <f>A38</f>
        <v xml:space="preserve">13. Estructurar los insumos técnicos del programa para el componente de seguimiento y monitoreo </v>
      </c>
      <c r="B53" s="843">
        <f>B38</f>
        <v>0.1</v>
      </c>
      <c r="C53" s="206" t="s">
        <v>64</v>
      </c>
      <c r="D53" s="365">
        <f>D38*$B$38/$P$38</f>
        <v>0</v>
      </c>
      <c r="E53" s="365">
        <f t="shared" ref="E53:O53" si="6">E38*$B$38/$P$38</f>
        <v>3.3333333333333333E-2</v>
      </c>
      <c r="F53" s="365">
        <f t="shared" si="6"/>
        <v>3.3333333333333333E-2</v>
      </c>
      <c r="G53" s="365">
        <f t="shared" si="6"/>
        <v>3.3333333333333333E-2</v>
      </c>
      <c r="H53" s="365">
        <f t="shared" si="6"/>
        <v>0</v>
      </c>
      <c r="I53" s="365">
        <f t="shared" si="6"/>
        <v>0</v>
      </c>
      <c r="J53" s="365">
        <f t="shared" si="6"/>
        <v>0</v>
      </c>
      <c r="K53" s="365">
        <f t="shared" si="6"/>
        <v>0</v>
      </c>
      <c r="L53" s="365">
        <f t="shared" si="6"/>
        <v>0</v>
      </c>
      <c r="M53" s="365">
        <f t="shared" si="6"/>
        <v>0</v>
      </c>
      <c r="N53" s="365">
        <f t="shared" si="6"/>
        <v>0</v>
      </c>
      <c r="O53" s="365">
        <f t="shared" si="6"/>
        <v>0</v>
      </c>
      <c r="P53" s="361">
        <f t="shared" ref="P53:P56" si="7">SUM(D53:O53)</f>
        <v>0.1</v>
      </c>
      <c r="Q53" s="207"/>
      <c r="R53" s="207"/>
      <c r="S53" s="207"/>
      <c r="T53" s="207"/>
      <c r="U53" s="207"/>
      <c r="V53" s="207"/>
      <c r="W53" s="207"/>
      <c r="X53" s="207"/>
      <c r="Y53" s="207"/>
      <c r="Z53" s="207"/>
      <c r="AA53" s="207"/>
      <c r="AB53" s="207"/>
      <c r="AC53" s="207"/>
      <c r="AD53" s="207"/>
      <c r="AE53" s="207"/>
      <c r="AF53" s="207"/>
      <c r="AG53" s="207"/>
      <c r="AH53" s="644"/>
      <c r="AI53" s="644"/>
      <c r="AJ53" s="644"/>
      <c r="AK53" s="644"/>
      <c r="AL53" s="644"/>
      <c r="AM53" s="207"/>
      <c r="AN53" s="207"/>
      <c r="AO53" s="207"/>
      <c r="AP53" s="207"/>
      <c r="AQ53" s="203"/>
      <c r="AR53" s="203"/>
      <c r="AS53" s="203"/>
      <c r="AT53" s="203"/>
      <c r="AU53" s="203"/>
      <c r="AV53" s="203"/>
      <c r="AW53" s="203"/>
      <c r="AX53" s="203"/>
      <c r="AY53" s="203"/>
    </row>
    <row r="54" spans="1:51" s="204" customFormat="1" ht="12.75" customHeight="1">
      <c r="A54" s="844"/>
      <c r="B54" s="844"/>
      <c r="C54" s="208" t="s">
        <v>67</v>
      </c>
      <c r="D54" s="366">
        <f>D39*$B$38/$P$38</f>
        <v>0</v>
      </c>
      <c r="E54" s="366">
        <f t="shared" ref="E54:O54" si="8">E39*$B$38/$P$38</f>
        <v>3.3000000000000002E-2</v>
      </c>
      <c r="F54" s="366">
        <f t="shared" si="8"/>
        <v>3.3333000000000002E-2</v>
      </c>
      <c r="G54" s="366">
        <f t="shared" si="8"/>
        <v>3.3329999999999999E-2</v>
      </c>
      <c r="H54" s="366">
        <f t="shared" si="8"/>
        <v>0</v>
      </c>
      <c r="I54" s="366">
        <f t="shared" si="8"/>
        <v>0</v>
      </c>
      <c r="J54" s="366">
        <f t="shared" si="8"/>
        <v>0</v>
      </c>
      <c r="K54" s="366">
        <f t="shared" si="8"/>
        <v>0</v>
      </c>
      <c r="L54" s="366">
        <f t="shared" si="8"/>
        <v>0</v>
      </c>
      <c r="M54" s="366">
        <f t="shared" si="8"/>
        <v>0</v>
      </c>
      <c r="N54" s="366">
        <f t="shared" si="8"/>
        <v>0</v>
      </c>
      <c r="O54" s="366">
        <f t="shared" si="8"/>
        <v>0</v>
      </c>
      <c r="P54" s="210">
        <f t="shared" si="7"/>
        <v>9.9663000000000002E-2</v>
      </c>
      <c r="Q54" s="207"/>
      <c r="R54" s="207"/>
      <c r="S54" s="207"/>
      <c r="T54" s="207"/>
      <c r="U54" s="207"/>
      <c r="V54" s="207"/>
      <c r="W54" s="207"/>
      <c r="X54" s="207"/>
      <c r="Y54" s="207"/>
      <c r="Z54" s="207"/>
      <c r="AA54" s="207"/>
      <c r="AB54" s="207"/>
      <c r="AC54" s="207"/>
      <c r="AD54" s="207"/>
      <c r="AE54" s="207"/>
      <c r="AF54" s="207"/>
      <c r="AG54" s="207"/>
      <c r="AH54" s="644"/>
      <c r="AI54" s="644"/>
      <c r="AJ54" s="644"/>
      <c r="AK54" s="644"/>
      <c r="AL54" s="644"/>
      <c r="AM54" s="207"/>
      <c r="AN54" s="207"/>
      <c r="AO54" s="207"/>
      <c r="AP54" s="207"/>
      <c r="AQ54" s="203"/>
      <c r="AR54" s="203"/>
      <c r="AS54" s="203"/>
      <c r="AT54" s="203"/>
      <c r="AU54" s="203"/>
      <c r="AV54" s="203"/>
      <c r="AW54" s="203"/>
      <c r="AX54" s="203"/>
      <c r="AY54" s="203"/>
    </row>
    <row r="55" spans="1:51" s="204" customFormat="1" ht="12.75" customHeight="1">
      <c r="A55" s="843" t="str">
        <f>+A40</f>
        <v>14. Diseñar e implementar el proceso de convocatoria con el fin de alcanzar la meta poblacional propuesta en el piloto y levantar una línea base de organizaciones productiva de mujeres cuidadoras asociadas</v>
      </c>
      <c r="B55" s="843">
        <f>B40</f>
        <v>0.1</v>
      </c>
      <c r="C55" s="206" t="s">
        <v>64</v>
      </c>
      <c r="D55" s="365">
        <f>D40*$B$40/$P$40</f>
        <v>0</v>
      </c>
      <c r="E55" s="365">
        <f t="shared" ref="E55:O55" si="9">E40*$B$40/$P$40</f>
        <v>3.3333333333333333E-2</v>
      </c>
      <c r="F55" s="365">
        <f t="shared" si="9"/>
        <v>3.3333333333333333E-2</v>
      </c>
      <c r="G55" s="365">
        <f t="shared" si="9"/>
        <v>3.3333333333333333E-2</v>
      </c>
      <c r="H55" s="365">
        <f t="shared" si="9"/>
        <v>0</v>
      </c>
      <c r="I55" s="365">
        <f t="shared" si="9"/>
        <v>0</v>
      </c>
      <c r="J55" s="365">
        <f t="shared" si="9"/>
        <v>0</v>
      </c>
      <c r="K55" s="365">
        <f t="shared" si="9"/>
        <v>0</v>
      </c>
      <c r="L55" s="365">
        <f t="shared" si="9"/>
        <v>0</v>
      </c>
      <c r="M55" s="365">
        <f t="shared" si="9"/>
        <v>0</v>
      </c>
      <c r="N55" s="365">
        <f t="shared" si="9"/>
        <v>0</v>
      </c>
      <c r="O55" s="365">
        <f t="shared" si="9"/>
        <v>0</v>
      </c>
      <c r="P55" s="361">
        <f t="shared" si="7"/>
        <v>0.1</v>
      </c>
      <c r="Q55" s="207"/>
      <c r="R55" s="207"/>
      <c r="S55" s="207"/>
      <c r="T55" s="207"/>
      <c r="U55" s="207"/>
      <c r="V55" s="207"/>
      <c r="W55" s="207"/>
      <c r="X55" s="207"/>
      <c r="Y55" s="207"/>
      <c r="Z55" s="207"/>
      <c r="AA55" s="207"/>
      <c r="AB55" s="207"/>
      <c r="AC55" s="207"/>
      <c r="AD55" s="207"/>
      <c r="AE55" s="207"/>
      <c r="AF55" s="207"/>
      <c r="AG55" s="207"/>
      <c r="AH55" s="644"/>
      <c r="AI55" s="644"/>
      <c r="AJ55" s="644"/>
      <c r="AK55" s="644"/>
      <c r="AL55" s="644"/>
      <c r="AM55" s="207"/>
      <c r="AN55" s="207"/>
      <c r="AO55" s="207"/>
      <c r="AP55" s="207"/>
      <c r="AQ55" s="203"/>
      <c r="AR55" s="203"/>
      <c r="AS55" s="203"/>
      <c r="AT55" s="203"/>
      <c r="AU55" s="203"/>
      <c r="AV55" s="203"/>
      <c r="AW55" s="203"/>
      <c r="AX55" s="203"/>
      <c r="AY55" s="203"/>
    </row>
    <row r="56" spans="1:51" s="204" customFormat="1" ht="12.75" customHeight="1">
      <c r="A56" s="844"/>
      <c r="B56" s="844"/>
      <c r="C56" s="208" t="s">
        <v>67</v>
      </c>
      <c r="D56" s="366">
        <f t="shared" ref="D56:O56" si="10">D41*$B$40/$P$40</f>
        <v>0</v>
      </c>
      <c r="E56" s="366">
        <f t="shared" si="10"/>
        <v>3.3000000000000002E-2</v>
      </c>
      <c r="F56" s="366">
        <f t="shared" si="10"/>
        <v>3.3000000000000002E-2</v>
      </c>
      <c r="G56" s="366">
        <f t="shared" si="10"/>
        <v>1.4999999999999999E-2</v>
      </c>
      <c r="H56" s="366">
        <f t="shared" si="10"/>
        <v>0</v>
      </c>
      <c r="I56" s="366">
        <f t="shared" si="10"/>
        <v>0</v>
      </c>
      <c r="J56" s="366">
        <f t="shared" si="10"/>
        <v>0</v>
      </c>
      <c r="K56" s="366">
        <f t="shared" si="10"/>
        <v>0</v>
      </c>
      <c r="L56" s="366">
        <f t="shared" si="10"/>
        <v>0</v>
      </c>
      <c r="M56" s="366">
        <f t="shared" si="10"/>
        <v>0</v>
      </c>
      <c r="N56" s="366">
        <f t="shared" si="10"/>
        <v>0</v>
      </c>
      <c r="O56" s="366">
        <f t="shared" si="10"/>
        <v>0</v>
      </c>
      <c r="P56" s="210">
        <f t="shared" si="7"/>
        <v>8.1000000000000003E-2</v>
      </c>
      <c r="Q56" s="207"/>
      <c r="R56" s="207"/>
      <c r="S56" s="207"/>
      <c r="T56" s="207"/>
      <c r="U56" s="207"/>
      <c r="V56" s="207"/>
      <c r="W56" s="207"/>
      <c r="X56" s="207"/>
      <c r="Y56" s="207"/>
      <c r="Z56" s="207"/>
      <c r="AA56" s="207"/>
      <c r="AB56" s="207"/>
      <c r="AC56" s="207"/>
      <c r="AD56" s="207"/>
      <c r="AE56" s="207"/>
      <c r="AF56" s="207"/>
      <c r="AG56" s="207"/>
      <c r="AH56" s="644"/>
      <c r="AI56" s="644"/>
      <c r="AJ56" s="644"/>
      <c r="AK56" s="644"/>
      <c r="AL56" s="644"/>
      <c r="AM56" s="207"/>
      <c r="AN56" s="207"/>
      <c r="AO56" s="207"/>
      <c r="AP56" s="207"/>
      <c r="AQ56" s="203"/>
      <c r="AR56" s="203"/>
      <c r="AS56" s="203"/>
      <c r="AT56" s="203"/>
      <c r="AU56" s="203"/>
      <c r="AV56" s="203"/>
      <c r="AW56" s="203"/>
      <c r="AX56" s="203"/>
      <c r="AY56" s="203"/>
    </row>
    <row r="57" spans="1:51" s="204" customFormat="1" ht="12.75" customHeight="1">
      <c r="A57" s="843" t="str">
        <f>A42</f>
        <v>15. Realizar seguimiento al cumplimiento de las horas de formación y mentoría personalizada y las acciones definidas en los planes de fortalecimiento organizativo de las organizaciones productivas de mujeres cuidadoras asociadas beneficiarias del piloto.</v>
      </c>
      <c r="B57" s="843">
        <f>B42</f>
        <v>0.1</v>
      </c>
      <c r="C57" s="206" t="s">
        <v>64</v>
      </c>
      <c r="D57" s="365">
        <f>D42*$B$42/$P$42</f>
        <v>0</v>
      </c>
      <c r="E57" s="365">
        <f t="shared" ref="E57:O57" si="11">E42*$B$42/$P$42</f>
        <v>0</v>
      </c>
      <c r="F57" s="365">
        <f t="shared" si="11"/>
        <v>1.4285714285714289E-2</v>
      </c>
      <c r="G57" s="365">
        <f t="shared" si="11"/>
        <v>1.4285714285714289E-2</v>
      </c>
      <c r="H57" s="365">
        <f t="shared" si="11"/>
        <v>1.4285714285714289E-2</v>
      </c>
      <c r="I57" s="365">
        <f t="shared" si="11"/>
        <v>1.4285714285714289E-2</v>
      </c>
      <c r="J57" s="365">
        <f t="shared" si="11"/>
        <v>1.4285714285714289E-2</v>
      </c>
      <c r="K57" s="365">
        <f t="shared" si="11"/>
        <v>1.4285714285714289E-2</v>
      </c>
      <c r="L57" s="365">
        <f t="shared" si="11"/>
        <v>1.4285714285714289E-2</v>
      </c>
      <c r="M57" s="365">
        <f t="shared" si="11"/>
        <v>0</v>
      </c>
      <c r="N57" s="365">
        <f t="shared" si="11"/>
        <v>0</v>
      </c>
      <c r="O57" s="365">
        <f t="shared" si="11"/>
        <v>0</v>
      </c>
      <c r="P57" s="361">
        <f t="shared" ref="P57:P60" si="12">SUM(D57:O57)</f>
        <v>0.10000000000000002</v>
      </c>
      <c r="Q57" s="207"/>
      <c r="R57" s="207"/>
      <c r="S57" s="207"/>
      <c r="T57" s="207"/>
      <c r="U57" s="207"/>
      <c r="V57" s="207"/>
      <c r="W57" s="207"/>
      <c r="X57" s="207"/>
      <c r="Y57" s="207"/>
      <c r="Z57" s="207"/>
      <c r="AA57" s="207"/>
      <c r="AB57" s="207"/>
      <c r="AC57" s="207"/>
      <c r="AD57" s="207"/>
      <c r="AE57" s="207"/>
      <c r="AF57" s="207"/>
      <c r="AG57" s="207"/>
      <c r="AH57" s="644"/>
      <c r="AI57" s="644"/>
      <c r="AJ57" s="644"/>
      <c r="AK57" s="644"/>
      <c r="AL57" s="644"/>
      <c r="AM57" s="207"/>
      <c r="AN57" s="207"/>
      <c r="AO57" s="207"/>
      <c r="AP57" s="207"/>
      <c r="AQ57" s="203"/>
      <c r="AR57" s="203"/>
      <c r="AS57" s="203"/>
      <c r="AT57" s="203"/>
      <c r="AU57" s="203"/>
      <c r="AV57" s="203"/>
      <c r="AW57" s="203"/>
      <c r="AX57" s="203"/>
      <c r="AY57" s="203"/>
    </row>
    <row r="58" spans="1:51" s="204" customFormat="1" ht="12.75" customHeight="1">
      <c r="A58" s="844"/>
      <c r="B58" s="844"/>
      <c r="C58" s="208" t="s">
        <v>67</v>
      </c>
      <c r="D58" s="366">
        <f>D43*$B$42/$P$42</f>
        <v>0</v>
      </c>
      <c r="E58" s="366">
        <f t="shared" ref="E58:O58" si="13">E43*$B$42/$P$42</f>
        <v>0</v>
      </c>
      <c r="F58" s="366">
        <f t="shared" si="13"/>
        <v>0</v>
      </c>
      <c r="G58" s="366">
        <f t="shared" si="13"/>
        <v>0</v>
      </c>
      <c r="H58" s="366">
        <f t="shared" si="13"/>
        <v>0</v>
      </c>
      <c r="I58" s="366">
        <f t="shared" si="13"/>
        <v>0</v>
      </c>
      <c r="J58" s="366">
        <f t="shared" si="13"/>
        <v>0</v>
      </c>
      <c r="K58" s="366">
        <f t="shared" si="13"/>
        <v>0</v>
      </c>
      <c r="L58" s="366">
        <f t="shared" si="13"/>
        <v>0</v>
      </c>
      <c r="M58" s="366">
        <f t="shared" si="13"/>
        <v>0</v>
      </c>
      <c r="N58" s="366">
        <f t="shared" si="13"/>
        <v>0</v>
      </c>
      <c r="O58" s="366">
        <f t="shared" si="13"/>
        <v>0</v>
      </c>
      <c r="P58" s="210">
        <f t="shared" si="12"/>
        <v>0</v>
      </c>
      <c r="Q58" s="207"/>
      <c r="R58" s="207"/>
      <c r="S58" s="207"/>
      <c r="T58" s="207"/>
      <c r="U58" s="207"/>
      <c r="V58" s="207"/>
      <c r="W58" s="207"/>
      <c r="X58" s="207"/>
      <c r="Y58" s="207"/>
      <c r="Z58" s="207"/>
      <c r="AA58" s="207"/>
      <c r="AB58" s="207"/>
      <c r="AC58" s="207"/>
      <c r="AD58" s="207"/>
      <c r="AE58" s="207"/>
      <c r="AF58" s="207"/>
      <c r="AG58" s="207"/>
      <c r="AH58" s="644"/>
      <c r="AI58" s="644"/>
      <c r="AJ58" s="644"/>
      <c r="AK58" s="644"/>
      <c r="AL58" s="644"/>
      <c r="AM58" s="207"/>
      <c r="AN58" s="207"/>
      <c r="AO58" s="207"/>
      <c r="AP58" s="207"/>
      <c r="AQ58" s="203"/>
      <c r="AR58" s="203"/>
      <c r="AS58" s="203"/>
      <c r="AT58" s="203"/>
      <c r="AU58" s="203"/>
      <c r="AV58" s="203"/>
      <c r="AW58" s="203"/>
      <c r="AX58" s="203"/>
      <c r="AY58" s="203"/>
    </row>
    <row r="59" spans="1:51" s="204" customFormat="1" ht="12.75" customHeight="1">
      <c r="A59" s="843" t="str">
        <f>A44</f>
        <v>16. Supervisar el cumplimiento de los objetivos propuestos en el piloto.</v>
      </c>
      <c r="B59" s="843">
        <f>B44</f>
        <v>0.05</v>
      </c>
      <c r="C59" s="206" t="s">
        <v>64</v>
      </c>
      <c r="D59" s="365">
        <f>D44*$B$44/$P$44</f>
        <v>0</v>
      </c>
      <c r="E59" s="365">
        <f t="shared" ref="E59:O59" si="14">E44*$B$44/$P$44</f>
        <v>5.0000000000000018E-3</v>
      </c>
      <c r="F59" s="365">
        <f t="shared" si="14"/>
        <v>5.0000000000000018E-3</v>
      </c>
      <c r="G59" s="365">
        <f t="shared" si="14"/>
        <v>5.0000000000000018E-3</v>
      </c>
      <c r="H59" s="365">
        <f t="shared" si="14"/>
        <v>5.0000000000000018E-3</v>
      </c>
      <c r="I59" s="365">
        <f t="shared" si="14"/>
        <v>5.0000000000000018E-3</v>
      </c>
      <c r="J59" s="365">
        <f t="shared" si="14"/>
        <v>5.0000000000000018E-3</v>
      </c>
      <c r="K59" s="365">
        <f t="shared" si="14"/>
        <v>5.0000000000000018E-3</v>
      </c>
      <c r="L59" s="365">
        <f t="shared" si="14"/>
        <v>5.0000000000000018E-3</v>
      </c>
      <c r="M59" s="365">
        <f t="shared" si="14"/>
        <v>5.0000000000000018E-3</v>
      </c>
      <c r="N59" s="365">
        <f t="shared" si="14"/>
        <v>5.0000000000000018E-3</v>
      </c>
      <c r="O59" s="365">
        <f t="shared" si="14"/>
        <v>0</v>
      </c>
      <c r="P59" s="361">
        <f t="shared" si="12"/>
        <v>5.0000000000000024E-2</v>
      </c>
      <c r="Q59" s="207"/>
      <c r="R59" s="207"/>
      <c r="S59" s="207"/>
      <c r="T59" s="207"/>
      <c r="U59" s="207"/>
      <c r="V59" s="207"/>
      <c r="W59" s="207"/>
      <c r="X59" s="207"/>
      <c r="Y59" s="207"/>
      <c r="Z59" s="207"/>
      <c r="AA59" s="207"/>
      <c r="AB59" s="207"/>
      <c r="AC59" s="207"/>
      <c r="AD59" s="207"/>
      <c r="AE59" s="207"/>
      <c r="AF59" s="207"/>
      <c r="AG59" s="207"/>
      <c r="AH59" s="644"/>
      <c r="AI59" s="644"/>
      <c r="AJ59" s="644"/>
      <c r="AK59" s="644"/>
      <c r="AL59" s="644"/>
      <c r="AM59" s="207"/>
      <c r="AN59" s="207"/>
      <c r="AO59" s="207"/>
      <c r="AP59" s="207"/>
      <c r="AQ59" s="203"/>
      <c r="AR59" s="203"/>
      <c r="AS59" s="203"/>
      <c r="AT59" s="203"/>
      <c r="AU59" s="203"/>
      <c r="AV59" s="203"/>
      <c r="AW59" s="203"/>
      <c r="AX59" s="203"/>
      <c r="AY59" s="203"/>
    </row>
    <row r="60" spans="1:51" s="204" customFormat="1" ht="12.75" customHeight="1">
      <c r="A60" s="844"/>
      <c r="B60" s="844"/>
      <c r="C60" s="208" t="s">
        <v>67</v>
      </c>
      <c r="D60" s="366">
        <f>D45*$B$44/$P$44</f>
        <v>0</v>
      </c>
      <c r="E60" s="366">
        <f t="shared" ref="E60:O60" si="15">E45*$B$44/$P$44</f>
        <v>5.0000000000000018E-3</v>
      </c>
      <c r="F60" s="366">
        <f t="shared" si="15"/>
        <v>5.0000000000000018E-3</v>
      </c>
      <c r="G60" s="366">
        <f t="shared" si="15"/>
        <v>5.0000000000000018E-3</v>
      </c>
      <c r="H60" s="366">
        <f t="shared" si="15"/>
        <v>0</v>
      </c>
      <c r="I60" s="366">
        <f t="shared" si="15"/>
        <v>0</v>
      </c>
      <c r="J60" s="366">
        <f t="shared" si="15"/>
        <v>0</v>
      </c>
      <c r="K60" s="366">
        <f t="shared" si="15"/>
        <v>0</v>
      </c>
      <c r="L60" s="366">
        <f t="shared" si="15"/>
        <v>0</v>
      </c>
      <c r="M60" s="366">
        <f t="shared" si="15"/>
        <v>0</v>
      </c>
      <c r="N60" s="366">
        <f t="shared" si="15"/>
        <v>0</v>
      </c>
      <c r="O60" s="366">
        <f t="shared" si="15"/>
        <v>0</v>
      </c>
      <c r="P60" s="210">
        <f t="shared" si="12"/>
        <v>1.5000000000000006E-2</v>
      </c>
      <c r="Q60" s="207"/>
      <c r="R60" s="207"/>
      <c r="S60" s="207"/>
      <c r="T60" s="207"/>
      <c r="U60" s="207"/>
      <c r="V60" s="207"/>
      <c r="W60" s="207"/>
      <c r="X60" s="207"/>
      <c r="Y60" s="207"/>
      <c r="Z60" s="207"/>
      <c r="AA60" s="207"/>
      <c r="AB60" s="207"/>
      <c r="AC60" s="207"/>
      <c r="AD60" s="207"/>
      <c r="AE60" s="207"/>
      <c r="AF60" s="207"/>
      <c r="AG60" s="207"/>
      <c r="AH60" s="644"/>
      <c r="AI60" s="644"/>
      <c r="AJ60" s="644"/>
      <c r="AK60" s="644"/>
      <c r="AL60" s="644"/>
      <c r="AM60" s="207"/>
      <c r="AN60" s="207"/>
      <c r="AO60" s="207"/>
      <c r="AP60" s="207"/>
      <c r="AQ60" s="203"/>
      <c r="AR60" s="203"/>
      <c r="AS60" s="203"/>
      <c r="AT60" s="203"/>
      <c r="AU60" s="203"/>
      <c r="AV60" s="203"/>
      <c r="AW60" s="203"/>
      <c r="AX60" s="203"/>
      <c r="AY60" s="203"/>
    </row>
    <row r="61" spans="1:51" s="204" customFormat="1" ht="15.75" customHeight="1">
      <c r="A61" s="207"/>
      <c r="B61" s="207"/>
      <c r="C61" s="211"/>
      <c r="D61" s="212">
        <f>D54+D56+D58+D60</f>
        <v>0</v>
      </c>
      <c r="E61" s="212">
        <f t="shared" ref="E61:O61" si="16">E54+E56+E58+E60</f>
        <v>7.1000000000000008E-2</v>
      </c>
      <c r="F61" s="212">
        <f t="shared" si="16"/>
        <v>7.1333000000000008E-2</v>
      </c>
      <c r="G61" s="212">
        <f t="shared" si="16"/>
        <v>5.3330000000000002E-2</v>
      </c>
      <c r="H61" s="212">
        <f t="shared" si="16"/>
        <v>0</v>
      </c>
      <c r="I61" s="212">
        <f t="shared" si="16"/>
        <v>0</v>
      </c>
      <c r="J61" s="212">
        <f t="shared" si="16"/>
        <v>0</v>
      </c>
      <c r="K61" s="212">
        <f t="shared" si="16"/>
        <v>0</v>
      </c>
      <c r="L61" s="212">
        <f t="shared" si="16"/>
        <v>0</v>
      </c>
      <c r="M61" s="212">
        <f t="shared" si="16"/>
        <v>0</v>
      </c>
      <c r="N61" s="212">
        <f t="shared" si="16"/>
        <v>0</v>
      </c>
      <c r="O61" s="212">
        <f t="shared" si="16"/>
        <v>0</v>
      </c>
      <c r="P61" s="212">
        <f t="shared" ref="P61" si="17">P53+P55+P57+P59</f>
        <v>0.35000000000000009</v>
      </c>
      <c r="Q61" s="207"/>
      <c r="R61" s="207"/>
      <c r="S61" s="207"/>
      <c r="T61" s="207"/>
      <c r="U61" s="207"/>
      <c r="V61" s="207"/>
      <c r="W61" s="207"/>
      <c r="X61" s="207"/>
      <c r="Y61" s="207"/>
      <c r="Z61" s="207"/>
      <c r="AA61" s="207"/>
      <c r="AB61" s="207"/>
      <c r="AC61" s="207"/>
      <c r="AD61" s="207"/>
      <c r="AE61" s="207"/>
      <c r="AF61" s="207"/>
      <c r="AG61" s="207"/>
      <c r="AH61" s="644"/>
      <c r="AI61" s="644"/>
      <c r="AJ61" s="644"/>
      <c r="AK61" s="644"/>
      <c r="AL61" s="644"/>
      <c r="AM61" s="207"/>
      <c r="AN61" s="207"/>
      <c r="AO61" s="207"/>
      <c r="AP61" s="207"/>
      <c r="AQ61" s="203"/>
      <c r="AR61" s="203"/>
      <c r="AS61" s="203"/>
      <c r="AT61" s="203"/>
      <c r="AU61" s="203"/>
      <c r="AV61" s="203"/>
      <c r="AW61" s="203"/>
      <c r="AX61" s="203"/>
      <c r="AY61" s="203"/>
    </row>
    <row r="62" spans="1:51" s="406" customFormat="1" ht="15.75" customHeight="1">
      <c r="A62" s="214"/>
      <c r="B62" s="214"/>
      <c r="C62" s="403" t="s">
        <v>67</v>
      </c>
      <c r="D62" s="404">
        <f>D61*$W$17/$B$34</f>
        <v>0</v>
      </c>
      <c r="E62" s="404">
        <f t="shared" ref="E62:O62" si="18">E61*$W$17/$B$34</f>
        <v>0.20285714285714285</v>
      </c>
      <c r="F62" s="404">
        <f t="shared" si="18"/>
        <v>0.20380857142857142</v>
      </c>
      <c r="G62" s="404">
        <f t="shared" si="18"/>
        <v>0.15237142857142857</v>
      </c>
      <c r="H62" s="404">
        <f t="shared" si="18"/>
        <v>0</v>
      </c>
      <c r="I62" s="404">
        <f t="shared" si="18"/>
        <v>0</v>
      </c>
      <c r="J62" s="404">
        <f t="shared" si="18"/>
        <v>0</v>
      </c>
      <c r="K62" s="404">
        <f t="shared" si="18"/>
        <v>0</v>
      </c>
      <c r="L62" s="404">
        <f t="shared" si="18"/>
        <v>0</v>
      </c>
      <c r="M62" s="404">
        <f t="shared" si="18"/>
        <v>0</v>
      </c>
      <c r="N62" s="404">
        <f t="shared" si="18"/>
        <v>0</v>
      </c>
      <c r="O62" s="404">
        <f t="shared" si="18"/>
        <v>0</v>
      </c>
      <c r="P62" s="405">
        <f>SUM(D62:O62)</f>
        <v>0.5590371428571429</v>
      </c>
      <c r="Q62" s="213"/>
      <c r="R62" s="214"/>
      <c r="S62" s="214"/>
      <c r="T62" s="214"/>
      <c r="U62" s="214"/>
      <c r="V62" s="214"/>
      <c r="W62" s="214"/>
      <c r="X62" s="214"/>
      <c r="Y62" s="214"/>
      <c r="Z62" s="214"/>
      <c r="AA62" s="214"/>
      <c r="AB62" s="214"/>
      <c r="AC62" s="214"/>
      <c r="AD62" s="214"/>
      <c r="AE62" s="214"/>
      <c r="AF62" s="214"/>
      <c r="AG62" s="214"/>
      <c r="AH62" s="645"/>
      <c r="AI62" s="645"/>
      <c r="AJ62" s="645"/>
      <c r="AK62" s="645"/>
      <c r="AL62" s="645"/>
      <c r="AM62" s="214"/>
      <c r="AN62" s="214"/>
      <c r="AO62" s="214"/>
      <c r="AP62" s="214"/>
      <c r="AQ62" s="214"/>
      <c r="AR62" s="214"/>
      <c r="AS62" s="214"/>
      <c r="AT62" s="214"/>
      <c r="AU62" s="214"/>
      <c r="AV62" s="214"/>
      <c r="AW62" s="214"/>
      <c r="AX62" s="214"/>
      <c r="AY62" s="214"/>
    </row>
    <row r="63" spans="1:51" s="406" customFormat="1" ht="13.5" customHeight="1">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4"/>
      <c r="AE63" s="214"/>
      <c r="AF63" s="214"/>
      <c r="AG63" s="214"/>
      <c r="AH63" s="645"/>
      <c r="AI63" s="645"/>
      <c r="AJ63" s="645"/>
      <c r="AK63" s="645"/>
      <c r="AL63" s="645"/>
      <c r="AM63" s="214"/>
      <c r="AN63" s="214"/>
      <c r="AO63" s="214"/>
      <c r="AP63" s="214"/>
      <c r="AQ63" s="214"/>
      <c r="AR63" s="214"/>
      <c r="AS63" s="214"/>
      <c r="AT63" s="214"/>
      <c r="AU63" s="214"/>
      <c r="AV63" s="214"/>
      <c r="AW63" s="214"/>
      <c r="AX63" s="214"/>
      <c r="AY63" s="214"/>
    </row>
    <row r="64" spans="1:51" s="108" customFormat="1">
      <c r="D64" s="407">
        <f>+D53+D55+D57+D59</f>
        <v>0</v>
      </c>
      <c r="E64" s="407">
        <f t="shared" ref="E64:O64" si="19">+E53+E55+E57+E59</f>
        <v>7.166666666666667E-2</v>
      </c>
      <c r="F64" s="407">
        <f t="shared" si="19"/>
        <v>8.5952380952380961E-2</v>
      </c>
      <c r="G64" s="407">
        <f t="shared" si="19"/>
        <v>8.5952380952380961E-2</v>
      </c>
      <c r="H64" s="407">
        <f t="shared" si="19"/>
        <v>1.9285714285714291E-2</v>
      </c>
      <c r="I64" s="407">
        <f t="shared" si="19"/>
        <v>1.9285714285714291E-2</v>
      </c>
      <c r="J64" s="407">
        <f t="shared" si="19"/>
        <v>1.9285714285714291E-2</v>
      </c>
      <c r="K64" s="407">
        <f t="shared" si="19"/>
        <v>1.9285714285714291E-2</v>
      </c>
      <c r="L64" s="407">
        <f t="shared" si="19"/>
        <v>1.9285714285714291E-2</v>
      </c>
      <c r="M64" s="407">
        <f t="shared" si="19"/>
        <v>5.0000000000000018E-3</v>
      </c>
      <c r="N64" s="407">
        <f t="shared" si="19"/>
        <v>5.0000000000000018E-3</v>
      </c>
      <c r="O64" s="407">
        <f t="shared" si="19"/>
        <v>0</v>
      </c>
      <c r="P64" s="407">
        <f>SUM(D64:O64)</f>
        <v>0.35000000000000009</v>
      </c>
      <c r="AH64" s="646"/>
      <c r="AI64" s="646"/>
      <c r="AJ64" s="646"/>
      <c r="AK64" s="646"/>
      <c r="AL64" s="646"/>
    </row>
    <row r="65" spans="1:51" s="406" customFormat="1" ht="15.75" customHeight="1">
      <c r="A65" s="214"/>
      <c r="B65" s="214"/>
      <c r="C65" s="403" t="s">
        <v>64</v>
      </c>
      <c r="D65" s="404">
        <f>D64*$W$17/$B$34</f>
        <v>0</v>
      </c>
      <c r="E65" s="404">
        <f t="shared" ref="E65:O65" si="20">E64*$W$17/$B$34</f>
        <v>0.20476190476190476</v>
      </c>
      <c r="F65" s="404">
        <f t="shared" si="20"/>
        <v>0.24557823129251702</v>
      </c>
      <c r="G65" s="404">
        <f t="shared" si="20"/>
        <v>0.24557823129251702</v>
      </c>
      <c r="H65" s="404">
        <f t="shared" si="20"/>
        <v>5.5102040816326539E-2</v>
      </c>
      <c r="I65" s="404">
        <f t="shared" si="20"/>
        <v>5.5102040816326539E-2</v>
      </c>
      <c r="J65" s="404">
        <f t="shared" si="20"/>
        <v>5.5102040816326539E-2</v>
      </c>
      <c r="K65" s="404">
        <f t="shared" si="20"/>
        <v>5.5102040816326539E-2</v>
      </c>
      <c r="L65" s="404">
        <f t="shared" si="20"/>
        <v>5.5102040816326539E-2</v>
      </c>
      <c r="M65" s="404">
        <f t="shared" si="20"/>
        <v>1.428571428571429E-2</v>
      </c>
      <c r="N65" s="404">
        <f t="shared" si="20"/>
        <v>1.428571428571429E-2</v>
      </c>
      <c r="O65" s="404">
        <f t="shared" si="20"/>
        <v>0</v>
      </c>
      <c r="P65" s="405">
        <f>SUM(D65:O65)</f>
        <v>1</v>
      </c>
      <c r="Q65" s="213"/>
      <c r="R65" s="214"/>
      <c r="S65" s="214"/>
      <c r="T65" s="214"/>
      <c r="U65" s="214"/>
      <c r="V65" s="214"/>
      <c r="W65" s="214"/>
      <c r="X65" s="214"/>
      <c r="Y65" s="214"/>
      <c r="Z65" s="214"/>
      <c r="AA65" s="214"/>
      <c r="AB65" s="214"/>
      <c r="AC65" s="214"/>
      <c r="AD65" s="214"/>
      <c r="AE65" s="214"/>
      <c r="AF65" s="214"/>
      <c r="AG65" s="214"/>
      <c r="AH65" s="645"/>
      <c r="AI65" s="645"/>
      <c r="AJ65" s="645"/>
      <c r="AK65" s="645"/>
      <c r="AL65" s="645"/>
      <c r="AM65" s="214"/>
      <c r="AN65" s="214"/>
      <c r="AO65" s="214"/>
      <c r="AP65" s="214"/>
      <c r="AQ65" s="214"/>
      <c r="AR65" s="214"/>
      <c r="AS65" s="214"/>
      <c r="AT65" s="214"/>
      <c r="AU65" s="214"/>
      <c r="AV65" s="214"/>
      <c r="AW65" s="214"/>
      <c r="AX65" s="214"/>
      <c r="AY65" s="214"/>
    </row>
  </sheetData>
  <mergeCells count="96">
    <mergeCell ref="C51:P51"/>
    <mergeCell ref="A53:A54"/>
    <mergeCell ref="B53:B54"/>
    <mergeCell ref="A59:A60"/>
    <mergeCell ref="B59:B60"/>
    <mergeCell ref="A55:A56"/>
    <mergeCell ref="B55:B56"/>
    <mergeCell ref="A57:A58"/>
    <mergeCell ref="B57:B58"/>
    <mergeCell ref="A51:A52"/>
    <mergeCell ref="B51:B52"/>
    <mergeCell ref="A42:A43"/>
    <mergeCell ref="B42:B43"/>
    <mergeCell ref="Q42:AD43"/>
    <mergeCell ref="A44:A45"/>
    <mergeCell ref="B44:B45"/>
    <mergeCell ref="Q44:AD45"/>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M7:N7"/>
    <mergeCell ref="C15:K15"/>
    <mergeCell ref="A1:A4"/>
    <mergeCell ref="B1:AA1"/>
    <mergeCell ref="AB1:AD1"/>
    <mergeCell ref="B2:AA2"/>
    <mergeCell ref="AB2:AD2"/>
    <mergeCell ref="B3:AA4"/>
    <mergeCell ref="AB3:AD3"/>
    <mergeCell ref="AB4:AD4"/>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A38:A39"/>
    <mergeCell ref="B38:B39"/>
    <mergeCell ref="Q38:AD39"/>
    <mergeCell ref="A40:A41"/>
    <mergeCell ref="B40:B41"/>
    <mergeCell ref="Q40:AD41"/>
    <mergeCell ref="AF44:AF45"/>
    <mergeCell ref="AF34:AF35"/>
    <mergeCell ref="AF38:AF39"/>
    <mergeCell ref="AF40:AF41"/>
    <mergeCell ref="AF42:AF43"/>
  </mergeCells>
  <dataValidations count="3">
    <dataValidation type="textLength" operator="lessThanOrEqual" allowBlank="1" showInputMessage="1" showErrorMessage="1" errorTitle="Máximo 2.000 caracteres" error="Máximo 2.000 caracteres" sqref="Q38:AD45 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1EB3AD2E-3728-44BB-9ECC-F719FF4D6835}">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771"/>
      <c r="B1" s="774" t="s">
        <v>0</v>
      </c>
      <c r="C1" s="775"/>
      <c r="D1" s="775"/>
      <c r="E1" s="775"/>
      <c r="F1" s="775"/>
      <c r="G1" s="775"/>
      <c r="H1" s="775"/>
      <c r="I1" s="775"/>
      <c r="J1" s="775"/>
      <c r="K1" s="775"/>
      <c r="L1" s="775"/>
      <c r="M1" s="775"/>
      <c r="N1" s="775"/>
      <c r="O1" s="775"/>
      <c r="P1" s="775"/>
      <c r="Q1" s="775"/>
      <c r="R1" s="775"/>
      <c r="S1" s="775"/>
      <c r="T1" s="775"/>
      <c r="U1" s="775"/>
      <c r="V1" s="775"/>
      <c r="W1" s="775"/>
      <c r="X1" s="775"/>
      <c r="Y1" s="776"/>
      <c r="Z1" s="777" t="s">
        <v>1</v>
      </c>
      <c r="AA1" s="778"/>
      <c r="AB1" s="779"/>
    </row>
    <row r="2" spans="1:28" ht="30.75" customHeight="1">
      <c r="A2" s="772"/>
      <c r="B2" s="780" t="s">
        <v>2</v>
      </c>
      <c r="C2" s="781"/>
      <c r="D2" s="781"/>
      <c r="E2" s="781"/>
      <c r="F2" s="781"/>
      <c r="G2" s="781"/>
      <c r="H2" s="781"/>
      <c r="I2" s="781"/>
      <c r="J2" s="781"/>
      <c r="K2" s="781"/>
      <c r="L2" s="781"/>
      <c r="M2" s="781"/>
      <c r="N2" s="781"/>
      <c r="O2" s="781"/>
      <c r="P2" s="781"/>
      <c r="Q2" s="781"/>
      <c r="R2" s="781"/>
      <c r="S2" s="781"/>
      <c r="T2" s="781"/>
      <c r="U2" s="781"/>
      <c r="V2" s="781"/>
      <c r="W2" s="781"/>
      <c r="X2" s="781"/>
      <c r="Y2" s="782"/>
      <c r="Z2" s="921" t="s">
        <v>141</v>
      </c>
      <c r="AA2" s="922"/>
      <c r="AB2" s="923"/>
    </row>
    <row r="3" spans="1:28" ht="24" customHeight="1">
      <c r="A3" s="772"/>
      <c r="B3" s="751" t="s">
        <v>4</v>
      </c>
      <c r="C3" s="752"/>
      <c r="D3" s="752"/>
      <c r="E3" s="752"/>
      <c r="F3" s="752"/>
      <c r="G3" s="752"/>
      <c r="H3" s="752"/>
      <c r="I3" s="752"/>
      <c r="J3" s="752"/>
      <c r="K3" s="752"/>
      <c r="L3" s="752"/>
      <c r="M3" s="752"/>
      <c r="N3" s="752"/>
      <c r="O3" s="752"/>
      <c r="P3" s="752"/>
      <c r="Q3" s="752"/>
      <c r="R3" s="752"/>
      <c r="S3" s="752"/>
      <c r="T3" s="752"/>
      <c r="U3" s="752"/>
      <c r="V3" s="752"/>
      <c r="W3" s="752"/>
      <c r="X3" s="752"/>
      <c r="Y3" s="753"/>
      <c r="Z3" s="921" t="s">
        <v>142</v>
      </c>
      <c r="AA3" s="922"/>
      <c r="AB3" s="923"/>
    </row>
    <row r="4" spans="1:28" ht="15.75" customHeight="1" thickBot="1">
      <c r="A4" s="773"/>
      <c r="B4" s="754"/>
      <c r="C4" s="755"/>
      <c r="D4" s="755"/>
      <c r="E4" s="755"/>
      <c r="F4" s="755"/>
      <c r="G4" s="755"/>
      <c r="H4" s="755"/>
      <c r="I4" s="755"/>
      <c r="J4" s="755"/>
      <c r="K4" s="755"/>
      <c r="L4" s="755"/>
      <c r="M4" s="755"/>
      <c r="N4" s="755"/>
      <c r="O4" s="755"/>
      <c r="P4" s="755"/>
      <c r="Q4" s="755"/>
      <c r="R4" s="755"/>
      <c r="S4" s="755"/>
      <c r="T4" s="755"/>
      <c r="U4" s="755"/>
      <c r="V4" s="755"/>
      <c r="W4" s="755"/>
      <c r="X4" s="755"/>
      <c r="Y4" s="756"/>
      <c r="Z4" s="786" t="s">
        <v>6</v>
      </c>
      <c r="AA4" s="787"/>
      <c r="AB4" s="788"/>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742" t="s">
        <v>15</v>
      </c>
      <c r="B7" s="743"/>
      <c r="C7" s="748"/>
      <c r="D7" s="749"/>
      <c r="E7" s="749"/>
      <c r="F7" s="749"/>
      <c r="G7" s="749"/>
      <c r="H7" s="749"/>
      <c r="I7" s="749"/>
      <c r="J7" s="749"/>
      <c r="K7" s="750"/>
      <c r="L7" s="62"/>
      <c r="M7" s="63"/>
      <c r="N7" s="63"/>
      <c r="O7" s="63"/>
      <c r="P7" s="63"/>
      <c r="Q7" s="64"/>
      <c r="R7" s="853" t="s">
        <v>9</v>
      </c>
      <c r="S7" s="803"/>
      <c r="T7" s="804"/>
      <c r="U7" s="962" t="s">
        <v>143</v>
      </c>
      <c r="V7" s="764"/>
      <c r="W7" s="853" t="s">
        <v>10</v>
      </c>
      <c r="X7" s="804"/>
      <c r="Y7" s="769" t="s">
        <v>11</v>
      </c>
      <c r="Z7" s="770"/>
      <c r="AA7" s="732"/>
      <c r="AB7" s="733"/>
    </row>
    <row r="8" spans="1:28" ht="15" customHeight="1">
      <c r="A8" s="744"/>
      <c r="B8" s="745"/>
      <c r="C8" s="751"/>
      <c r="D8" s="752"/>
      <c r="E8" s="752"/>
      <c r="F8" s="752"/>
      <c r="G8" s="752"/>
      <c r="H8" s="752"/>
      <c r="I8" s="752"/>
      <c r="J8" s="752"/>
      <c r="K8" s="753"/>
      <c r="L8" s="62"/>
      <c r="M8" s="63"/>
      <c r="N8" s="63"/>
      <c r="O8" s="63"/>
      <c r="P8" s="63"/>
      <c r="Q8" s="64"/>
      <c r="R8" s="713"/>
      <c r="S8" s="714"/>
      <c r="T8" s="715"/>
      <c r="U8" s="765"/>
      <c r="V8" s="766"/>
      <c r="W8" s="713"/>
      <c r="X8" s="715"/>
      <c r="Y8" s="734" t="s">
        <v>12</v>
      </c>
      <c r="Z8" s="735"/>
      <c r="AA8" s="736"/>
      <c r="AB8" s="737"/>
    </row>
    <row r="9" spans="1:28" ht="15" customHeight="1" thickBot="1">
      <c r="A9" s="746"/>
      <c r="B9" s="747"/>
      <c r="C9" s="754"/>
      <c r="D9" s="755"/>
      <c r="E9" s="755"/>
      <c r="F9" s="755"/>
      <c r="G9" s="755"/>
      <c r="H9" s="755"/>
      <c r="I9" s="755"/>
      <c r="J9" s="755"/>
      <c r="K9" s="756"/>
      <c r="L9" s="62"/>
      <c r="M9" s="63"/>
      <c r="N9" s="63"/>
      <c r="O9" s="63"/>
      <c r="P9" s="63"/>
      <c r="Q9" s="64"/>
      <c r="R9" s="924"/>
      <c r="S9" s="925"/>
      <c r="T9" s="926"/>
      <c r="U9" s="767"/>
      <c r="V9" s="768"/>
      <c r="W9" s="924"/>
      <c r="X9" s="926"/>
      <c r="Y9" s="738" t="s">
        <v>13</v>
      </c>
      <c r="Z9" s="739"/>
      <c r="AA9" s="740"/>
      <c r="AB9" s="741"/>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719" t="s">
        <v>17</v>
      </c>
      <c r="B11" s="720"/>
      <c r="C11" s="963"/>
      <c r="D11" s="964"/>
      <c r="E11" s="964"/>
      <c r="F11" s="964"/>
      <c r="G11" s="964"/>
      <c r="H11" s="964"/>
      <c r="I11" s="964"/>
      <c r="J11" s="964"/>
      <c r="K11" s="965"/>
      <c r="L11" s="72"/>
      <c r="M11" s="710" t="s">
        <v>19</v>
      </c>
      <c r="N11" s="711"/>
      <c r="O11" s="711"/>
      <c r="P11" s="711"/>
      <c r="Q11" s="712"/>
      <c r="R11" s="729"/>
      <c r="S11" s="730"/>
      <c r="T11" s="730"/>
      <c r="U11" s="730"/>
      <c r="V11" s="731"/>
      <c r="W11" s="710" t="s">
        <v>21</v>
      </c>
      <c r="X11" s="712"/>
      <c r="Y11" s="726"/>
      <c r="Z11" s="727"/>
      <c r="AA11" s="727"/>
      <c r="AB11" s="728"/>
    </row>
    <row r="12" spans="1:28" ht="9" customHeight="1" thickBot="1">
      <c r="A12" s="59"/>
      <c r="B12" s="54"/>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3"/>
      <c r="AB12" s="74"/>
    </row>
    <row r="13" spans="1:28" s="76" customFormat="1" ht="37.5" customHeight="1" thickBot="1">
      <c r="A13" s="719" t="s">
        <v>23</v>
      </c>
      <c r="B13" s="720"/>
      <c r="C13" s="798"/>
      <c r="D13" s="799"/>
      <c r="E13" s="799"/>
      <c r="F13" s="799"/>
      <c r="G13" s="799"/>
      <c r="H13" s="799"/>
      <c r="I13" s="799"/>
      <c r="J13" s="799"/>
      <c r="K13" s="799"/>
      <c r="L13" s="799"/>
      <c r="M13" s="799"/>
      <c r="N13" s="799"/>
      <c r="O13" s="799"/>
      <c r="P13" s="799"/>
      <c r="Q13" s="800"/>
      <c r="R13" s="54"/>
      <c r="S13" s="930" t="s">
        <v>144</v>
      </c>
      <c r="T13" s="930"/>
      <c r="U13" s="75"/>
      <c r="V13" s="929" t="s">
        <v>26</v>
      </c>
      <c r="W13" s="930"/>
      <c r="X13" s="930"/>
      <c r="Y13" s="930"/>
      <c r="Z13" s="54"/>
      <c r="AA13" s="708"/>
      <c r="AB13" s="709"/>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742" t="s">
        <v>7</v>
      </c>
      <c r="B15" s="743"/>
      <c r="C15" s="942" t="s">
        <v>145</v>
      </c>
      <c r="D15" s="80"/>
      <c r="E15" s="80"/>
      <c r="F15" s="80"/>
      <c r="G15" s="80"/>
      <c r="H15" s="80"/>
      <c r="I15" s="80"/>
      <c r="J15" s="70"/>
      <c r="K15" s="81"/>
      <c r="L15" s="70"/>
      <c r="M15" s="60"/>
      <c r="N15" s="60"/>
      <c r="O15" s="60"/>
      <c r="P15" s="60"/>
      <c r="Q15" s="931" t="s">
        <v>27</v>
      </c>
      <c r="R15" s="932"/>
      <c r="S15" s="932"/>
      <c r="T15" s="932"/>
      <c r="U15" s="932"/>
      <c r="V15" s="932"/>
      <c r="W15" s="932"/>
      <c r="X15" s="932"/>
      <c r="Y15" s="932"/>
      <c r="Z15" s="932"/>
      <c r="AA15" s="932"/>
      <c r="AB15" s="933"/>
    </row>
    <row r="16" spans="1:28" ht="35.25" customHeight="1" thickBot="1">
      <c r="A16" s="746"/>
      <c r="B16" s="747"/>
      <c r="C16" s="943"/>
      <c r="D16" s="80"/>
      <c r="E16" s="80"/>
      <c r="F16" s="80"/>
      <c r="G16" s="80"/>
      <c r="H16" s="80"/>
      <c r="I16" s="80"/>
      <c r="J16" s="70"/>
      <c r="K16" s="70"/>
      <c r="L16" s="70"/>
      <c r="M16" s="60"/>
      <c r="N16" s="60"/>
      <c r="O16" s="60"/>
      <c r="P16" s="60"/>
      <c r="Q16" s="956" t="s">
        <v>146</v>
      </c>
      <c r="R16" s="957"/>
      <c r="S16" s="957"/>
      <c r="T16" s="957"/>
      <c r="U16" s="957"/>
      <c r="V16" s="958"/>
      <c r="W16" s="960" t="s">
        <v>147</v>
      </c>
      <c r="X16" s="957"/>
      <c r="Y16" s="957"/>
      <c r="Z16" s="957"/>
      <c r="AA16" s="957"/>
      <c r="AB16" s="961"/>
    </row>
    <row r="17" spans="1:39" ht="27" customHeight="1">
      <c r="A17" s="82"/>
      <c r="B17" s="60"/>
      <c r="C17" s="60"/>
      <c r="D17" s="80"/>
      <c r="E17" s="80"/>
      <c r="F17" s="80"/>
      <c r="G17" s="80"/>
      <c r="H17" s="80"/>
      <c r="I17" s="80"/>
      <c r="J17" s="80"/>
      <c r="K17" s="80"/>
      <c r="L17" s="80"/>
      <c r="M17" s="60"/>
      <c r="N17" s="60"/>
      <c r="O17" s="60"/>
      <c r="P17" s="60"/>
      <c r="Q17" s="969" t="s">
        <v>148</v>
      </c>
      <c r="R17" s="970"/>
      <c r="S17" s="916"/>
      <c r="T17" s="917" t="s">
        <v>149</v>
      </c>
      <c r="U17" s="954"/>
      <c r="V17" s="955"/>
      <c r="W17" s="915" t="s">
        <v>148</v>
      </c>
      <c r="X17" s="916"/>
      <c r="Y17" s="915" t="s">
        <v>150</v>
      </c>
      <c r="Z17" s="916"/>
      <c r="AA17" s="917" t="s">
        <v>151</v>
      </c>
      <c r="AB17" s="918"/>
      <c r="AC17" s="83"/>
      <c r="AD17" s="83"/>
    </row>
    <row r="18" spans="1:39" ht="27" customHeight="1">
      <c r="A18" s="82"/>
      <c r="B18" s="60"/>
      <c r="C18" s="60"/>
      <c r="D18" s="80"/>
      <c r="E18" s="80"/>
      <c r="F18" s="80"/>
      <c r="G18" s="80"/>
      <c r="H18" s="80"/>
      <c r="I18" s="80"/>
      <c r="J18" s="80"/>
      <c r="K18" s="80"/>
      <c r="L18" s="80"/>
      <c r="M18" s="60"/>
      <c r="N18" s="60"/>
      <c r="O18" s="60"/>
      <c r="P18" s="60"/>
      <c r="Q18" s="156"/>
      <c r="R18" s="157"/>
      <c r="S18" s="158"/>
      <c r="T18" s="917"/>
      <c r="U18" s="954"/>
      <c r="V18" s="955"/>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966"/>
      <c r="R19" s="967"/>
      <c r="S19" s="968"/>
      <c r="T19" s="973"/>
      <c r="U19" s="967"/>
      <c r="V19" s="968"/>
      <c r="W19" s="934"/>
      <c r="X19" s="935"/>
      <c r="Y19" s="919"/>
      <c r="Z19" s="920"/>
      <c r="AA19" s="971"/>
      <c r="AB19" s="972"/>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697" t="s">
        <v>48</v>
      </c>
      <c r="B21" s="698"/>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700"/>
    </row>
    <row r="22" spans="1:39" ht="15" customHeight="1">
      <c r="A22" s="701" t="s">
        <v>49</v>
      </c>
      <c r="B22" s="703" t="s">
        <v>50</v>
      </c>
      <c r="C22" s="704"/>
      <c r="D22" s="705" t="s">
        <v>152</v>
      </c>
      <c r="E22" s="706"/>
      <c r="F22" s="706"/>
      <c r="G22" s="706"/>
      <c r="H22" s="706"/>
      <c r="I22" s="706"/>
      <c r="J22" s="706"/>
      <c r="K22" s="706"/>
      <c r="L22" s="706"/>
      <c r="M22" s="706"/>
      <c r="N22" s="706"/>
      <c r="O22" s="707"/>
      <c r="P22" s="683" t="s">
        <v>41</v>
      </c>
      <c r="Q22" s="683" t="s">
        <v>52</v>
      </c>
      <c r="R22" s="683"/>
      <c r="S22" s="683"/>
      <c r="T22" s="683"/>
      <c r="U22" s="683"/>
      <c r="V22" s="683"/>
      <c r="W22" s="683"/>
      <c r="X22" s="683"/>
      <c r="Y22" s="683"/>
      <c r="Z22" s="683"/>
      <c r="AA22" s="683"/>
      <c r="AB22" s="693"/>
    </row>
    <row r="23" spans="1:39" ht="27" customHeight="1">
      <c r="A23" s="702"/>
      <c r="B23" s="670"/>
      <c r="C23" s="694"/>
      <c r="D23" s="88" t="s">
        <v>30</v>
      </c>
      <c r="E23" s="88" t="s">
        <v>31</v>
      </c>
      <c r="F23" s="88" t="s">
        <v>8</v>
      </c>
      <c r="G23" s="88" t="s">
        <v>32</v>
      </c>
      <c r="H23" s="88" t="s">
        <v>33</v>
      </c>
      <c r="I23" s="88" t="s">
        <v>34</v>
      </c>
      <c r="J23" s="88" t="s">
        <v>35</v>
      </c>
      <c r="K23" s="88" t="s">
        <v>36</v>
      </c>
      <c r="L23" s="88" t="s">
        <v>37</v>
      </c>
      <c r="M23" s="88" t="s">
        <v>38</v>
      </c>
      <c r="N23" s="88" t="s">
        <v>39</v>
      </c>
      <c r="O23" s="88" t="s">
        <v>40</v>
      </c>
      <c r="P23" s="707"/>
      <c r="Q23" s="683"/>
      <c r="R23" s="683"/>
      <c r="S23" s="683"/>
      <c r="T23" s="683"/>
      <c r="U23" s="683"/>
      <c r="V23" s="683"/>
      <c r="W23" s="683"/>
      <c r="X23" s="683"/>
      <c r="Y23" s="683"/>
      <c r="Z23" s="683"/>
      <c r="AA23" s="683"/>
      <c r="AB23" s="693"/>
    </row>
    <row r="24" spans="1:39" ht="42" customHeight="1" thickBot="1">
      <c r="A24" s="85"/>
      <c r="B24" s="805"/>
      <c r="C24" s="806"/>
      <c r="D24" s="89"/>
      <c r="E24" s="89"/>
      <c r="F24" s="89"/>
      <c r="G24" s="89"/>
      <c r="H24" s="89"/>
      <c r="I24" s="89"/>
      <c r="J24" s="89"/>
      <c r="K24" s="89"/>
      <c r="L24" s="89"/>
      <c r="M24" s="89"/>
      <c r="N24" s="89"/>
      <c r="O24" s="89"/>
      <c r="P24" s="86">
        <f>SUM(D24:O24)</f>
        <v>0</v>
      </c>
      <c r="Q24" s="913" t="s">
        <v>153</v>
      </c>
      <c r="R24" s="913"/>
      <c r="S24" s="913"/>
      <c r="T24" s="913"/>
      <c r="U24" s="913"/>
      <c r="V24" s="913"/>
      <c r="W24" s="913"/>
      <c r="X24" s="913"/>
      <c r="Y24" s="913"/>
      <c r="Z24" s="913"/>
      <c r="AA24" s="913"/>
      <c r="AB24" s="914"/>
    </row>
    <row r="25" spans="1:39" ht="21.95" customHeight="1">
      <c r="A25" s="688" t="s">
        <v>53</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90"/>
    </row>
    <row r="26" spans="1:39" ht="23.1" customHeight="1">
      <c r="A26" s="691" t="s">
        <v>54</v>
      </c>
      <c r="B26" s="683" t="s">
        <v>55</v>
      </c>
      <c r="C26" s="683" t="s">
        <v>50</v>
      </c>
      <c r="D26" s="683" t="s">
        <v>56</v>
      </c>
      <c r="E26" s="683"/>
      <c r="F26" s="683"/>
      <c r="G26" s="683"/>
      <c r="H26" s="683"/>
      <c r="I26" s="683"/>
      <c r="J26" s="683"/>
      <c r="K26" s="683"/>
      <c r="L26" s="683"/>
      <c r="M26" s="683"/>
      <c r="N26" s="683"/>
      <c r="O26" s="683"/>
      <c r="P26" s="683"/>
      <c r="Q26" s="683" t="s">
        <v>57</v>
      </c>
      <c r="R26" s="683"/>
      <c r="S26" s="683"/>
      <c r="T26" s="683"/>
      <c r="U26" s="683"/>
      <c r="V26" s="683"/>
      <c r="W26" s="683"/>
      <c r="X26" s="683"/>
      <c r="Y26" s="683"/>
      <c r="Z26" s="683"/>
      <c r="AA26" s="683"/>
      <c r="AB26" s="693"/>
      <c r="AE26" s="87"/>
      <c r="AF26" s="87"/>
      <c r="AG26" s="87"/>
      <c r="AH26" s="87"/>
      <c r="AI26" s="87"/>
      <c r="AJ26" s="87"/>
      <c r="AK26" s="87"/>
      <c r="AL26" s="87"/>
      <c r="AM26" s="87"/>
    </row>
    <row r="27" spans="1:39" ht="23.1" customHeight="1">
      <c r="A27" s="691"/>
      <c r="B27" s="683"/>
      <c r="C27" s="692"/>
      <c r="D27" s="88" t="s">
        <v>30</v>
      </c>
      <c r="E27" s="88" t="s">
        <v>31</v>
      </c>
      <c r="F27" s="88" t="s">
        <v>8</v>
      </c>
      <c r="G27" s="88" t="s">
        <v>32</v>
      </c>
      <c r="H27" s="88" t="s">
        <v>33</v>
      </c>
      <c r="I27" s="88" t="s">
        <v>34</v>
      </c>
      <c r="J27" s="88" t="s">
        <v>35</v>
      </c>
      <c r="K27" s="88" t="s">
        <v>36</v>
      </c>
      <c r="L27" s="88" t="s">
        <v>37</v>
      </c>
      <c r="M27" s="88" t="s">
        <v>38</v>
      </c>
      <c r="N27" s="88" t="s">
        <v>39</v>
      </c>
      <c r="O27" s="88" t="s">
        <v>40</v>
      </c>
      <c r="P27" s="88" t="s">
        <v>41</v>
      </c>
      <c r="Q27" s="670" t="s">
        <v>58</v>
      </c>
      <c r="R27" s="671"/>
      <c r="S27" s="671"/>
      <c r="T27" s="694"/>
      <c r="U27" s="670" t="s">
        <v>59</v>
      </c>
      <c r="V27" s="671"/>
      <c r="W27" s="671"/>
      <c r="X27" s="694"/>
      <c r="Y27" s="670" t="s">
        <v>60</v>
      </c>
      <c r="Z27" s="671"/>
      <c r="AA27" s="671"/>
      <c r="AB27" s="672"/>
      <c r="AE27" s="87"/>
      <c r="AF27" s="87"/>
      <c r="AG27" s="87"/>
      <c r="AH27" s="87"/>
      <c r="AI27" s="87"/>
      <c r="AJ27" s="87"/>
      <c r="AK27" s="87"/>
      <c r="AL27" s="87"/>
      <c r="AM27" s="87"/>
    </row>
    <row r="28" spans="1:39" ht="33" customHeight="1">
      <c r="A28" s="911"/>
      <c r="B28" s="959"/>
      <c r="C28" s="90" t="s">
        <v>64</v>
      </c>
      <c r="D28" s="89"/>
      <c r="E28" s="89"/>
      <c r="F28" s="89"/>
      <c r="G28" s="89"/>
      <c r="H28" s="89"/>
      <c r="I28" s="89"/>
      <c r="J28" s="89"/>
      <c r="K28" s="89"/>
      <c r="L28" s="89"/>
      <c r="M28" s="89"/>
      <c r="N28" s="89"/>
      <c r="O28" s="89"/>
      <c r="P28" s="154">
        <f>SUM(D28:O28)</f>
        <v>0</v>
      </c>
      <c r="Q28" s="817" t="s">
        <v>154</v>
      </c>
      <c r="R28" s="818"/>
      <c r="S28" s="818"/>
      <c r="T28" s="819"/>
      <c r="U28" s="817" t="s">
        <v>155</v>
      </c>
      <c r="V28" s="818"/>
      <c r="W28" s="818"/>
      <c r="X28" s="819"/>
      <c r="Y28" s="817" t="s">
        <v>156</v>
      </c>
      <c r="Z28" s="818"/>
      <c r="AA28" s="818"/>
      <c r="AB28" s="823"/>
      <c r="AE28" s="87"/>
      <c r="AF28" s="87"/>
      <c r="AG28" s="87"/>
      <c r="AH28" s="87"/>
      <c r="AI28" s="87"/>
      <c r="AJ28" s="87"/>
      <c r="AK28" s="87"/>
      <c r="AL28" s="87"/>
      <c r="AM28" s="87"/>
    </row>
    <row r="29" spans="1:39" ht="33.950000000000003" customHeight="1" thickBot="1">
      <c r="A29" s="912"/>
      <c r="B29" s="813"/>
      <c r="C29" s="91" t="s">
        <v>67</v>
      </c>
      <c r="D29" s="92"/>
      <c r="E29" s="92"/>
      <c r="F29" s="92"/>
      <c r="G29" s="93"/>
      <c r="H29" s="93"/>
      <c r="I29" s="93"/>
      <c r="J29" s="93"/>
      <c r="K29" s="93"/>
      <c r="L29" s="93"/>
      <c r="M29" s="93"/>
      <c r="N29" s="93"/>
      <c r="O29" s="93"/>
      <c r="P29" s="155">
        <f>SUM(D29:O29)</f>
        <v>0</v>
      </c>
      <c r="Q29" s="820"/>
      <c r="R29" s="821"/>
      <c r="S29" s="821"/>
      <c r="T29" s="822"/>
      <c r="U29" s="820"/>
      <c r="V29" s="821"/>
      <c r="W29" s="821"/>
      <c r="X29" s="822"/>
      <c r="Y29" s="820"/>
      <c r="Z29" s="821"/>
      <c r="AA29" s="821"/>
      <c r="AB29" s="824"/>
      <c r="AC29" s="49"/>
      <c r="AE29" s="87"/>
      <c r="AF29" s="87"/>
      <c r="AG29" s="87"/>
      <c r="AH29" s="87"/>
      <c r="AI29" s="87"/>
      <c r="AJ29" s="87"/>
      <c r="AK29" s="87"/>
      <c r="AL29" s="87"/>
      <c r="AM29" s="87"/>
    </row>
    <row r="30" spans="1:39" ht="26.1" customHeight="1">
      <c r="A30" s="716" t="s">
        <v>68</v>
      </c>
      <c r="B30" s="835" t="s">
        <v>69</v>
      </c>
      <c r="C30" s="837" t="s">
        <v>70</v>
      </c>
      <c r="D30" s="837"/>
      <c r="E30" s="837"/>
      <c r="F30" s="837"/>
      <c r="G30" s="837"/>
      <c r="H30" s="837"/>
      <c r="I30" s="837"/>
      <c r="J30" s="837"/>
      <c r="K30" s="837"/>
      <c r="L30" s="837"/>
      <c r="M30" s="837"/>
      <c r="N30" s="837"/>
      <c r="O30" s="837"/>
      <c r="P30" s="837"/>
      <c r="Q30" s="838" t="s">
        <v>71</v>
      </c>
      <c r="R30" s="839"/>
      <c r="S30" s="839"/>
      <c r="T30" s="839"/>
      <c r="U30" s="839"/>
      <c r="V30" s="839"/>
      <c r="W30" s="839"/>
      <c r="X30" s="839"/>
      <c r="Y30" s="839"/>
      <c r="Z30" s="839"/>
      <c r="AA30" s="839"/>
      <c r="AB30" s="840"/>
      <c r="AE30" s="87"/>
      <c r="AF30" s="87"/>
      <c r="AG30" s="87"/>
      <c r="AH30" s="87"/>
      <c r="AI30" s="87"/>
      <c r="AJ30" s="87"/>
      <c r="AK30" s="87"/>
      <c r="AL30" s="87"/>
      <c r="AM30" s="87"/>
    </row>
    <row r="31" spans="1:39" ht="26.1" customHeight="1">
      <c r="A31" s="691"/>
      <c r="B31" s="836"/>
      <c r="C31" s="88" t="s">
        <v>72</v>
      </c>
      <c r="D31" s="88" t="s">
        <v>73</v>
      </c>
      <c r="E31" s="88" t="s">
        <v>74</v>
      </c>
      <c r="F31" s="88" t="s">
        <v>75</v>
      </c>
      <c r="G31" s="88" t="s">
        <v>76</v>
      </c>
      <c r="H31" s="88" t="s">
        <v>77</v>
      </c>
      <c r="I31" s="88" t="s">
        <v>78</v>
      </c>
      <c r="J31" s="88" t="s">
        <v>79</v>
      </c>
      <c r="K31" s="88" t="s">
        <v>80</v>
      </c>
      <c r="L31" s="88" t="s">
        <v>81</v>
      </c>
      <c r="M31" s="88" t="s">
        <v>82</v>
      </c>
      <c r="N31" s="88" t="s">
        <v>83</v>
      </c>
      <c r="O31" s="88" t="s">
        <v>84</v>
      </c>
      <c r="P31" s="88" t="s">
        <v>85</v>
      </c>
      <c r="Q31" s="705" t="s">
        <v>86</v>
      </c>
      <c r="R31" s="706"/>
      <c r="S31" s="706"/>
      <c r="T31" s="706"/>
      <c r="U31" s="706"/>
      <c r="V31" s="706"/>
      <c r="W31" s="706"/>
      <c r="X31" s="706"/>
      <c r="Y31" s="706"/>
      <c r="Z31" s="706"/>
      <c r="AA31" s="706"/>
      <c r="AB31" s="841"/>
      <c r="AE31" s="94"/>
      <c r="AF31" s="94"/>
      <c r="AG31" s="94"/>
      <c r="AH31" s="94"/>
      <c r="AI31" s="94"/>
      <c r="AJ31" s="94"/>
      <c r="AK31" s="94"/>
      <c r="AL31" s="94"/>
      <c r="AM31" s="94"/>
    </row>
    <row r="32" spans="1:39" ht="28.5" customHeight="1">
      <c r="A32" s="909"/>
      <c r="B32" s="906"/>
      <c r="C32" s="90" t="s">
        <v>64</v>
      </c>
      <c r="D32" s="95"/>
      <c r="E32" s="95"/>
      <c r="F32" s="95"/>
      <c r="G32" s="95"/>
      <c r="H32" s="95"/>
      <c r="I32" s="95"/>
      <c r="J32" s="95"/>
      <c r="K32" s="95"/>
      <c r="L32" s="95"/>
      <c r="M32" s="95"/>
      <c r="N32" s="95"/>
      <c r="O32" s="95"/>
      <c r="P32" s="96">
        <f t="shared" ref="P32:P39" si="0">SUM(D32:O32)</f>
        <v>0</v>
      </c>
      <c r="Q32" s="936" t="s">
        <v>157</v>
      </c>
      <c r="R32" s="937"/>
      <c r="S32" s="937"/>
      <c r="T32" s="937"/>
      <c r="U32" s="937"/>
      <c r="V32" s="937"/>
      <c r="W32" s="937"/>
      <c r="X32" s="937"/>
      <c r="Y32" s="937"/>
      <c r="Z32" s="937"/>
      <c r="AA32" s="937"/>
      <c r="AB32" s="938"/>
      <c r="AC32" s="97"/>
      <c r="AE32" s="98"/>
      <c r="AF32" s="98"/>
      <c r="AG32" s="98"/>
      <c r="AH32" s="98"/>
      <c r="AI32" s="98"/>
      <c r="AJ32" s="98"/>
      <c r="AK32" s="98"/>
      <c r="AL32" s="98"/>
      <c r="AM32" s="98"/>
    </row>
    <row r="33" spans="1:29" ht="28.5" customHeight="1">
      <c r="A33" s="910"/>
      <c r="B33" s="907"/>
      <c r="C33" s="99" t="s">
        <v>67</v>
      </c>
      <c r="D33" s="100"/>
      <c r="E33" s="100"/>
      <c r="F33" s="100"/>
      <c r="G33" s="100"/>
      <c r="H33" s="100"/>
      <c r="I33" s="100"/>
      <c r="J33" s="100"/>
      <c r="K33" s="100"/>
      <c r="L33" s="100"/>
      <c r="M33" s="100"/>
      <c r="N33" s="100"/>
      <c r="O33" s="100"/>
      <c r="P33" s="101">
        <f t="shared" si="0"/>
        <v>0</v>
      </c>
      <c r="Q33" s="939"/>
      <c r="R33" s="940"/>
      <c r="S33" s="940"/>
      <c r="T33" s="940"/>
      <c r="U33" s="940"/>
      <c r="V33" s="940"/>
      <c r="W33" s="940"/>
      <c r="X33" s="940"/>
      <c r="Y33" s="940"/>
      <c r="Z33" s="940"/>
      <c r="AA33" s="940"/>
      <c r="AB33" s="941"/>
      <c r="AC33" s="97"/>
    </row>
    <row r="34" spans="1:29" ht="28.5" customHeight="1">
      <c r="A34" s="910"/>
      <c r="B34" s="908"/>
      <c r="C34" s="102" t="s">
        <v>64</v>
      </c>
      <c r="D34" s="103"/>
      <c r="E34" s="103"/>
      <c r="F34" s="103"/>
      <c r="G34" s="103"/>
      <c r="H34" s="103"/>
      <c r="I34" s="103"/>
      <c r="J34" s="103"/>
      <c r="K34" s="103"/>
      <c r="L34" s="103"/>
      <c r="M34" s="103"/>
      <c r="N34" s="103"/>
      <c r="O34" s="103"/>
      <c r="P34" s="101">
        <f t="shared" si="0"/>
        <v>0</v>
      </c>
      <c r="Q34" s="945"/>
      <c r="R34" s="946"/>
      <c r="S34" s="946"/>
      <c r="T34" s="946"/>
      <c r="U34" s="946"/>
      <c r="V34" s="946"/>
      <c r="W34" s="946"/>
      <c r="X34" s="946"/>
      <c r="Y34" s="946"/>
      <c r="Z34" s="946"/>
      <c r="AA34" s="946"/>
      <c r="AB34" s="947"/>
      <c r="AC34" s="97"/>
    </row>
    <row r="35" spans="1:29" ht="28.5" customHeight="1">
      <c r="A35" s="910"/>
      <c r="B35" s="907"/>
      <c r="C35" s="99" t="s">
        <v>67</v>
      </c>
      <c r="D35" s="100"/>
      <c r="E35" s="100"/>
      <c r="F35" s="100"/>
      <c r="G35" s="100"/>
      <c r="H35" s="100"/>
      <c r="I35" s="100"/>
      <c r="J35" s="100"/>
      <c r="K35" s="100"/>
      <c r="L35" s="104"/>
      <c r="M35" s="104"/>
      <c r="N35" s="104"/>
      <c r="O35" s="104"/>
      <c r="P35" s="101">
        <f t="shared" si="0"/>
        <v>0</v>
      </c>
      <c r="Q35" s="951"/>
      <c r="R35" s="952"/>
      <c r="S35" s="952"/>
      <c r="T35" s="952"/>
      <c r="U35" s="952"/>
      <c r="V35" s="952"/>
      <c r="W35" s="952"/>
      <c r="X35" s="952"/>
      <c r="Y35" s="952"/>
      <c r="Z35" s="952"/>
      <c r="AA35" s="952"/>
      <c r="AB35" s="953"/>
      <c r="AC35" s="97"/>
    </row>
    <row r="36" spans="1:29" ht="28.5" customHeight="1">
      <c r="A36" s="904"/>
      <c r="B36" s="908"/>
      <c r="C36" s="102" t="s">
        <v>64</v>
      </c>
      <c r="D36" s="103"/>
      <c r="E36" s="103"/>
      <c r="F36" s="103"/>
      <c r="G36" s="103"/>
      <c r="H36" s="103"/>
      <c r="I36" s="103"/>
      <c r="J36" s="103"/>
      <c r="K36" s="103"/>
      <c r="L36" s="103"/>
      <c r="M36" s="103"/>
      <c r="N36" s="103"/>
      <c r="O36" s="103"/>
      <c r="P36" s="101">
        <f t="shared" si="0"/>
        <v>0</v>
      </c>
      <c r="Q36" s="945"/>
      <c r="R36" s="946"/>
      <c r="S36" s="946"/>
      <c r="T36" s="946"/>
      <c r="U36" s="946"/>
      <c r="V36" s="946"/>
      <c r="W36" s="946"/>
      <c r="X36" s="946"/>
      <c r="Y36" s="946"/>
      <c r="Z36" s="946"/>
      <c r="AA36" s="946"/>
      <c r="AB36" s="947"/>
      <c r="AC36" s="97"/>
    </row>
    <row r="37" spans="1:29" ht="28.5" customHeight="1">
      <c r="A37" s="905"/>
      <c r="B37" s="907"/>
      <c r="C37" s="99" t="s">
        <v>67</v>
      </c>
      <c r="D37" s="100"/>
      <c r="E37" s="100"/>
      <c r="F37" s="100"/>
      <c r="G37" s="100"/>
      <c r="H37" s="100"/>
      <c r="I37" s="100"/>
      <c r="J37" s="100"/>
      <c r="K37" s="100"/>
      <c r="L37" s="104"/>
      <c r="M37" s="104"/>
      <c r="N37" s="104"/>
      <c r="O37" s="104"/>
      <c r="P37" s="101">
        <f t="shared" si="0"/>
        <v>0</v>
      </c>
      <c r="Q37" s="951"/>
      <c r="R37" s="952"/>
      <c r="S37" s="952"/>
      <c r="T37" s="952"/>
      <c r="U37" s="952"/>
      <c r="V37" s="952"/>
      <c r="W37" s="952"/>
      <c r="X37" s="952"/>
      <c r="Y37" s="952"/>
      <c r="Z37" s="952"/>
      <c r="AA37" s="952"/>
      <c r="AB37" s="953"/>
      <c r="AC37" s="97"/>
    </row>
    <row r="38" spans="1:29" ht="28.5" customHeight="1">
      <c r="A38" s="927"/>
      <c r="B38" s="908"/>
      <c r="C38" s="102" t="s">
        <v>64</v>
      </c>
      <c r="D38" s="103"/>
      <c r="E38" s="103"/>
      <c r="F38" s="103"/>
      <c r="G38" s="103"/>
      <c r="H38" s="103"/>
      <c r="I38" s="103"/>
      <c r="J38" s="103"/>
      <c r="K38" s="103"/>
      <c r="L38" s="103"/>
      <c r="M38" s="103"/>
      <c r="N38" s="103"/>
      <c r="O38" s="103"/>
      <c r="P38" s="101">
        <f t="shared" si="0"/>
        <v>0</v>
      </c>
      <c r="Q38" s="945"/>
      <c r="R38" s="946"/>
      <c r="S38" s="946"/>
      <c r="T38" s="946"/>
      <c r="U38" s="946"/>
      <c r="V38" s="946"/>
      <c r="W38" s="946"/>
      <c r="X38" s="946"/>
      <c r="Y38" s="946"/>
      <c r="Z38" s="946"/>
      <c r="AA38" s="946"/>
      <c r="AB38" s="947"/>
      <c r="AC38" s="97"/>
    </row>
    <row r="39" spans="1:29" ht="28.5" customHeight="1" thickBot="1">
      <c r="A39" s="928"/>
      <c r="B39" s="944"/>
      <c r="C39" s="91" t="s">
        <v>67</v>
      </c>
      <c r="D39" s="105"/>
      <c r="E39" s="105"/>
      <c r="F39" s="105"/>
      <c r="G39" s="105"/>
      <c r="H39" s="105"/>
      <c r="I39" s="105"/>
      <c r="J39" s="105"/>
      <c r="K39" s="105"/>
      <c r="L39" s="106"/>
      <c r="M39" s="106"/>
      <c r="N39" s="106"/>
      <c r="O39" s="106"/>
      <c r="P39" s="107">
        <f t="shared" si="0"/>
        <v>0</v>
      </c>
      <c r="Q39" s="948"/>
      <c r="R39" s="949"/>
      <c r="S39" s="949"/>
      <c r="T39" s="949"/>
      <c r="U39" s="949"/>
      <c r="V39" s="949"/>
      <c r="W39" s="949"/>
      <c r="X39" s="949"/>
      <c r="Y39" s="949"/>
      <c r="Z39" s="949"/>
      <c r="AA39" s="949"/>
      <c r="AB39" s="950"/>
      <c r="AC39" s="97"/>
    </row>
    <row r="40" spans="1:29">
      <c r="A40" s="50" t="s">
        <v>92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view="pageBreakPreview" zoomScale="70" zoomScaleNormal="75" zoomScaleSheetLayoutView="70" workbookViewId="0">
      <selection activeCell="A27" sqref="A27:AX27"/>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6" width="6.42578125" style="108" customWidth="1"/>
    <col min="17" max="17" width="7.7109375" style="108" bestFit="1" customWidth="1"/>
    <col min="18" max="19" width="6.42578125" style="108" customWidth="1"/>
    <col min="20" max="20" width="8.5703125" style="108" customWidth="1"/>
    <col min="21" max="21" width="14" style="126" customWidth="1"/>
    <col min="22" max="24" width="9.85546875" style="282" bestFit="1" customWidth="1"/>
    <col min="25" max="33" width="9.85546875" style="282" customWidth="1"/>
    <col min="34" max="34" width="5.85546875" style="282" customWidth="1"/>
    <col min="35" max="35" width="8.140625" style="282" bestFit="1" customWidth="1"/>
    <col min="36" max="36" width="6.5703125" style="282" customWidth="1"/>
    <col min="37" max="45" width="5.85546875" style="282" customWidth="1"/>
    <col min="46" max="46" width="10.85546875" style="282"/>
    <col min="47" max="47" width="10.85546875" style="108"/>
    <col min="48" max="48" width="81.28515625" style="108" customWidth="1"/>
    <col min="49" max="49" width="31.140625" style="108" customWidth="1"/>
    <col min="50" max="50" width="28" style="108" customWidth="1"/>
    <col min="51" max="16384" width="10.85546875" style="108"/>
  </cols>
  <sheetData>
    <row r="1" spans="1:50" ht="15.95" customHeight="1">
      <c r="A1" s="1043" t="s">
        <v>0</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c r="AM1" s="1044"/>
      <c r="AN1" s="1044"/>
      <c r="AO1" s="1044"/>
      <c r="AP1" s="1044"/>
      <c r="AQ1" s="1044"/>
      <c r="AR1" s="1044"/>
      <c r="AS1" s="1044"/>
      <c r="AT1" s="1044"/>
      <c r="AU1" s="1044"/>
      <c r="AV1" s="1045"/>
      <c r="AW1" s="777" t="s">
        <v>1</v>
      </c>
      <c r="AX1" s="779"/>
    </row>
    <row r="2" spans="1:50" ht="15.95" customHeight="1">
      <c r="A2" s="1030" t="s">
        <v>2</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2"/>
      <c r="AW2" s="783" t="s">
        <v>3</v>
      </c>
      <c r="AX2" s="785"/>
    </row>
    <row r="3" spans="1:50" ht="15" customHeight="1">
      <c r="A3" s="1033" t="s">
        <v>158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5"/>
      <c r="AW3" s="783" t="s">
        <v>5</v>
      </c>
      <c r="AX3" s="785"/>
    </row>
    <row r="4" spans="1:50" ht="15.95" customHeight="1">
      <c r="A4" s="1036"/>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8"/>
      <c r="AW4" s="1041" t="s">
        <v>159</v>
      </c>
      <c r="AX4" s="1042"/>
    </row>
    <row r="5" spans="1:50" ht="15" customHeight="1">
      <c r="A5" s="979" t="s">
        <v>160</v>
      </c>
      <c r="B5" s="980"/>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1"/>
      <c r="AH5" s="1051" t="s">
        <v>13</v>
      </c>
      <c r="AI5" s="1052"/>
      <c r="AJ5" s="1052"/>
      <c r="AK5" s="1052"/>
      <c r="AL5" s="1052"/>
      <c r="AM5" s="1052"/>
      <c r="AN5" s="1052"/>
      <c r="AO5" s="1052"/>
      <c r="AP5" s="1052"/>
      <c r="AQ5" s="1052"/>
      <c r="AR5" s="1052"/>
      <c r="AS5" s="1052"/>
      <c r="AT5" s="1052"/>
      <c r="AU5" s="1053"/>
      <c r="AV5" s="998" t="s">
        <v>161</v>
      </c>
      <c r="AW5" s="998" t="s">
        <v>162</v>
      </c>
      <c r="AX5" s="1046" t="s">
        <v>163</v>
      </c>
    </row>
    <row r="6" spans="1:50" ht="15" customHeight="1">
      <c r="A6" s="982" t="s">
        <v>9</v>
      </c>
      <c r="B6" s="983"/>
      <c r="C6" s="983"/>
      <c r="D6" s="984">
        <v>44685</v>
      </c>
      <c r="E6" s="985"/>
      <c r="F6" s="983" t="s">
        <v>10</v>
      </c>
      <c r="G6" s="983"/>
      <c r="H6" s="986" t="s">
        <v>11</v>
      </c>
      <c r="I6" s="986"/>
      <c r="J6" s="110"/>
      <c r="K6" s="1051"/>
      <c r="L6" s="1052"/>
      <c r="M6" s="1052"/>
      <c r="N6" s="1052"/>
      <c r="O6" s="1052"/>
      <c r="P6" s="1052"/>
      <c r="Q6" s="1052"/>
      <c r="R6" s="1052"/>
      <c r="S6" s="1052"/>
      <c r="T6" s="1052"/>
      <c r="U6" s="1052"/>
      <c r="V6" s="514"/>
      <c r="W6" s="514"/>
      <c r="X6" s="514"/>
      <c r="Y6" s="514"/>
      <c r="Z6" s="514"/>
      <c r="AA6" s="514"/>
      <c r="AB6" s="514"/>
      <c r="AC6" s="514"/>
      <c r="AD6" s="514"/>
      <c r="AE6" s="514"/>
      <c r="AF6" s="514"/>
      <c r="AG6" s="515"/>
      <c r="AH6" s="1054"/>
      <c r="AI6" s="1055"/>
      <c r="AJ6" s="1055"/>
      <c r="AK6" s="1055"/>
      <c r="AL6" s="1055"/>
      <c r="AM6" s="1055"/>
      <c r="AN6" s="1055"/>
      <c r="AO6" s="1055"/>
      <c r="AP6" s="1055"/>
      <c r="AQ6" s="1055"/>
      <c r="AR6" s="1055"/>
      <c r="AS6" s="1055"/>
      <c r="AT6" s="1055"/>
      <c r="AU6" s="1056"/>
      <c r="AV6" s="999"/>
      <c r="AW6" s="999"/>
      <c r="AX6" s="1047"/>
    </row>
    <row r="7" spans="1:50" ht="15" customHeight="1">
      <c r="A7" s="982"/>
      <c r="B7" s="983"/>
      <c r="C7" s="983"/>
      <c r="D7" s="985"/>
      <c r="E7" s="985"/>
      <c r="F7" s="983"/>
      <c r="G7" s="983"/>
      <c r="H7" s="986" t="s">
        <v>12</v>
      </c>
      <c r="I7" s="986"/>
      <c r="J7" s="110"/>
      <c r="K7" s="1054"/>
      <c r="L7" s="1055"/>
      <c r="M7" s="1055"/>
      <c r="N7" s="1055"/>
      <c r="O7" s="1055"/>
      <c r="P7" s="1055"/>
      <c r="Q7" s="1055"/>
      <c r="R7" s="1055"/>
      <c r="S7" s="1055"/>
      <c r="T7" s="1055"/>
      <c r="U7" s="1055"/>
      <c r="V7" s="582"/>
      <c r="W7" s="582"/>
      <c r="X7" s="582"/>
      <c r="Y7" s="582"/>
      <c r="Z7" s="582"/>
      <c r="AA7" s="582"/>
      <c r="AB7" s="582"/>
      <c r="AC7" s="582"/>
      <c r="AD7" s="582"/>
      <c r="AE7" s="582"/>
      <c r="AF7" s="582"/>
      <c r="AG7" s="516"/>
      <c r="AH7" s="1054"/>
      <c r="AI7" s="1055"/>
      <c r="AJ7" s="1055"/>
      <c r="AK7" s="1055"/>
      <c r="AL7" s="1055"/>
      <c r="AM7" s="1055"/>
      <c r="AN7" s="1055"/>
      <c r="AO7" s="1055"/>
      <c r="AP7" s="1055"/>
      <c r="AQ7" s="1055"/>
      <c r="AR7" s="1055"/>
      <c r="AS7" s="1055"/>
      <c r="AT7" s="1055"/>
      <c r="AU7" s="1056"/>
      <c r="AV7" s="999"/>
      <c r="AW7" s="999"/>
      <c r="AX7" s="1047"/>
    </row>
    <row r="8" spans="1:50" ht="15" customHeight="1">
      <c r="A8" s="982"/>
      <c r="B8" s="983"/>
      <c r="C8" s="983"/>
      <c r="D8" s="985"/>
      <c r="E8" s="985"/>
      <c r="F8" s="983"/>
      <c r="G8" s="983"/>
      <c r="H8" s="986" t="s">
        <v>13</v>
      </c>
      <c r="I8" s="986"/>
      <c r="J8" s="110" t="s">
        <v>14</v>
      </c>
      <c r="K8" s="1057"/>
      <c r="L8" s="1058"/>
      <c r="M8" s="1058"/>
      <c r="N8" s="1058"/>
      <c r="O8" s="1058"/>
      <c r="P8" s="1058"/>
      <c r="Q8" s="1058"/>
      <c r="R8" s="1058"/>
      <c r="S8" s="1058"/>
      <c r="T8" s="1058"/>
      <c r="U8" s="1058"/>
      <c r="V8" s="517"/>
      <c r="W8" s="517"/>
      <c r="X8" s="517"/>
      <c r="Y8" s="517"/>
      <c r="Z8" s="517"/>
      <c r="AA8" s="517"/>
      <c r="AB8" s="517"/>
      <c r="AC8" s="517"/>
      <c r="AD8" s="517"/>
      <c r="AE8" s="517"/>
      <c r="AF8" s="517"/>
      <c r="AG8" s="518"/>
      <c r="AH8" s="1054"/>
      <c r="AI8" s="1055"/>
      <c r="AJ8" s="1055"/>
      <c r="AK8" s="1055"/>
      <c r="AL8" s="1055"/>
      <c r="AM8" s="1055"/>
      <c r="AN8" s="1055"/>
      <c r="AO8" s="1055"/>
      <c r="AP8" s="1055"/>
      <c r="AQ8" s="1055"/>
      <c r="AR8" s="1055"/>
      <c r="AS8" s="1055"/>
      <c r="AT8" s="1055"/>
      <c r="AU8" s="1056"/>
      <c r="AV8" s="999"/>
      <c r="AW8" s="999"/>
      <c r="AX8" s="1047"/>
    </row>
    <row r="9" spans="1:50" ht="15" customHeight="1">
      <c r="A9" s="976" t="s">
        <v>164</v>
      </c>
      <c r="B9" s="977"/>
      <c r="C9" s="978"/>
      <c r="D9" s="1059" t="s">
        <v>165</v>
      </c>
      <c r="E9" s="1028"/>
      <c r="F9" s="1028"/>
      <c r="G9" s="1028"/>
      <c r="H9" s="1028"/>
      <c r="I9" s="1028"/>
      <c r="J9" s="1028"/>
      <c r="K9" s="993"/>
      <c r="L9" s="993"/>
      <c r="M9" s="993"/>
      <c r="N9" s="993"/>
      <c r="O9" s="993"/>
      <c r="P9" s="993"/>
      <c r="Q9" s="993"/>
      <c r="R9" s="993"/>
      <c r="S9" s="993"/>
      <c r="T9" s="993"/>
      <c r="U9" s="993"/>
      <c r="V9" s="993"/>
      <c r="W9" s="993"/>
      <c r="X9" s="993"/>
      <c r="Y9" s="993"/>
      <c r="Z9" s="993"/>
      <c r="AA9" s="993"/>
      <c r="AB9" s="993"/>
      <c r="AC9" s="993"/>
      <c r="AD9" s="993"/>
      <c r="AE9" s="993"/>
      <c r="AF9" s="993"/>
      <c r="AG9" s="1060"/>
      <c r="AH9" s="1054"/>
      <c r="AI9" s="1055"/>
      <c r="AJ9" s="1055"/>
      <c r="AK9" s="1055"/>
      <c r="AL9" s="1055"/>
      <c r="AM9" s="1055"/>
      <c r="AN9" s="1055"/>
      <c r="AO9" s="1055"/>
      <c r="AP9" s="1055"/>
      <c r="AQ9" s="1055"/>
      <c r="AR9" s="1055"/>
      <c r="AS9" s="1055"/>
      <c r="AT9" s="1055"/>
      <c r="AU9" s="1056"/>
      <c r="AV9" s="999"/>
      <c r="AW9" s="999"/>
      <c r="AX9" s="1047"/>
    </row>
    <row r="10" spans="1:50" ht="15" customHeight="1" thickBot="1">
      <c r="A10" s="989" t="s">
        <v>166</v>
      </c>
      <c r="B10" s="990"/>
      <c r="C10" s="991"/>
      <c r="D10" s="992" t="s">
        <v>167</v>
      </c>
      <c r="E10" s="993"/>
      <c r="F10" s="993"/>
      <c r="G10" s="993"/>
      <c r="H10" s="993"/>
      <c r="I10" s="993"/>
      <c r="J10" s="993"/>
      <c r="K10" s="993"/>
      <c r="L10" s="993"/>
      <c r="M10" s="993"/>
      <c r="N10" s="993"/>
      <c r="O10" s="993"/>
      <c r="P10" s="993"/>
      <c r="Q10" s="993"/>
      <c r="R10" s="993"/>
      <c r="S10" s="993"/>
      <c r="T10" s="993"/>
      <c r="U10" s="993"/>
      <c r="V10" s="994"/>
      <c r="W10" s="994"/>
      <c r="X10" s="994"/>
      <c r="Y10" s="994"/>
      <c r="Z10" s="994"/>
      <c r="AA10" s="994"/>
      <c r="AB10" s="994"/>
      <c r="AC10" s="994"/>
      <c r="AD10" s="994"/>
      <c r="AE10" s="994"/>
      <c r="AF10" s="994"/>
      <c r="AG10" s="995"/>
      <c r="AH10" s="1057"/>
      <c r="AI10" s="1058"/>
      <c r="AJ10" s="1058"/>
      <c r="AK10" s="1058"/>
      <c r="AL10" s="1058"/>
      <c r="AM10" s="1058"/>
      <c r="AN10" s="1058"/>
      <c r="AO10" s="1058"/>
      <c r="AP10" s="1058"/>
      <c r="AQ10" s="1058"/>
      <c r="AR10" s="1058"/>
      <c r="AS10" s="1058"/>
      <c r="AT10" s="1055"/>
      <c r="AU10" s="1056"/>
      <c r="AV10" s="999"/>
      <c r="AW10" s="999"/>
      <c r="AX10" s="1047"/>
    </row>
    <row r="11" spans="1:50" ht="39.950000000000003" customHeight="1">
      <c r="A11" s="1010" t="s">
        <v>168</v>
      </c>
      <c r="B11" s="1008"/>
      <c r="C11" s="1008"/>
      <c r="D11" s="1008"/>
      <c r="E11" s="1008"/>
      <c r="F11" s="1009"/>
      <c r="G11" s="1007" t="s">
        <v>169</v>
      </c>
      <c r="H11" s="1009"/>
      <c r="I11" s="998" t="s">
        <v>170</v>
      </c>
      <c r="J11" s="998" t="s">
        <v>171</v>
      </c>
      <c r="K11" s="998" t="s">
        <v>172</v>
      </c>
      <c r="L11" s="998" t="s">
        <v>173</v>
      </c>
      <c r="M11" s="998" t="s">
        <v>174</v>
      </c>
      <c r="N11" s="998" t="s">
        <v>175</v>
      </c>
      <c r="O11" s="1007" t="s">
        <v>176</v>
      </c>
      <c r="P11" s="1008"/>
      <c r="Q11" s="1008"/>
      <c r="R11" s="1008"/>
      <c r="S11" s="1009"/>
      <c r="T11" s="998" t="s">
        <v>177</v>
      </c>
      <c r="U11" s="1005" t="s">
        <v>178</v>
      </c>
      <c r="V11" s="1019" t="s">
        <v>179</v>
      </c>
      <c r="W11" s="1020"/>
      <c r="X11" s="1020"/>
      <c r="Y11" s="1020"/>
      <c r="Z11" s="1020"/>
      <c r="AA11" s="1020"/>
      <c r="AB11" s="1020"/>
      <c r="AC11" s="1020"/>
      <c r="AD11" s="1020"/>
      <c r="AE11" s="1020"/>
      <c r="AF11" s="1020"/>
      <c r="AG11" s="1021"/>
      <c r="AH11" s="1016" t="s">
        <v>180</v>
      </c>
      <c r="AI11" s="1017"/>
      <c r="AJ11" s="1017"/>
      <c r="AK11" s="1017"/>
      <c r="AL11" s="1017"/>
      <c r="AM11" s="1017"/>
      <c r="AN11" s="1017"/>
      <c r="AO11" s="1017"/>
      <c r="AP11" s="1017"/>
      <c r="AQ11" s="1017"/>
      <c r="AR11" s="1017"/>
      <c r="AS11" s="1018"/>
      <c r="AT11" s="1039" t="s">
        <v>41</v>
      </c>
      <c r="AU11" s="1040"/>
      <c r="AV11" s="1049"/>
      <c r="AW11" s="999"/>
      <c r="AX11" s="1047"/>
    </row>
    <row r="12" spans="1:50" ht="42.75">
      <c r="A12" s="412" t="s">
        <v>181</v>
      </c>
      <c r="B12" s="109" t="s">
        <v>182</v>
      </c>
      <c r="C12" s="109" t="s">
        <v>183</v>
      </c>
      <c r="D12" s="109" t="s">
        <v>184</v>
      </c>
      <c r="E12" s="109" t="s">
        <v>185</v>
      </c>
      <c r="F12" s="109" t="s">
        <v>186</v>
      </c>
      <c r="G12" s="109" t="s">
        <v>187</v>
      </c>
      <c r="H12" s="109" t="s">
        <v>188</v>
      </c>
      <c r="I12" s="999"/>
      <c r="J12" s="999"/>
      <c r="K12" s="1000"/>
      <c r="L12" s="1000"/>
      <c r="M12" s="1000"/>
      <c r="N12" s="1000"/>
      <c r="O12" s="109">
        <v>2020</v>
      </c>
      <c r="P12" s="109">
        <v>2021</v>
      </c>
      <c r="Q12" s="109">
        <v>2022</v>
      </c>
      <c r="R12" s="109">
        <v>2023</v>
      </c>
      <c r="S12" s="109">
        <v>2024</v>
      </c>
      <c r="T12" s="1000"/>
      <c r="U12" s="1006"/>
      <c r="V12" s="519" t="s">
        <v>30</v>
      </c>
      <c r="W12" s="520" t="s">
        <v>31</v>
      </c>
      <c r="X12" s="520" t="s">
        <v>8</v>
      </c>
      <c r="Y12" s="520" t="s">
        <v>32</v>
      </c>
      <c r="Z12" s="520" t="s">
        <v>33</v>
      </c>
      <c r="AA12" s="520" t="s">
        <v>34</v>
      </c>
      <c r="AB12" s="520" t="s">
        <v>35</v>
      </c>
      <c r="AC12" s="520" t="s">
        <v>36</v>
      </c>
      <c r="AD12" s="520" t="s">
        <v>37</v>
      </c>
      <c r="AE12" s="520" t="s">
        <v>38</v>
      </c>
      <c r="AF12" s="520" t="s">
        <v>39</v>
      </c>
      <c r="AG12" s="521" t="s">
        <v>40</v>
      </c>
      <c r="AH12" s="522" t="s">
        <v>30</v>
      </c>
      <c r="AI12" s="523" t="s">
        <v>31</v>
      </c>
      <c r="AJ12" s="523" t="s">
        <v>8</v>
      </c>
      <c r="AK12" s="523" t="s">
        <v>32</v>
      </c>
      <c r="AL12" s="523" t="s">
        <v>33</v>
      </c>
      <c r="AM12" s="523" t="s">
        <v>34</v>
      </c>
      <c r="AN12" s="523" t="s">
        <v>35</v>
      </c>
      <c r="AO12" s="523" t="s">
        <v>36</v>
      </c>
      <c r="AP12" s="523" t="s">
        <v>37</v>
      </c>
      <c r="AQ12" s="523" t="s">
        <v>38</v>
      </c>
      <c r="AR12" s="523" t="s">
        <v>39</v>
      </c>
      <c r="AS12" s="524" t="s">
        <v>40</v>
      </c>
      <c r="AT12" s="575" t="s">
        <v>189</v>
      </c>
      <c r="AU12" s="576" t="s">
        <v>190</v>
      </c>
      <c r="AV12" s="1050"/>
      <c r="AW12" s="1000"/>
      <c r="AX12" s="1048"/>
    </row>
    <row r="13" spans="1:50" ht="408.75" customHeight="1">
      <c r="A13" s="413">
        <v>9</v>
      </c>
      <c r="B13" s="110"/>
      <c r="C13" s="110"/>
      <c r="D13" s="110">
        <v>29</v>
      </c>
      <c r="E13" s="110"/>
      <c r="F13" s="110"/>
      <c r="G13" s="394"/>
      <c r="H13" s="394"/>
      <c r="I13" s="394" t="s">
        <v>191</v>
      </c>
      <c r="J13" s="545" t="s">
        <v>192</v>
      </c>
      <c r="K13" s="111" t="s">
        <v>193</v>
      </c>
      <c r="L13" s="110">
        <v>26100</v>
      </c>
      <c r="M13" s="111" t="s">
        <v>194</v>
      </c>
      <c r="N13" s="111" t="s">
        <v>195</v>
      </c>
      <c r="O13" s="367">
        <v>2000</v>
      </c>
      <c r="P13" s="367">
        <v>7000</v>
      </c>
      <c r="Q13" s="367">
        <v>7000</v>
      </c>
      <c r="R13" s="367">
        <v>7000</v>
      </c>
      <c r="S13" s="367">
        <v>3100</v>
      </c>
      <c r="T13" s="393" t="s">
        <v>196</v>
      </c>
      <c r="U13" s="570" t="s">
        <v>197</v>
      </c>
      <c r="V13" s="463">
        <v>0</v>
      </c>
      <c r="W13" s="179">
        <v>500</v>
      </c>
      <c r="X13" s="179">
        <v>700</v>
      </c>
      <c r="Y13" s="179">
        <v>700</v>
      </c>
      <c r="Z13" s="179">
        <v>700</v>
      </c>
      <c r="AA13" s="179">
        <v>700</v>
      </c>
      <c r="AB13" s="179">
        <v>700</v>
      </c>
      <c r="AC13" s="179">
        <v>700</v>
      </c>
      <c r="AD13" s="179">
        <v>700</v>
      </c>
      <c r="AE13" s="179">
        <v>700</v>
      </c>
      <c r="AF13" s="179">
        <v>700</v>
      </c>
      <c r="AG13" s="464">
        <v>200</v>
      </c>
      <c r="AH13" s="463">
        <v>0</v>
      </c>
      <c r="AI13" s="465">
        <v>531</v>
      </c>
      <c r="AJ13" s="179">
        <v>950</v>
      </c>
      <c r="AK13" s="179">
        <v>740</v>
      </c>
      <c r="AL13" s="179">
        <v>0</v>
      </c>
      <c r="AM13" s="179">
        <v>0</v>
      </c>
      <c r="AN13" s="179">
        <v>0</v>
      </c>
      <c r="AO13" s="179">
        <v>0</v>
      </c>
      <c r="AP13" s="179">
        <v>0</v>
      </c>
      <c r="AQ13" s="179">
        <v>0</v>
      </c>
      <c r="AR13" s="179">
        <v>0</v>
      </c>
      <c r="AS13" s="464">
        <v>0</v>
      </c>
      <c r="AT13" s="463">
        <f>SUM(AH13:AR13)</f>
        <v>2221</v>
      </c>
      <c r="AU13" s="579">
        <f>AT13/Q13</f>
        <v>0.31728571428571428</v>
      </c>
      <c r="AV13" s="573" t="s">
        <v>1196</v>
      </c>
      <c r="AW13" s="466" t="s">
        <v>65</v>
      </c>
      <c r="AX13" s="469" t="s">
        <v>65</v>
      </c>
    </row>
    <row r="14" spans="1:50" ht="354.75" customHeight="1">
      <c r="A14" s="413">
        <v>10</v>
      </c>
      <c r="B14" s="110"/>
      <c r="C14" s="110"/>
      <c r="D14" s="110"/>
      <c r="E14" s="110"/>
      <c r="F14" s="110"/>
      <c r="G14" s="394"/>
      <c r="H14" s="400"/>
      <c r="I14" s="394" t="s">
        <v>198</v>
      </c>
      <c r="J14" s="664" t="s">
        <v>199</v>
      </c>
      <c r="K14" s="111" t="s">
        <v>193</v>
      </c>
      <c r="L14" s="110">
        <v>100</v>
      </c>
      <c r="M14" s="111" t="s">
        <v>200</v>
      </c>
      <c r="N14" s="111" t="s">
        <v>201</v>
      </c>
      <c r="O14" s="367">
        <v>18</v>
      </c>
      <c r="P14" s="367">
        <v>25</v>
      </c>
      <c r="Q14" s="367">
        <v>25</v>
      </c>
      <c r="R14" s="367">
        <v>22</v>
      </c>
      <c r="S14" s="367">
        <v>10</v>
      </c>
      <c r="T14" s="393" t="s">
        <v>196</v>
      </c>
      <c r="U14" s="570" t="s">
        <v>202</v>
      </c>
      <c r="V14" s="617">
        <v>0</v>
      </c>
      <c r="W14" s="513">
        <v>1.0400000000000003E-2</v>
      </c>
      <c r="X14" s="513">
        <v>2.0000000000000004E-2</v>
      </c>
      <c r="Y14" s="513">
        <v>2.0000000000000004E-2</v>
      </c>
      <c r="Z14" s="513">
        <v>2.0000000000000004E-2</v>
      </c>
      <c r="AA14" s="513">
        <v>2.0000000000000004E-2</v>
      </c>
      <c r="AB14" s="513">
        <v>2.0000000000000004E-2</v>
      </c>
      <c r="AC14" s="513">
        <v>2.0000000000000004E-2</v>
      </c>
      <c r="AD14" s="513">
        <v>2.0000000000000004E-2</v>
      </c>
      <c r="AE14" s="513">
        <v>2.0000000000000004E-2</v>
      </c>
      <c r="AF14" s="513">
        <v>2.0000000000000004E-2</v>
      </c>
      <c r="AG14" s="618">
        <v>9.6000000000000026E-3</v>
      </c>
      <c r="AH14" s="463">
        <f>'Avance PDD'!O5</f>
        <v>0</v>
      </c>
      <c r="AI14" s="513">
        <f>'Avance PDD'!P5</f>
        <v>0.52400000000000013</v>
      </c>
      <c r="AJ14" s="513">
        <f>'Avance PDD'!Q5</f>
        <v>0.97200000000000031</v>
      </c>
      <c r="AK14" s="513">
        <f>'Avance PDD'!R5</f>
        <v>0.86400000000000032</v>
      </c>
      <c r="AL14" s="179"/>
      <c r="AM14" s="179"/>
      <c r="AN14" s="179"/>
      <c r="AO14" s="179"/>
      <c r="AP14" s="179"/>
      <c r="AQ14" s="179"/>
      <c r="AR14" s="179"/>
      <c r="AS14" s="464"/>
      <c r="AT14" s="578">
        <f>SUM(AH14:AS14)</f>
        <v>2.3600000000000008</v>
      </c>
      <c r="AU14" s="579">
        <f t="shared" ref="AU14:AU26" si="0">AT14/Q14</f>
        <v>9.4400000000000026E-2</v>
      </c>
      <c r="AV14" s="573" t="s">
        <v>1118</v>
      </c>
      <c r="AW14" s="466"/>
      <c r="AX14" s="468"/>
    </row>
    <row r="15" spans="1:50" ht="30" customHeight="1">
      <c r="A15" s="413">
        <v>10</v>
      </c>
      <c r="B15" s="110"/>
      <c r="C15" s="110"/>
      <c r="D15" s="110">
        <v>42</v>
      </c>
      <c r="E15" s="110"/>
      <c r="F15" s="110"/>
      <c r="G15" s="394"/>
      <c r="H15" s="400"/>
      <c r="I15" s="394" t="s">
        <v>93</v>
      </c>
      <c r="J15" s="534" t="s">
        <v>203</v>
      </c>
      <c r="K15" s="111" t="s">
        <v>193</v>
      </c>
      <c r="L15" s="110">
        <v>13</v>
      </c>
      <c r="M15" s="111" t="s">
        <v>204</v>
      </c>
      <c r="N15" s="111" t="s">
        <v>205</v>
      </c>
      <c r="O15" s="367">
        <v>1</v>
      </c>
      <c r="P15" s="367">
        <v>4</v>
      </c>
      <c r="Q15" s="367">
        <v>4</v>
      </c>
      <c r="R15" s="367">
        <v>4</v>
      </c>
      <c r="S15" s="367">
        <v>0</v>
      </c>
      <c r="T15" s="393" t="s">
        <v>196</v>
      </c>
      <c r="U15" s="570" t="s">
        <v>206</v>
      </c>
      <c r="V15" s="463">
        <v>0</v>
      </c>
      <c r="W15" s="179">
        <v>0</v>
      </c>
      <c r="X15" s="179">
        <v>0</v>
      </c>
      <c r="Y15" s="179">
        <v>0</v>
      </c>
      <c r="Z15" s="179">
        <v>0</v>
      </c>
      <c r="AA15" s="179">
        <v>0</v>
      </c>
      <c r="AB15" s="179">
        <v>0</v>
      </c>
      <c r="AC15" s="179">
        <v>1</v>
      </c>
      <c r="AD15" s="179">
        <v>0</v>
      </c>
      <c r="AE15" s="179">
        <v>2</v>
      </c>
      <c r="AF15" s="179">
        <v>0</v>
      </c>
      <c r="AG15" s="464">
        <v>1</v>
      </c>
      <c r="AH15" s="463">
        <v>0</v>
      </c>
      <c r="AI15" s="179">
        <v>0</v>
      </c>
      <c r="AJ15" s="179">
        <v>0</v>
      </c>
      <c r="AK15" s="179">
        <v>0</v>
      </c>
      <c r="AL15" s="179"/>
      <c r="AM15" s="179"/>
      <c r="AN15" s="179"/>
      <c r="AO15" s="179"/>
      <c r="AP15" s="179"/>
      <c r="AQ15" s="179"/>
      <c r="AR15" s="179"/>
      <c r="AS15" s="464"/>
      <c r="AT15" s="463">
        <f t="shared" ref="AT15:AT26" si="1">SUM(AH15:AS15)</f>
        <v>0</v>
      </c>
      <c r="AU15" s="577">
        <f t="shared" si="0"/>
        <v>0</v>
      </c>
      <c r="AV15" s="573" t="s">
        <v>207</v>
      </c>
      <c r="AW15" s="466"/>
      <c r="AX15" s="468"/>
    </row>
    <row r="16" spans="1:50" ht="360.75" customHeight="1">
      <c r="A16" s="413"/>
      <c r="B16" s="110"/>
      <c r="C16" s="110"/>
      <c r="D16" s="110"/>
      <c r="E16" s="110"/>
      <c r="F16" s="110" t="s">
        <v>14</v>
      </c>
      <c r="G16" s="394"/>
      <c r="H16" s="400"/>
      <c r="I16" s="394" t="s">
        <v>208</v>
      </c>
      <c r="J16" s="664" t="s">
        <v>209</v>
      </c>
      <c r="K16" s="111" t="s">
        <v>193</v>
      </c>
      <c r="L16" s="110" t="s">
        <v>210</v>
      </c>
      <c r="M16" s="111" t="s">
        <v>211</v>
      </c>
      <c r="N16" s="111" t="s">
        <v>201</v>
      </c>
      <c r="O16" s="367"/>
      <c r="P16" s="367"/>
      <c r="Q16" s="367">
        <v>10000</v>
      </c>
      <c r="R16" s="367"/>
      <c r="S16" s="367"/>
      <c r="T16" s="393" t="s">
        <v>196</v>
      </c>
      <c r="U16" s="570" t="s">
        <v>212</v>
      </c>
      <c r="V16" s="463">
        <v>0</v>
      </c>
      <c r="W16" s="179">
        <v>800</v>
      </c>
      <c r="X16" s="179">
        <v>932</v>
      </c>
      <c r="Y16" s="179">
        <v>934</v>
      </c>
      <c r="Z16" s="179">
        <v>934</v>
      </c>
      <c r="AA16" s="179">
        <v>932</v>
      </c>
      <c r="AB16" s="179">
        <v>934</v>
      </c>
      <c r="AC16" s="179">
        <v>934</v>
      </c>
      <c r="AD16" s="179">
        <v>932</v>
      </c>
      <c r="AE16" s="179">
        <v>934</v>
      </c>
      <c r="AF16" s="179">
        <v>934</v>
      </c>
      <c r="AG16" s="464">
        <v>800</v>
      </c>
      <c r="AH16" s="463">
        <v>0</v>
      </c>
      <c r="AI16" s="179">
        <v>422</v>
      </c>
      <c r="AJ16" s="179">
        <v>1172</v>
      </c>
      <c r="AK16" s="179">
        <v>869</v>
      </c>
      <c r="AL16" s="179"/>
      <c r="AM16" s="179"/>
      <c r="AN16" s="179"/>
      <c r="AO16" s="179"/>
      <c r="AP16" s="179"/>
      <c r="AQ16" s="179"/>
      <c r="AR16" s="179"/>
      <c r="AS16" s="464"/>
      <c r="AT16" s="463">
        <f t="shared" si="1"/>
        <v>2463</v>
      </c>
      <c r="AU16" s="577">
        <f>AT16/Q16</f>
        <v>0.24629999999999999</v>
      </c>
      <c r="AV16" s="573" t="s">
        <v>213</v>
      </c>
      <c r="AW16" s="619" t="s">
        <v>214</v>
      </c>
      <c r="AX16" s="658" t="s">
        <v>215</v>
      </c>
    </row>
    <row r="17" spans="1:50" ht="360.75" customHeight="1">
      <c r="A17" s="413"/>
      <c r="B17" s="110"/>
      <c r="C17" s="110"/>
      <c r="D17" s="110"/>
      <c r="E17" s="110"/>
      <c r="F17" s="110" t="s">
        <v>14</v>
      </c>
      <c r="G17" s="394"/>
      <c r="H17" s="400"/>
      <c r="I17" s="394" t="s">
        <v>208</v>
      </c>
      <c r="J17" s="664" t="s">
        <v>216</v>
      </c>
      <c r="K17" s="111" t="s">
        <v>193</v>
      </c>
      <c r="L17" s="110" t="s">
        <v>210</v>
      </c>
      <c r="M17" s="111" t="s">
        <v>217</v>
      </c>
      <c r="N17" s="111" t="s">
        <v>201</v>
      </c>
      <c r="O17" s="367"/>
      <c r="P17" s="367"/>
      <c r="Q17" s="367">
        <v>4000</v>
      </c>
      <c r="R17" s="367"/>
      <c r="S17" s="367"/>
      <c r="T17" s="393" t="s">
        <v>196</v>
      </c>
      <c r="U17" s="570" t="s">
        <v>218</v>
      </c>
      <c r="V17" s="463">
        <v>0</v>
      </c>
      <c r="W17" s="179">
        <v>250</v>
      </c>
      <c r="X17" s="179">
        <v>388</v>
      </c>
      <c r="Y17" s="179">
        <v>389</v>
      </c>
      <c r="Z17" s="179">
        <v>389</v>
      </c>
      <c r="AA17" s="179">
        <v>389</v>
      </c>
      <c r="AB17" s="179">
        <v>389</v>
      </c>
      <c r="AC17" s="179">
        <v>389</v>
      </c>
      <c r="AD17" s="179">
        <v>389</v>
      </c>
      <c r="AE17" s="179">
        <v>389</v>
      </c>
      <c r="AF17" s="179">
        <v>389</v>
      </c>
      <c r="AG17" s="464">
        <v>250</v>
      </c>
      <c r="AH17" s="463">
        <v>0</v>
      </c>
      <c r="AI17" s="179">
        <v>165</v>
      </c>
      <c r="AJ17" s="179">
        <v>370</v>
      </c>
      <c r="AK17" s="179">
        <v>279</v>
      </c>
      <c r="AL17" s="179"/>
      <c r="AM17" s="179"/>
      <c r="AN17" s="179"/>
      <c r="AO17" s="179"/>
      <c r="AP17" s="179"/>
      <c r="AQ17" s="179"/>
      <c r="AR17" s="179"/>
      <c r="AS17" s="464"/>
      <c r="AT17" s="463">
        <f t="shared" si="1"/>
        <v>814</v>
      </c>
      <c r="AU17" s="577">
        <f>AT17/Q17</f>
        <v>0.20349999999999999</v>
      </c>
      <c r="AV17" s="573" t="s">
        <v>1151</v>
      </c>
      <c r="AW17" s="619" t="s">
        <v>219</v>
      </c>
      <c r="AX17" s="658" t="s">
        <v>220</v>
      </c>
    </row>
    <row r="18" spans="1:50" ht="108" customHeight="1">
      <c r="A18" s="413"/>
      <c r="B18" s="110"/>
      <c r="C18" s="110"/>
      <c r="D18" s="110"/>
      <c r="E18" s="110"/>
      <c r="F18" s="110" t="s">
        <v>14</v>
      </c>
      <c r="G18" s="394"/>
      <c r="H18" s="400"/>
      <c r="I18" s="394" t="s">
        <v>208</v>
      </c>
      <c r="J18" s="534" t="s">
        <v>221</v>
      </c>
      <c r="K18" s="111" t="s">
        <v>193</v>
      </c>
      <c r="L18" s="110" t="s">
        <v>210</v>
      </c>
      <c r="M18" s="111" t="s">
        <v>222</v>
      </c>
      <c r="N18" s="111" t="s">
        <v>223</v>
      </c>
      <c r="O18" s="367"/>
      <c r="P18" s="367"/>
      <c r="Q18" s="367">
        <v>2</v>
      </c>
      <c r="R18" s="367"/>
      <c r="S18" s="367"/>
      <c r="T18" s="393" t="s">
        <v>224</v>
      </c>
      <c r="U18" s="570" t="s">
        <v>225</v>
      </c>
      <c r="V18" s="463">
        <v>0</v>
      </c>
      <c r="W18" s="179">
        <v>1</v>
      </c>
      <c r="X18" s="179">
        <v>0</v>
      </c>
      <c r="Y18" s="179">
        <v>0</v>
      </c>
      <c r="Z18" s="179">
        <v>0</v>
      </c>
      <c r="AA18" s="179">
        <v>0</v>
      </c>
      <c r="AB18" s="179">
        <v>0</v>
      </c>
      <c r="AC18" s="179">
        <v>1</v>
      </c>
      <c r="AD18" s="179">
        <v>0</v>
      </c>
      <c r="AE18" s="179">
        <v>0</v>
      </c>
      <c r="AF18" s="179">
        <v>0</v>
      </c>
      <c r="AG18" s="464">
        <v>0</v>
      </c>
      <c r="AH18" s="463">
        <v>0</v>
      </c>
      <c r="AI18" s="179">
        <v>1</v>
      </c>
      <c r="AJ18" s="179">
        <v>0</v>
      </c>
      <c r="AK18" s="179">
        <v>0</v>
      </c>
      <c r="AL18" s="179"/>
      <c r="AM18" s="179"/>
      <c r="AN18" s="179"/>
      <c r="AO18" s="179"/>
      <c r="AP18" s="179"/>
      <c r="AQ18" s="179"/>
      <c r="AR18" s="179"/>
      <c r="AS18" s="464"/>
      <c r="AT18" s="463">
        <f t="shared" si="1"/>
        <v>1</v>
      </c>
      <c r="AU18" s="577">
        <f t="shared" si="0"/>
        <v>0.5</v>
      </c>
      <c r="AV18" s="573" t="s">
        <v>1119</v>
      </c>
      <c r="AW18" s="466"/>
      <c r="AX18" s="468"/>
    </row>
    <row r="19" spans="1:50" ht="129.75" customHeight="1">
      <c r="A19" s="413"/>
      <c r="B19" s="110"/>
      <c r="C19" s="110"/>
      <c r="D19" s="110"/>
      <c r="E19" s="110"/>
      <c r="F19" s="110" t="s">
        <v>14</v>
      </c>
      <c r="G19" s="394"/>
      <c r="H19" s="400"/>
      <c r="I19" s="394" t="s">
        <v>208</v>
      </c>
      <c r="J19" s="534" t="s">
        <v>226</v>
      </c>
      <c r="K19" s="111" t="s">
        <v>193</v>
      </c>
      <c r="L19" s="110" t="s">
        <v>210</v>
      </c>
      <c r="M19" s="111" t="s">
        <v>227</v>
      </c>
      <c r="N19" s="111" t="s">
        <v>228</v>
      </c>
      <c r="O19" s="367"/>
      <c r="P19" s="367"/>
      <c r="Q19" s="367">
        <v>2</v>
      </c>
      <c r="R19" s="367"/>
      <c r="S19" s="367"/>
      <c r="T19" s="393" t="s">
        <v>224</v>
      </c>
      <c r="U19" s="570" t="s">
        <v>229</v>
      </c>
      <c r="V19" s="463">
        <v>0</v>
      </c>
      <c r="W19" s="179">
        <v>0</v>
      </c>
      <c r="X19" s="179">
        <v>0</v>
      </c>
      <c r="Y19" s="179">
        <v>0</v>
      </c>
      <c r="Z19" s="179">
        <v>0</v>
      </c>
      <c r="AA19" s="179">
        <v>1</v>
      </c>
      <c r="AB19" s="179">
        <v>0</v>
      </c>
      <c r="AC19" s="179">
        <v>0</v>
      </c>
      <c r="AD19" s="179">
        <v>0</v>
      </c>
      <c r="AE19" s="179">
        <v>0</v>
      </c>
      <c r="AF19" s="179">
        <v>0</v>
      </c>
      <c r="AG19" s="464">
        <v>1</v>
      </c>
      <c r="AH19" s="463">
        <v>0</v>
      </c>
      <c r="AI19" s="465">
        <v>0</v>
      </c>
      <c r="AJ19" s="179">
        <v>0</v>
      </c>
      <c r="AK19" s="179">
        <v>0</v>
      </c>
      <c r="AL19" s="179"/>
      <c r="AM19" s="179"/>
      <c r="AN19" s="179"/>
      <c r="AO19" s="179"/>
      <c r="AP19" s="179"/>
      <c r="AQ19" s="179"/>
      <c r="AR19" s="179"/>
      <c r="AS19" s="464"/>
      <c r="AT19" s="463">
        <f t="shared" si="1"/>
        <v>0</v>
      </c>
      <c r="AU19" s="577">
        <f t="shared" si="0"/>
        <v>0</v>
      </c>
      <c r="AV19" s="573" t="s">
        <v>230</v>
      </c>
      <c r="AW19" s="466"/>
      <c r="AX19" s="468"/>
    </row>
    <row r="20" spans="1:50" ht="229.5" customHeight="1">
      <c r="A20" s="413"/>
      <c r="B20" s="110"/>
      <c r="C20" s="110"/>
      <c r="D20" s="110"/>
      <c r="E20" s="110"/>
      <c r="F20" s="110" t="s">
        <v>14</v>
      </c>
      <c r="G20" s="394"/>
      <c r="H20" s="400"/>
      <c r="I20" s="394" t="s">
        <v>129</v>
      </c>
      <c r="J20" s="534" t="s">
        <v>231</v>
      </c>
      <c r="K20" s="111" t="s">
        <v>193</v>
      </c>
      <c r="L20" s="110" t="s">
        <v>210</v>
      </c>
      <c r="M20" s="111" t="s">
        <v>222</v>
      </c>
      <c r="N20" s="111" t="s">
        <v>232</v>
      </c>
      <c r="O20" s="367"/>
      <c r="P20" s="367"/>
      <c r="Q20" s="367">
        <v>4</v>
      </c>
      <c r="R20" s="367"/>
      <c r="S20" s="367"/>
      <c r="T20" s="393" t="s">
        <v>233</v>
      </c>
      <c r="U20" s="570" t="s">
        <v>234</v>
      </c>
      <c r="V20" s="463">
        <v>0</v>
      </c>
      <c r="W20" s="179">
        <v>0</v>
      </c>
      <c r="X20" s="179">
        <v>1</v>
      </c>
      <c r="Y20" s="179">
        <v>0</v>
      </c>
      <c r="Z20" s="179">
        <v>0</v>
      </c>
      <c r="AA20" s="179">
        <v>1</v>
      </c>
      <c r="AB20" s="179">
        <v>0</v>
      </c>
      <c r="AC20" s="179">
        <v>0</v>
      </c>
      <c r="AD20" s="179">
        <v>1</v>
      </c>
      <c r="AE20" s="179">
        <v>0</v>
      </c>
      <c r="AF20" s="179">
        <v>0</v>
      </c>
      <c r="AG20" s="464">
        <v>1</v>
      </c>
      <c r="AH20" s="463">
        <v>0</v>
      </c>
      <c r="AI20" s="179">
        <v>0</v>
      </c>
      <c r="AJ20" s="179">
        <v>1</v>
      </c>
      <c r="AK20" s="179">
        <v>0</v>
      </c>
      <c r="AL20" s="179"/>
      <c r="AM20" s="179"/>
      <c r="AN20" s="179"/>
      <c r="AO20" s="179"/>
      <c r="AP20" s="179"/>
      <c r="AQ20" s="179"/>
      <c r="AR20" s="179"/>
      <c r="AS20" s="464"/>
      <c r="AT20" s="463">
        <f t="shared" si="1"/>
        <v>1</v>
      </c>
      <c r="AU20" s="577">
        <f t="shared" si="0"/>
        <v>0.25</v>
      </c>
      <c r="AV20" s="573" t="s">
        <v>1120</v>
      </c>
      <c r="AW20" s="466"/>
      <c r="AX20" s="468"/>
    </row>
    <row r="21" spans="1:50" ht="30" customHeight="1">
      <c r="A21" s="413"/>
      <c r="B21" s="110"/>
      <c r="C21" s="110"/>
      <c r="D21" s="110"/>
      <c r="E21" s="110"/>
      <c r="F21" s="110" t="s">
        <v>14</v>
      </c>
      <c r="G21" s="394"/>
      <c r="H21" s="400"/>
      <c r="I21" s="394" t="s">
        <v>129</v>
      </c>
      <c r="J21" s="534" t="s">
        <v>235</v>
      </c>
      <c r="K21" s="111" t="s">
        <v>236</v>
      </c>
      <c r="L21" s="110" t="s">
        <v>210</v>
      </c>
      <c r="M21" s="111" t="s">
        <v>237</v>
      </c>
      <c r="N21" s="111" t="s">
        <v>238</v>
      </c>
      <c r="O21" s="367"/>
      <c r="P21" s="367"/>
      <c r="Q21" s="367">
        <v>1</v>
      </c>
      <c r="R21" s="367"/>
      <c r="S21" s="367"/>
      <c r="T21" s="393" t="s">
        <v>239</v>
      </c>
      <c r="U21" s="571" t="s">
        <v>240</v>
      </c>
      <c r="V21" s="463">
        <v>0</v>
      </c>
      <c r="W21" s="179">
        <v>0</v>
      </c>
      <c r="X21" s="179">
        <v>0</v>
      </c>
      <c r="Y21" s="179">
        <v>0</v>
      </c>
      <c r="Z21" s="179">
        <v>0</v>
      </c>
      <c r="AA21" s="179">
        <v>0</v>
      </c>
      <c r="AB21" s="179">
        <v>0</v>
      </c>
      <c r="AC21" s="179">
        <v>0</v>
      </c>
      <c r="AD21" s="179">
        <v>1</v>
      </c>
      <c r="AE21" s="179">
        <v>0</v>
      </c>
      <c r="AF21" s="179">
        <v>0</v>
      </c>
      <c r="AG21" s="464">
        <v>0</v>
      </c>
      <c r="AH21" s="463">
        <v>0</v>
      </c>
      <c r="AI21" s="179">
        <v>0</v>
      </c>
      <c r="AJ21" s="179">
        <v>0</v>
      </c>
      <c r="AK21" s="179">
        <v>0</v>
      </c>
      <c r="AL21" s="179"/>
      <c r="AM21" s="179"/>
      <c r="AN21" s="179"/>
      <c r="AO21" s="179"/>
      <c r="AP21" s="179"/>
      <c r="AQ21" s="179"/>
      <c r="AR21" s="179"/>
      <c r="AS21" s="464"/>
      <c r="AT21" s="463">
        <f t="shared" si="1"/>
        <v>0</v>
      </c>
      <c r="AU21" s="577">
        <f t="shared" si="0"/>
        <v>0</v>
      </c>
      <c r="AV21" s="573" t="s">
        <v>1152</v>
      </c>
      <c r="AW21" s="466"/>
      <c r="AX21" s="468"/>
    </row>
    <row r="22" spans="1:50" ht="30" customHeight="1">
      <c r="A22" s="413"/>
      <c r="B22" s="110"/>
      <c r="C22" s="110"/>
      <c r="D22" s="110"/>
      <c r="E22" s="110"/>
      <c r="F22" s="110" t="s">
        <v>14</v>
      </c>
      <c r="G22" s="394"/>
      <c r="H22" s="400"/>
      <c r="I22" s="394" t="s">
        <v>129</v>
      </c>
      <c r="J22" s="546" t="s">
        <v>241</v>
      </c>
      <c r="K22" s="111" t="s">
        <v>236</v>
      </c>
      <c r="L22" s="110" t="s">
        <v>210</v>
      </c>
      <c r="M22" s="111" t="s">
        <v>237</v>
      </c>
      <c r="N22" s="111" t="s">
        <v>242</v>
      </c>
      <c r="O22" s="367"/>
      <c r="P22" s="367"/>
      <c r="Q22" s="367">
        <v>1</v>
      </c>
      <c r="R22" s="367"/>
      <c r="S22" s="367"/>
      <c r="T22" s="393" t="s">
        <v>239</v>
      </c>
      <c r="U22" s="570" t="s">
        <v>243</v>
      </c>
      <c r="V22" s="463">
        <v>0</v>
      </c>
      <c r="W22" s="179">
        <v>0</v>
      </c>
      <c r="X22" s="179">
        <v>0</v>
      </c>
      <c r="Y22" s="179">
        <v>0</v>
      </c>
      <c r="Z22" s="179">
        <v>0</v>
      </c>
      <c r="AA22" s="179">
        <v>0</v>
      </c>
      <c r="AB22" s="179">
        <v>0</v>
      </c>
      <c r="AC22" s="179">
        <v>0</v>
      </c>
      <c r="AD22" s="179">
        <v>1</v>
      </c>
      <c r="AE22" s="179">
        <v>0</v>
      </c>
      <c r="AF22" s="179">
        <v>0</v>
      </c>
      <c r="AG22" s="464">
        <v>0</v>
      </c>
      <c r="AH22" s="463">
        <v>0</v>
      </c>
      <c r="AI22" s="179">
        <v>0</v>
      </c>
      <c r="AJ22" s="179">
        <v>0</v>
      </c>
      <c r="AK22" s="179">
        <v>0</v>
      </c>
      <c r="AL22" s="179"/>
      <c r="AM22" s="179"/>
      <c r="AN22" s="179"/>
      <c r="AO22" s="179"/>
      <c r="AP22" s="179"/>
      <c r="AQ22" s="179"/>
      <c r="AR22" s="179"/>
      <c r="AS22" s="464"/>
      <c r="AT22" s="463">
        <f t="shared" si="1"/>
        <v>0</v>
      </c>
      <c r="AU22" s="577">
        <f t="shared" si="0"/>
        <v>0</v>
      </c>
      <c r="AV22" s="573" t="s">
        <v>1152</v>
      </c>
      <c r="AW22" s="466"/>
      <c r="AX22" s="468"/>
    </row>
    <row r="23" spans="1:50" ht="183.75" customHeight="1">
      <c r="A23" s="413"/>
      <c r="B23" s="110"/>
      <c r="C23" s="110"/>
      <c r="D23" s="110"/>
      <c r="E23" s="110"/>
      <c r="F23" s="110"/>
      <c r="G23" s="394"/>
      <c r="H23" s="400"/>
      <c r="I23" s="394" t="s">
        <v>129</v>
      </c>
      <c r="J23" s="664" t="s">
        <v>244</v>
      </c>
      <c r="K23" s="111" t="s">
        <v>236</v>
      </c>
      <c r="L23" s="110" t="s">
        <v>210</v>
      </c>
      <c r="M23" s="111" t="s">
        <v>245</v>
      </c>
      <c r="N23" s="111" t="s">
        <v>246</v>
      </c>
      <c r="O23" s="367"/>
      <c r="P23" s="367"/>
      <c r="Q23" s="367">
        <v>1</v>
      </c>
      <c r="R23" s="367"/>
      <c r="S23" s="367"/>
      <c r="T23" s="393" t="s">
        <v>239</v>
      </c>
      <c r="U23" s="570" t="s">
        <v>247</v>
      </c>
      <c r="V23" s="463">
        <v>0</v>
      </c>
      <c r="W23" s="179">
        <v>0</v>
      </c>
      <c r="X23" s="179">
        <v>1</v>
      </c>
      <c r="Y23" s="179">
        <v>0</v>
      </c>
      <c r="Z23" s="179">
        <v>0</v>
      </c>
      <c r="AA23" s="179">
        <v>0</v>
      </c>
      <c r="AB23" s="179">
        <v>0</v>
      </c>
      <c r="AC23" s="179">
        <v>0</v>
      </c>
      <c r="AD23" s="179">
        <v>0</v>
      </c>
      <c r="AE23" s="179">
        <v>0</v>
      </c>
      <c r="AF23" s="179">
        <v>0</v>
      </c>
      <c r="AG23" s="464">
        <v>0</v>
      </c>
      <c r="AH23" s="463">
        <v>0</v>
      </c>
      <c r="AI23" s="179">
        <v>0</v>
      </c>
      <c r="AJ23" s="572">
        <v>0.5</v>
      </c>
      <c r="AK23" s="660">
        <v>0.3</v>
      </c>
      <c r="AL23" s="661"/>
      <c r="AM23" s="661"/>
      <c r="AN23" s="661"/>
      <c r="AO23" s="661"/>
      <c r="AP23" s="661"/>
      <c r="AQ23" s="661"/>
      <c r="AR23" s="661"/>
      <c r="AS23" s="662"/>
      <c r="AT23" s="663">
        <f>SUM(AH23:AS23)</f>
        <v>0.8</v>
      </c>
      <c r="AU23" s="577">
        <f t="shared" si="0"/>
        <v>0.8</v>
      </c>
      <c r="AV23" s="573" t="s">
        <v>248</v>
      </c>
      <c r="AW23" s="466" t="s">
        <v>249</v>
      </c>
      <c r="AX23" s="467" t="s">
        <v>1153</v>
      </c>
    </row>
    <row r="24" spans="1:50" ht="294.75" customHeight="1">
      <c r="A24" s="413"/>
      <c r="B24" s="110"/>
      <c r="C24" s="110"/>
      <c r="D24" s="110"/>
      <c r="E24" s="110"/>
      <c r="F24" s="110"/>
      <c r="G24" s="394" t="s">
        <v>250</v>
      </c>
      <c r="H24" s="400" t="s">
        <v>167</v>
      </c>
      <c r="I24" s="401" t="s">
        <v>251</v>
      </c>
      <c r="J24" s="547" t="s">
        <v>252</v>
      </c>
      <c r="K24" s="111" t="s">
        <v>236</v>
      </c>
      <c r="L24" s="110"/>
      <c r="M24" s="111" t="s">
        <v>200</v>
      </c>
      <c r="N24" s="402" t="s">
        <v>253</v>
      </c>
      <c r="O24" s="367"/>
      <c r="P24" s="367"/>
      <c r="Q24" s="395">
        <v>1</v>
      </c>
      <c r="R24" s="367"/>
      <c r="S24" s="367"/>
      <c r="T24" s="393"/>
      <c r="U24" s="570" t="s">
        <v>254</v>
      </c>
      <c r="V24" s="463">
        <v>0</v>
      </c>
      <c r="W24" s="179">
        <v>0</v>
      </c>
      <c r="X24" s="620">
        <v>0.25</v>
      </c>
      <c r="Y24" s="179">
        <v>0</v>
      </c>
      <c r="Z24" s="179">
        <v>0</v>
      </c>
      <c r="AA24" s="620">
        <v>0.25</v>
      </c>
      <c r="AB24" s="179">
        <v>0</v>
      </c>
      <c r="AC24" s="179">
        <v>0</v>
      </c>
      <c r="AD24" s="620">
        <v>0.25</v>
      </c>
      <c r="AE24" s="179">
        <v>0</v>
      </c>
      <c r="AF24" s="179">
        <v>0</v>
      </c>
      <c r="AG24" s="620">
        <v>0.25</v>
      </c>
      <c r="AH24" s="463">
        <v>0</v>
      </c>
      <c r="AI24" s="179">
        <v>0</v>
      </c>
      <c r="AJ24" s="621">
        <v>0.25</v>
      </c>
      <c r="AK24" s="179">
        <v>0</v>
      </c>
      <c r="AL24" s="179"/>
      <c r="AM24" s="179"/>
      <c r="AN24" s="179"/>
      <c r="AO24" s="179"/>
      <c r="AP24" s="179"/>
      <c r="AQ24" s="179"/>
      <c r="AR24" s="179"/>
      <c r="AS24" s="464"/>
      <c r="AT24" s="463">
        <f t="shared" si="1"/>
        <v>0.25</v>
      </c>
      <c r="AU24" s="577">
        <f t="shared" si="0"/>
        <v>0.25</v>
      </c>
      <c r="AV24" s="574" t="s">
        <v>255</v>
      </c>
      <c r="AW24" s="466"/>
      <c r="AX24" s="468"/>
    </row>
    <row r="25" spans="1:50" ht="57" customHeight="1">
      <c r="A25" s="413"/>
      <c r="B25" s="110"/>
      <c r="C25" s="110"/>
      <c r="D25" s="110"/>
      <c r="E25" s="110"/>
      <c r="F25" s="110"/>
      <c r="G25" s="394" t="s">
        <v>250</v>
      </c>
      <c r="H25" s="400" t="s">
        <v>167</v>
      </c>
      <c r="I25" s="401" t="s">
        <v>256</v>
      </c>
      <c r="J25" s="547" t="s">
        <v>257</v>
      </c>
      <c r="K25" s="111" t="s">
        <v>236</v>
      </c>
      <c r="L25" s="110"/>
      <c r="M25" s="111" t="s">
        <v>200</v>
      </c>
      <c r="N25" s="402" t="s">
        <v>258</v>
      </c>
      <c r="O25" s="367"/>
      <c r="P25" s="367"/>
      <c r="Q25" s="395">
        <v>1</v>
      </c>
      <c r="R25" s="367"/>
      <c r="S25" s="367"/>
      <c r="T25" s="393"/>
      <c r="U25" s="570" t="s">
        <v>259</v>
      </c>
      <c r="V25" s="463">
        <v>0</v>
      </c>
      <c r="W25" s="179">
        <v>0</v>
      </c>
      <c r="X25" s="525">
        <v>0</v>
      </c>
      <c r="Y25" s="179">
        <v>0</v>
      </c>
      <c r="Z25" s="179">
        <v>0</v>
      </c>
      <c r="AA25" s="525">
        <v>0</v>
      </c>
      <c r="AB25" s="179">
        <v>1</v>
      </c>
      <c r="AC25" s="179">
        <v>0</v>
      </c>
      <c r="AD25" s="525">
        <v>0</v>
      </c>
      <c r="AE25" s="179">
        <v>0</v>
      </c>
      <c r="AF25" s="179">
        <v>0</v>
      </c>
      <c r="AG25" s="464">
        <v>0</v>
      </c>
      <c r="AH25" s="463">
        <v>0</v>
      </c>
      <c r="AI25" s="179">
        <v>0</v>
      </c>
      <c r="AJ25" s="179">
        <v>0</v>
      </c>
      <c r="AK25" s="179">
        <v>0</v>
      </c>
      <c r="AL25" s="179"/>
      <c r="AM25" s="179"/>
      <c r="AN25" s="179"/>
      <c r="AO25" s="179"/>
      <c r="AP25" s="179"/>
      <c r="AQ25" s="179"/>
      <c r="AR25" s="179"/>
      <c r="AS25" s="464"/>
      <c r="AT25" s="463">
        <f t="shared" si="1"/>
        <v>0</v>
      </c>
      <c r="AU25" s="577">
        <f t="shared" si="0"/>
        <v>0</v>
      </c>
      <c r="AV25" s="574" t="s">
        <v>1152</v>
      </c>
      <c r="AW25" s="466"/>
      <c r="AX25" s="468"/>
    </row>
    <row r="26" spans="1:50" ht="408.75" customHeight="1" thickBot="1">
      <c r="A26" s="541"/>
      <c r="B26" s="542"/>
      <c r="C26" s="542"/>
      <c r="D26" s="542"/>
      <c r="E26" s="542"/>
      <c r="F26" s="542"/>
      <c r="G26" s="537" t="s">
        <v>250</v>
      </c>
      <c r="H26" s="583" t="s">
        <v>167</v>
      </c>
      <c r="I26" s="543" t="s">
        <v>260</v>
      </c>
      <c r="J26" s="584" t="s">
        <v>261</v>
      </c>
      <c r="K26" s="544" t="s">
        <v>236</v>
      </c>
      <c r="L26" s="542" t="s">
        <v>210</v>
      </c>
      <c r="M26" s="544" t="s">
        <v>262</v>
      </c>
      <c r="N26" s="585" t="s">
        <v>263</v>
      </c>
      <c r="O26" s="535"/>
      <c r="P26" s="535"/>
      <c r="Q26" s="586">
        <v>4</v>
      </c>
      <c r="R26" s="535"/>
      <c r="S26" s="535"/>
      <c r="T26" s="536" t="s">
        <v>233</v>
      </c>
      <c r="U26" s="587" t="s">
        <v>264</v>
      </c>
      <c r="V26" s="580">
        <v>0</v>
      </c>
      <c r="W26" s="538">
        <v>0</v>
      </c>
      <c r="X26" s="588">
        <v>1</v>
      </c>
      <c r="Y26" s="538">
        <v>0</v>
      </c>
      <c r="Z26" s="538">
        <v>0</v>
      </c>
      <c r="AA26" s="588">
        <v>1</v>
      </c>
      <c r="AB26" s="538">
        <v>0</v>
      </c>
      <c r="AC26" s="538">
        <v>0</v>
      </c>
      <c r="AD26" s="588">
        <v>1</v>
      </c>
      <c r="AE26" s="538">
        <v>0</v>
      </c>
      <c r="AF26" s="538">
        <v>0</v>
      </c>
      <c r="AG26" s="589">
        <v>1</v>
      </c>
      <c r="AH26" s="580">
        <v>0</v>
      </c>
      <c r="AI26" s="538">
        <v>0</v>
      </c>
      <c r="AJ26" s="538">
        <v>1</v>
      </c>
      <c r="AK26" s="648">
        <v>0</v>
      </c>
      <c r="AL26" s="538"/>
      <c r="AM26" s="538"/>
      <c r="AN26" s="538"/>
      <c r="AO26" s="538"/>
      <c r="AP26" s="538"/>
      <c r="AQ26" s="538"/>
      <c r="AR26" s="538"/>
      <c r="AS26" s="589"/>
      <c r="AT26" s="580">
        <f t="shared" si="1"/>
        <v>1</v>
      </c>
      <c r="AU26" s="581">
        <f t="shared" si="0"/>
        <v>0.25</v>
      </c>
      <c r="AV26" s="659" t="s">
        <v>1197</v>
      </c>
      <c r="AW26" s="539"/>
      <c r="AX26" s="540"/>
    </row>
    <row r="27" spans="1:50">
      <c r="A27" s="1027" t="s">
        <v>92</v>
      </c>
      <c r="B27" s="1028"/>
      <c r="C27" s="1028"/>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56.25" customHeight="1">
      <c r="A28" s="1001" t="s">
        <v>265</v>
      </c>
      <c r="B28" s="1002"/>
      <c r="C28" s="1002"/>
      <c r="D28" s="974" t="s">
        <v>266</v>
      </c>
      <c r="E28" s="974"/>
      <c r="F28" s="974"/>
      <c r="G28" s="974"/>
      <c r="H28" s="974"/>
      <c r="I28" s="974"/>
      <c r="J28" s="1022" t="s">
        <v>267</v>
      </c>
      <c r="K28" s="1022"/>
      <c r="L28" s="1022"/>
      <c r="M28" s="1022"/>
      <c r="N28" s="1022"/>
      <c r="O28" s="1022"/>
      <c r="P28" s="974" t="s">
        <v>266</v>
      </c>
      <c r="Q28" s="974"/>
      <c r="R28" s="974"/>
      <c r="S28" s="974"/>
      <c r="T28" s="974"/>
      <c r="U28" s="974"/>
      <c r="V28" s="1014" t="s">
        <v>266</v>
      </c>
      <c r="W28" s="1014"/>
      <c r="X28" s="1014"/>
      <c r="Y28" s="1014"/>
      <c r="Z28" s="1014"/>
      <c r="AA28" s="1014"/>
      <c r="AB28" s="1014"/>
      <c r="AC28" s="1014"/>
      <c r="AD28" s="1014" t="s">
        <v>266</v>
      </c>
      <c r="AE28" s="1014"/>
      <c r="AF28" s="1014"/>
      <c r="AG28" s="1014"/>
      <c r="AH28" s="1014"/>
      <c r="AI28" s="1014"/>
      <c r="AJ28" s="1014"/>
      <c r="AK28" s="1014"/>
      <c r="AL28" s="1014"/>
      <c r="AM28" s="1014"/>
      <c r="AN28" s="1014"/>
      <c r="AO28" s="1014"/>
      <c r="AP28" s="996" t="s">
        <v>268</v>
      </c>
      <c r="AQ28" s="996"/>
      <c r="AR28" s="996"/>
      <c r="AS28" s="996"/>
      <c r="AT28" s="974" t="s">
        <v>269</v>
      </c>
      <c r="AU28" s="974"/>
      <c r="AV28" s="974"/>
      <c r="AW28" s="974"/>
      <c r="AX28" s="975"/>
    </row>
    <row r="29" spans="1:50" ht="39" customHeight="1">
      <c r="A29" s="1001"/>
      <c r="B29" s="1002"/>
      <c r="C29" s="1002"/>
      <c r="D29" s="1024" t="s">
        <v>270</v>
      </c>
      <c r="E29" s="1025"/>
      <c r="F29" s="1025"/>
      <c r="G29" s="1025"/>
      <c r="H29" s="1025"/>
      <c r="I29" s="1026"/>
      <c r="J29" s="1022"/>
      <c r="K29" s="1022"/>
      <c r="L29" s="1022"/>
      <c r="M29" s="1022"/>
      <c r="N29" s="1022"/>
      <c r="O29" s="1022"/>
      <c r="P29" s="974" t="s">
        <v>271</v>
      </c>
      <c r="Q29" s="974"/>
      <c r="R29" s="974"/>
      <c r="S29" s="974"/>
      <c r="T29" s="974"/>
      <c r="U29" s="974"/>
      <c r="V29" s="1014" t="s">
        <v>272</v>
      </c>
      <c r="W29" s="1014"/>
      <c r="X29" s="1014"/>
      <c r="Y29" s="1014"/>
      <c r="Z29" s="1014"/>
      <c r="AA29" s="1014"/>
      <c r="AB29" s="1014"/>
      <c r="AC29" s="1014"/>
      <c r="AD29" s="1014" t="s">
        <v>273</v>
      </c>
      <c r="AE29" s="1014"/>
      <c r="AF29" s="1014"/>
      <c r="AG29" s="1014"/>
      <c r="AH29" s="1014"/>
      <c r="AI29" s="1014"/>
      <c r="AJ29" s="1014"/>
      <c r="AK29" s="1014"/>
      <c r="AL29" s="1014"/>
      <c r="AM29" s="1014"/>
      <c r="AN29" s="1014"/>
      <c r="AO29" s="1014"/>
      <c r="AP29" s="996"/>
      <c r="AQ29" s="996"/>
      <c r="AR29" s="996"/>
      <c r="AS29" s="996"/>
      <c r="AT29" s="974" t="s">
        <v>274</v>
      </c>
      <c r="AU29" s="974"/>
      <c r="AV29" s="974"/>
      <c r="AW29" s="974"/>
      <c r="AX29" s="975"/>
    </row>
    <row r="30" spans="1:50" ht="32.25" customHeight="1" thickBot="1">
      <c r="A30" s="1003"/>
      <c r="B30" s="1004"/>
      <c r="C30" s="1004"/>
      <c r="D30" s="1011" t="s">
        <v>275</v>
      </c>
      <c r="E30" s="1012"/>
      <c r="F30" s="1012"/>
      <c r="G30" s="1012"/>
      <c r="H30" s="1012"/>
      <c r="I30" s="1013"/>
      <c r="J30" s="1023"/>
      <c r="K30" s="1023"/>
      <c r="L30" s="1023"/>
      <c r="M30" s="1023"/>
      <c r="N30" s="1023"/>
      <c r="O30" s="1023"/>
      <c r="P30" s="987" t="s">
        <v>276</v>
      </c>
      <c r="Q30" s="987"/>
      <c r="R30" s="987"/>
      <c r="S30" s="987"/>
      <c r="T30" s="987"/>
      <c r="U30" s="987"/>
      <c r="V30" s="1015" t="s">
        <v>277</v>
      </c>
      <c r="W30" s="1015"/>
      <c r="X30" s="1015"/>
      <c r="Y30" s="1015"/>
      <c r="Z30" s="1015"/>
      <c r="AA30" s="1015"/>
      <c r="AB30" s="1015"/>
      <c r="AC30" s="1015"/>
      <c r="AD30" s="1015" t="s">
        <v>278</v>
      </c>
      <c r="AE30" s="1015"/>
      <c r="AF30" s="1015"/>
      <c r="AG30" s="1015"/>
      <c r="AH30" s="1015"/>
      <c r="AI30" s="1015"/>
      <c r="AJ30" s="1015"/>
      <c r="AK30" s="1015"/>
      <c r="AL30" s="1015"/>
      <c r="AM30" s="1015"/>
      <c r="AN30" s="1015"/>
      <c r="AO30" s="1015"/>
      <c r="AP30" s="997"/>
      <c r="AQ30" s="997"/>
      <c r="AR30" s="997"/>
      <c r="AS30" s="997"/>
      <c r="AT30" s="987" t="s">
        <v>279</v>
      </c>
      <c r="AU30" s="987"/>
      <c r="AV30" s="987"/>
      <c r="AW30" s="987"/>
      <c r="AX30" s="988"/>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T29:AX29"/>
    <mergeCell ref="AT28:AX2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22" fitToHeight="0" orientation="landscape" r:id="rId1"/>
  <rowBreaks count="1" manualBreakCount="1">
    <brk id="2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4D7A0-D4BA-4FFD-A071-20E7B66888EA}">
  <sheetPr>
    <pageSetUpPr fitToPage="1"/>
  </sheetPr>
  <dimension ref="A1:CF93"/>
  <sheetViews>
    <sheetView topLeftCell="F8" zoomScale="75" zoomScaleNormal="75" workbookViewId="0">
      <selection activeCell="F26" sqref="F26"/>
    </sheetView>
  </sheetViews>
  <sheetFormatPr baseColWidth="10" defaultColWidth="19.42578125" defaultRowHeight="15"/>
  <cols>
    <col min="1" max="1" width="22.5703125" style="108" bestFit="1" customWidth="1"/>
    <col min="2" max="2" width="11" style="108" customWidth="1"/>
    <col min="3" max="3" width="14.42578125" style="108" bestFit="1" customWidth="1"/>
    <col min="4" max="4" width="13.28515625" style="108" bestFit="1" customWidth="1"/>
    <col min="5" max="5" width="16.140625" style="108" customWidth="1"/>
    <col min="6" max="6" width="12.42578125" style="108" customWidth="1"/>
    <col min="7" max="7" width="14.28515625" style="108" customWidth="1"/>
    <col min="8" max="8" width="16.140625" style="108" bestFit="1" customWidth="1"/>
    <col min="9" max="9" width="16.7109375" style="108" customWidth="1"/>
    <col min="10" max="10" width="12" style="108" customWidth="1"/>
    <col min="11" max="11" width="16.28515625" style="108" customWidth="1"/>
    <col min="12" max="12" width="12.28515625" style="108" customWidth="1"/>
    <col min="13" max="13" width="17.42578125" style="108" customWidth="1"/>
    <col min="14" max="14" width="12" style="108" customWidth="1"/>
    <col min="15" max="15" width="16.5703125" style="108" customWidth="1"/>
    <col min="16" max="16" width="13.28515625" style="108" customWidth="1"/>
    <col min="17" max="17" width="16.5703125" style="108" customWidth="1"/>
    <col min="18" max="18" width="13.7109375" style="108" customWidth="1"/>
    <col min="19" max="19" width="15.7109375" style="108" customWidth="1"/>
    <col min="20" max="20" width="12.5703125" style="108" customWidth="1"/>
    <col min="21" max="21" width="21.85546875" style="108" customWidth="1"/>
    <col min="22" max="22" width="16.140625" style="108" bestFit="1" customWidth="1"/>
    <col min="23" max="23" width="17.140625" style="108" customWidth="1"/>
    <col min="24" max="24" width="12.5703125" style="108" customWidth="1"/>
    <col min="25" max="25" width="17.7109375" style="108" customWidth="1"/>
    <col min="26" max="26" width="12.140625" style="108" customWidth="1"/>
    <col min="27" max="27" width="30.5703125" style="108" customWidth="1"/>
    <col min="28" max="28" width="8.140625" style="108" customWidth="1"/>
    <col min="29" max="29" width="16.140625" style="108" bestFit="1" customWidth="1"/>
    <col min="30" max="30" width="8.140625" style="108" customWidth="1"/>
    <col min="31" max="31" width="17.7109375" style="108" bestFit="1"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42" width="11.28515625" style="108" customWidth="1"/>
    <col min="43" max="43" width="13.5703125" style="108" customWidth="1"/>
    <col min="44" max="44" width="11.28515625" style="108" customWidth="1"/>
    <col min="45" max="45" width="26" style="108" customWidth="1"/>
    <col min="46" max="46" width="11.28515625" style="108" customWidth="1"/>
    <col min="47" max="47" width="19" style="108" bestFit="1" customWidth="1"/>
    <col min="48" max="48" width="11.28515625" style="108" customWidth="1"/>
    <col min="49" max="49" width="26.42578125" style="108" bestFit="1" customWidth="1"/>
    <col min="50" max="51" width="11.28515625" style="108" customWidth="1"/>
    <col min="52" max="52" width="16.140625" style="108" bestFit="1" customWidth="1"/>
    <col min="53" max="66" width="11.28515625" style="108" customWidth="1"/>
    <col min="67" max="67" width="19" style="108" bestFit="1" customWidth="1"/>
    <col min="68" max="71" width="8.85546875" style="108" customWidth="1"/>
    <col min="72" max="72" width="20.7109375" style="108" bestFit="1" customWidth="1"/>
    <col min="73" max="79" width="8.85546875" style="108" customWidth="1"/>
    <col min="80" max="257" width="19.42578125" style="108"/>
    <col min="258" max="260" width="11" style="108" customWidth="1"/>
    <col min="261" max="261" width="16.140625" style="108" customWidth="1"/>
    <col min="262" max="262" width="12.42578125" style="108" customWidth="1"/>
    <col min="263" max="263" width="14.28515625" style="108" customWidth="1"/>
    <col min="264" max="264" width="12" style="108" customWidth="1"/>
    <col min="265" max="265" width="16.7109375" style="108" customWidth="1"/>
    <col min="266" max="266" width="12" style="108" customWidth="1"/>
    <col min="267" max="267" width="16.28515625" style="108" customWidth="1"/>
    <col min="268" max="268" width="12.28515625" style="108" customWidth="1"/>
    <col min="269" max="269" width="17.42578125" style="108" customWidth="1"/>
    <col min="270" max="270" width="12" style="108" customWidth="1"/>
    <col min="271" max="271" width="16.5703125" style="108" customWidth="1"/>
    <col min="272" max="272" width="13.28515625" style="108" customWidth="1"/>
    <col min="273" max="273" width="16.5703125" style="108" customWidth="1"/>
    <col min="274" max="274" width="13.7109375" style="108" customWidth="1"/>
    <col min="275" max="275" width="15.7109375" style="108" customWidth="1"/>
    <col min="276" max="276" width="12.5703125" style="108" customWidth="1"/>
    <col min="277" max="277" width="19.140625" style="108" customWidth="1"/>
    <col min="278" max="278" width="12.28515625" style="108" customWidth="1"/>
    <col min="279" max="279" width="17.140625" style="108" customWidth="1"/>
    <col min="280" max="280" width="12.5703125" style="108" customWidth="1"/>
    <col min="281" max="281" width="17.7109375" style="108" customWidth="1"/>
    <col min="282" max="282" width="12.140625" style="108" customWidth="1"/>
    <col min="283" max="283" width="30.5703125" style="108" customWidth="1"/>
    <col min="284" max="287" width="8.140625" style="108" customWidth="1"/>
    <col min="288" max="288" width="9.42578125" style="108" customWidth="1"/>
    <col min="289" max="289" width="8.140625" style="108" customWidth="1"/>
    <col min="290" max="294" width="7.85546875" style="108" customWidth="1"/>
    <col min="295" max="295" width="11.28515625" style="108" customWidth="1"/>
    <col min="296" max="296" width="2.28515625" style="108" customWidth="1"/>
    <col min="297" max="297" width="19.42578125" style="108"/>
    <col min="298" max="323" width="11.28515625" style="108" customWidth="1"/>
    <col min="324" max="335" width="8.85546875" style="108" customWidth="1"/>
    <col min="336" max="513" width="19.42578125" style="108"/>
    <col min="514" max="516" width="11" style="108" customWidth="1"/>
    <col min="517" max="517" width="16.140625" style="108" customWidth="1"/>
    <col min="518" max="518" width="12.42578125" style="108" customWidth="1"/>
    <col min="519" max="519" width="14.28515625" style="108" customWidth="1"/>
    <col min="520" max="520" width="12" style="108" customWidth="1"/>
    <col min="521" max="521" width="16.7109375" style="108" customWidth="1"/>
    <col min="522" max="522" width="12" style="108" customWidth="1"/>
    <col min="523" max="523" width="16.28515625" style="108" customWidth="1"/>
    <col min="524" max="524" width="12.28515625" style="108" customWidth="1"/>
    <col min="525" max="525" width="17.42578125" style="108" customWidth="1"/>
    <col min="526" max="526" width="12" style="108" customWidth="1"/>
    <col min="527" max="527" width="16.5703125" style="108" customWidth="1"/>
    <col min="528" max="528" width="13.28515625" style="108" customWidth="1"/>
    <col min="529" max="529" width="16.5703125" style="108" customWidth="1"/>
    <col min="530" max="530" width="13.7109375" style="108" customWidth="1"/>
    <col min="531" max="531" width="15.7109375" style="108" customWidth="1"/>
    <col min="532" max="532" width="12.5703125" style="108" customWidth="1"/>
    <col min="533" max="533" width="19.140625" style="108" customWidth="1"/>
    <col min="534" max="534" width="12.28515625" style="108" customWidth="1"/>
    <col min="535" max="535" width="17.140625" style="108" customWidth="1"/>
    <col min="536" max="536" width="12.5703125" style="108" customWidth="1"/>
    <col min="537" max="537" width="17.7109375" style="108" customWidth="1"/>
    <col min="538" max="538" width="12.140625" style="108" customWidth="1"/>
    <col min="539" max="539" width="30.5703125" style="108" customWidth="1"/>
    <col min="540" max="543" width="8.140625" style="108" customWidth="1"/>
    <col min="544" max="544" width="9.42578125" style="108" customWidth="1"/>
    <col min="545" max="545" width="8.140625" style="108" customWidth="1"/>
    <col min="546" max="550" width="7.85546875" style="108" customWidth="1"/>
    <col min="551" max="551" width="11.28515625" style="108" customWidth="1"/>
    <col min="552" max="552" width="2.28515625" style="108" customWidth="1"/>
    <col min="553" max="553" width="19.42578125" style="108"/>
    <col min="554" max="579" width="11.28515625" style="108" customWidth="1"/>
    <col min="580" max="591" width="8.85546875" style="108" customWidth="1"/>
    <col min="592" max="769" width="19.42578125" style="108"/>
    <col min="770" max="772" width="11" style="108" customWidth="1"/>
    <col min="773" max="773" width="16.140625" style="108" customWidth="1"/>
    <col min="774" max="774" width="12.42578125" style="108" customWidth="1"/>
    <col min="775" max="775" width="14.28515625" style="108" customWidth="1"/>
    <col min="776" max="776" width="12" style="108" customWidth="1"/>
    <col min="777" max="777" width="16.7109375" style="108" customWidth="1"/>
    <col min="778" max="778" width="12" style="108" customWidth="1"/>
    <col min="779" max="779" width="16.28515625" style="108" customWidth="1"/>
    <col min="780" max="780" width="12.28515625" style="108" customWidth="1"/>
    <col min="781" max="781" width="17.42578125" style="108" customWidth="1"/>
    <col min="782" max="782" width="12" style="108" customWidth="1"/>
    <col min="783" max="783" width="16.5703125" style="108" customWidth="1"/>
    <col min="784" max="784" width="13.28515625" style="108" customWidth="1"/>
    <col min="785" max="785" width="16.5703125" style="108" customWidth="1"/>
    <col min="786" max="786" width="13.7109375" style="108" customWidth="1"/>
    <col min="787" max="787" width="15.7109375" style="108" customWidth="1"/>
    <col min="788" max="788" width="12.5703125" style="108" customWidth="1"/>
    <col min="789" max="789" width="19.140625" style="108" customWidth="1"/>
    <col min="790" max="790" width="12.28515625" style="108" customWidth="1"/>
    <col min="791" max="791" width="17.140625" style="108" customWidth="1"/>
    <col min="792" max="792" width="12.5703125" style="108" customWidth="1"/>
    <col min="793" max="793" width="17.7109375" style="108" customWidth="1"/>
    <col min="794" max="794" width="12.140625" style="108" customWidth="1"/>
    <col min="795" max="795" width="30.5703125" style="108" customWidth="1"/>
    <col min="796" max="799" width="8.140625" style="108" customWidth="1"/>
    <col min="800" max="800" width="9.42578125" style="108" customWidth="1"/>
    <col min="801" max="801" width="8.140625" style="108" customWidth="1"/>
    <col min="802" max="806" width="7.85546875" style="108" customWidth="1"/>
    <col min="807" max="807" width="11.28515625" style="108" customWidth="1"/>
    <col min="808" max="808" width="2.28515625" style="108" customWidth="1"/>
    <col min="809" max="809" width="19.42578125" style="108"/>
    <col min="810" max="835" width="11.28515625" style="108" customWidth="1"/>
    <col min="836" max="847" width="8.85546875" style="108" customWidth="1"/>
    <col min="848" max="1025" width="19.42578125" style="108"/>
    <col min="1026" max="1028" width="11" style="108" customWidth="1"/>
    <col min="1029" max="1029" width="16.140625" style="108" customWidth="1"/>
    <col min="1030" max="1030" width="12.42578125" style="108" customWidth="1"/>
    <col min="1031" max="1031" width="14.28515625" style="108" customWidth="1"/>
    <col min="1032" max="1032" width="12" style="108" customWidth="1"/>
    <col min="1033" max="1033" width="16.7109375" style="108" customWidth="1"/>
    <col min="1034" max="1034" width="12" style="108" customWidth="1"/>
    <col min="1035" max="1035" width="16.28515625" style="108" customWidth="1"/>
    <col min="1036" max="1036" width="12.28515625" style="108" customWidth="1"/>
    <col min="1037" max="1037" width="17.42578125" style="108" customWidth="1"/>
    <col min="1038" max="1038" width="12" style="108" customWidth="1"/>
    <col min="1039" max="1039" width="16.5703125" style="108" customWidth="1"/>
    <col min="1040" max="1040" width="13.28515625" style="108" customWidth="1"/>
    <col min="1041" max="1041" width="16.5703125" style="108" customWidth="1"/>
    <col min="1042" max="1042" width="13.7109375" style="108" customWidth="1"/>
    <col min="1043" max="1043" width="15.7109375" style="108" customWidth="1"/>
    <col min="1044" max="1044" width="12.5703125" style="108" customWidth="1"/>
    <col min="1045" max="1045" width="19.140625" style="108" customWidth="1"/>
    <col min="1046" max="1046" width="12.28515625" style="108" customWidth="1"/>
    <col min="1047" max="1047" width="17.140625" style="108" customWidth="1"/>
    <col min="1048" max="1048" width="12.5703125" style="108" customWidth="1"/>
    <col min="1049" max="1049" width="17.7109375" style="108" customWidth="1"/>
    <col min="1050" max="1050" width="12.140625" style="108" customWidth="1"/>
    <col min="1051" max="1051" width="30.5703125" style="108" customWidth="1"/>
    <col min="1052" max="1055" width="8.140625" style="108" customWidth="1"/>
    <col min="1056" max="1056" width="9.42578125" style="108" customWidth="1"/>
    <col min="1057" max="1057" width="8.140625" style="108" customWidth="1"/>
    <col min="1058" max="1062" width="7.85546875" style="108" customWidth="1"/>
    <col min="1063" max="1063" width="11.28515625" style="108" customWidth="1"/>
    <col min="1064" max="1064" width="2.28515625" style="108" customWidth="1"/>
    <col min="1065" max="1065" width="19.42578125" style="108"/>
    <col min="1066" max="1091" width="11.28515625" style="108" customWidth="1"/>
    <col min="1092" max="1103" width="8.85546875" style="108" customWidth="1"/>
    <col min="1104" max="1281" width="19.42578125" style="108"/>
    <col min="1282" max="1284" width="11" style="108" customWidth="1"/>
    <col min="1285" max="1285" width="16.140625" style="108" customWidth="1"/>
    <col min="1286" max="1286" width="12.42578125" style="108" customWidth="1"/>
    <col min="1287" max="1287" width="14.28515625" style="108" customWidth="1"/>
    <col min="1288" max="1288" width="12" style="108" customWidth="1"/>
    <col min="1289" max="1289" width="16.7109375" style="108" customWidth="1"/>
    <col min="1290" max="1290" width="12" style="108" customWidth="1"/>
    <col min="1291" max="1291" width="16.28515625" style="108" customWidth="1"/>
    <col min="1292" max="1292" width="12.28515625" style="108" customWidth="1"/>
    <col min="1293" max="1293" width="17.42578125" style="108" customWidth="1"/>
    <col min="1294" max="1294" width="12" style="108" customWidth="1"/>
    <col min="1295" max="1295" width="16.5703125" style="108" customWidth="1"/>
    <col min="1296" max="1296" width="13.28515625" style="108" customWidth="1"/>
    <col min="1297" max="1297" width="16.5703125" style="108" customWidth="1"/>
    <col min="1298" max="1298" width="13.7109375" style="108" customWidth="1"/>
    <col min="1299" max="1299" width="15.7109375" style="108" customWidth="1"/>
    <col min="1300" max="1300" width="12.5703125" style="108" customWidth="1"/>
    <col min="1301" max="1301" width="19.140625" style="108" customWidth="1"/>
    <col min="1302" max="1302" width="12.28515625" style="108" customWidth="1"/>
    <col min="1303" max="1303" width="17.140625" style="108" customWidth="1"/>
    <col min="1304" max="1304" width="12.5703125" style="108" customWidth="1"/>
    <col min="1305" max="1305" width="17.7109375" style="108" customWidth="1"/>
    <col min="1306" max="1306" width="12.140625" style="108" customWidth="1"/>
    <col min="1307" max="1307" width="30.5703125" style="108" customWidth="1"/>
    <col min="1308" max="1311" width="8.140625" style="108" customWidth="1"/>
    <col min="1312" max="1312" width="9.42578125" style="108" customWidth="1"/>
    <col min="1313" max="1313" width="8.140625" style="108" customWidth="1"/>
    <col min="1314" max="1318" width="7.85546875" style="108" customWidth="1"/>
    <col min="1319" max="1319" width="11.28515625" style="108" customWidth="1"/>
    <col min="1320" max="1320" width="2.28515625" style="108" customWidth="1"/>
    <col min="1321" max="1321" width="19.42578125" style="108"/>
    <col min="1322" max="1347" width="11.28515625" style="108" customWidth="1"/>
    <col min="1348" max="1359" width="8.85546875" style="108" customWidth="1"/>
    <col min="1360" max="1537" width="19.42578125" style="108"/>
    <col min="1538" max="1540" width="11" style="108" customWidth="1"/>
    <col min="1541" max="1541" width="16.140625" style="108" customWidth="1"/>
    <col min="1542" max="1542" width="12.42578125" style="108" customWidth="1"/>
    <col min="1543" max="1543" width="14.28515625" style="108" customWidth="1"/>
    <col min="1544" max="1544" width="12" style="108" customWidth="1"/>
    <col min="1545" max="1545" width="16.7109375" style="108" customWidth="1"/>
    <col min="1546" max="1546" width="12" style="108" customWidth="1"/>
    <col min="1547" max="1547" width="16.28515625" style="108" customWidth="1"/>
    <col min="1548" max="1548" width="12.28515625" style="108" customWidth="1"/>
    <col min="1549" max="1549" width="17.42578125" style="108" customWidth="1"/>
    <col min="1550" max="1550" width="12" style="108" customWidth="1"/>
    <col min="1551" max="1551" width="16.5703125" style="108" customWidth="1"/>
    <col min="1552" max="1552" width="13.28515625" style="108" customWidth="1"/>
    <col min="1553" max="1553" width="16.5703125" style="108" customWidth="1"/>
    <col min="1554" max="1554" width="13.7109375" style="108" customWidth="1"/>
    <col min="1555" max="1555" width="15.7109375" style="108" customWidth="1"/>
    <col min="1556" max="1556" width="12.5703125" style="108" customWidth="1"/>
    <col min="1557" max="1557" width="19.140625" style="108" customWidth="1"/>
    <col min="1558" max="1558" width="12.28515625" style="108" customWidth="1"/>
    <col min="1559" max="1559" width="17.140625" style="108" customWidth="1"/>
    <col min="1560" max="1560" width="12.5703125" style="108" customWidth="1"/>
    <col min="1561" max="1561" width="17.7109375" style="108" customWidth="1"/>
    <col min="1562" max="1562" width="12.140625" style="108" customWidth="1"/>
    <col min="1563" max="1563" width="30.5703125" style="108" customWidth="1"/>
    <col min="1564" max="1567" width="8.140625" style="108" customWidth="1"/>
    <col min="1568" max="1568" width="9.42578125" style="108" customWidth="1"/>
    <col min="1569" max="1569" width="8.140625" style="108" customWidth="1"/>
    <col min="1570" max="1574" width="7.85546875" style="108" customWidth="1"/>
    <col min="1575" max="1575" width="11.28515625" style="108" customWidth="1"/>
    <col min="1576" max="1576" width="2.28515625" style="108" customWidth="1"/>
    <col min="1577" max="1577" width="19.42578125" style="108"/>
    <col min="1578" max="1603" width="11.28515625" style="108" customWidth="1"/>
    <col min="1604" max="1615" width="8.85546875" style="108" customWidth="1"/>
    <col min="1616" max="1793" width="19.42578125" style="108"/>
    <col min="1794" max="1796" width="11" style="108" customWidth="1"/>
    <col min="1797" max="1797" width="16.140625" style="108" customWidth="1"/>
    <col min="1798" max="1798" width="12.42578125" style="108" customWidth="1"/>
    <col min="1799" max="1799" width="14.28515625" style="108" customWidth="1"/>
    <col min="1800" max="1800" width="12" style="108" customWidth="1"/>
    <col min="1801" max="1801" width="16.7109375" style="108" customWidth="1"/>
    <col min="1802" max="1802" width="12" style="108" customWidth="1"/>
    <col min="1803" max="1803" width="16.28515625" style="108" customWidth="1"/>
    <col min="1804" max="1804" width="12.28515625" style="108" customWidth="1"/>
    <col min="1805" max="1805" width="17.42578125" style="108" customWidth="1"/>
    <col min="1806" max="1806" width="12" style="108" customWidth="1"/>
    <col min="1807" max="1807" width="16.5703125" style="108" customWidth="1"/>
    <col min="1808" max="1808" width="13.28515625" style="108" customWidth="1"/>
    <col min="1809" max="1809" width="16.5703125" style="108" customWidth="1"/>
    <col min="1810" max="1810" width="13.7109375" style="108" customWidth="1"/>
    <col min="1811" max="1811" width="15.7109375" style="108" customWidth="1"/>
    <col min="1812" max="1812" width="12.5703125" style="108" customWidth="1"/>
    <col min="1813" max="1813" width="19.140625" style="108" customWidth="1"/>
    <col min="1814" max="1814" width="12.28515625" style="108" customWidth="1"/>
    <col min="1815" max="1815" width="17.140625" style="108" customWidth="1"/>
    <col min="1816" max="1816" width="12.5703125" style="108" customWidth="1"/>
    <col min="1817" max="1817" width="17.7109375" style="108" customWidth="1"/>
    <col min="1818" max="1818" width="12.140625" style="108" customWidth="1"/>
    <col min="1819" max="1819" width="30.5703125" style="108" customWidth="1"/>
    <col min="1820" max="1823" width="8.140625" style="108" customWidth="1"/>
    <col min="1824" max="1824" width="9.42578125" style="108" customWidth="1"/>
    <col min="1825" max="1825" width="8.140625" style="108" customWidth="1"/>
    <col min="1826" max="1830" width="7.85546875" style="108" customWidth="1"/>
    <col min="1831" max="1831" width="11.28515625" style="108" customWidth="1"/>
    <col min="1832" max="1832" width="2.28515625" style="108" customWidth="1"/>
    <col min="1833" max="1833" width="19.42578125" style="108"/>
    <col min="1834" max="1859" width="11.28515625" style="108" customWidth="1"/>
    <col min="1860" max="1871" width="8.85546875" style="108" customWidth="1"/>
    <col min="1872" max="2049" width="19.42578125" style="108"/>
    <col min="2050" max="2052" width="11" style="108" customWidth="1"/>
    <col min="2053" max="2053" width="16.140625" style="108" customWidth="1"/>
    <col min="2054" max="2054" width="12.42578125" style="108" customWidth="1"/>
    <col min="2055" max="2055" width="14.28515625" style="108" customWidth="1"/>
    <col min="2056" max="2056" width="12" style="108" customWidth="1"/>
    <col min="2057" max="2057" width="16.7109375" style="108" customWidth="1"/>
    <col min="2058" max="2058" width="12" style="108" customWidth="1"/>
    <col min="2059" max="2059" width="16.28515625" style="108" customWidth="1"/>
    <col min="2060" max="2060" width="12.28515625" style="108" customWidth="1"/>
    <col min="2061" max="2061" width="17.42578125" style="108" customWidth="1"/>
    <col min="2062" max="2062" width="12" style="108" customWidth="1"/>
    <col min="2063" max="2063" width="16.5703125" style="108" customWidth="1"/>
    <col min="2064" max="2064" width="13.28515625" style="108" customWidth="1"/>
    <col min="2065" max="2065" width="16.5703125" style="108" customWidth="1"/>
    <col min="2066" max="2066" width="13.7109375" style="108" customWidth="1"/>
    <col min="2067" max="2067" width="15.7109375" style="108" customWidth="1"/>
    <col min="2068" max="2068" width="12.5703125" style="108" customWidth="1"/>
    <col min="2069" max="2069" width="19.140625" style="108" customWidth="1"/>
    <col min="2070" max="2070" width="12.28515625" style="108" customWidth="1"/>
    <col min="2071" max="2071" width="17.140625" style="108" customWidth="1"/>
    <col min="2072" max="2072" width="12.5703125" style="108" customWidth="1"/>
    <col min="2073" max="2073" width="17.7109375" style="108" customWidth="1"/>
    <col min="2074" max="2074" width="12.140625" style="108" customWidth="1"/>
    <col min="2075" max="2075" width="30.5703125" style="108" customWidth="1"/>
    <col min="2076" max="2079" width="8.140625" style="108" customWidth="1"/>
    <col min="2080" max="2080" width="9.42578125" style="108" customWidth="1"/>
    <col min="2081" max="2081" width="8.140625" style="108" customWidth="1"/>
    <col min="2082" max="2086" width="7.85546875" style="108" customWidth="1"/>
    <col min="2087" max="2087" width="11.28515625" style="108" customWidth="1"/>
    <col min="2088" max="2088" width="2.28515625" style="108" customWidth="1"/>
    <col min="2089" max="2089" width="19.42578125" style="108"/>
    <col min="2090" max="2115" width="11.28515625" style="108" customWidth="1"/>
    <col min="2116" max="2127" width="8.85546875" style="108" customWidth="1"/>
    <col min="2128" max="2305" width="19.42578125" style="108"/>
    <col min="2306" max="2308" width="11" style="108" customWidth="1"/>
    <col min="2309" max="2309" width="16.140625" style="108" customWidth="1"/>
    <col min="2310" max="2310" width="12.42578125" style="108" customWidth="1"/>
    <col min="2311" max="2311" width="14.28515625" style="108" customWidth="1"/>
    <col min="2312" max="2312" width="12" style="108" customWidth="1"/>
    <col min="2313" max="2313" width="16.7109375" style="108" customWidth="1"/>
    <col min="2314" max="2314" width="12" style="108" customWidth="1"/>
    <col min="2315" max="2315" width="16.28515625" style="108" customWidth="1"/>
    <col min="2316" max="2316" width="12.28515625" style="108" customWidth="1"/>
    <col min="2317" max="2317" width="17.42578125" style="108" customWidth="1"/>
    <col min="2318" max="2318" width="12" style="108" customWidth="1"/>
    <col min="2319" max="2319" width="16.5703125" style="108" customWidth="1"/>
    <col min="2320" max="2320" width="13.28515625" style="108" customWidth="1"/>
    <col min="2321" max="2321" width="16.5703125" style="108" customWidth="1"/>
    <col min="2322" max="2322" width="13.7109375" style="108" customWidth="1"/>
    <col min="2323" max="2323" width="15.7109375" style="108" customWidth="1"/>
    <col min="2324" max="2324" width="12.5703125" style="108" customWidth="1"/>
    <col min="2325" max="2325" width="19.140625" style="108" customWidth="1"/>
    <col min="2326" max="2326" width="12.28515625" style="108" customWidth="1"/>
    <col min="2327" max="2327" width="17.140625" style="108" customWidth="1"/>
    <col min="2328" max="2328" width="12.5703125" style="108" customWidth="1"/>
    <col min="2329" max="2329" width="17.7109375" style="108" customWidth="1"/>
    <col min="2330" max="2330" width="12.140625" style="108" customWidth="1"/>
    <col min="2331" max="2331" width="30.5703125" style="108" customWidth="1"/>
    <col min="2332" max="2335" width="8.140625" style="108" customWidth="1"/>
    <col min="2336" max="2336" width="9.42578125" style="108" customWidth="1"/>
    <col min="2337" max="2337" width="8.140625" style="108" customWidth="1"/>
    <col min="2338" max="2342" width="7.85546875" style="108" customWidth="1"/>
    <col min="2343" max="2343" width="11.28515625" style="108" customWidth="1"/>
    <col min="2344" max="2344" width="2.28515625" style="108" customWidth="1"/>
    <col min="2345" max="2345" width="19.42578125" style="108"/>
    <col min="2346" max="2371" width="11.28515625" style="108" customWidth="1"/>
    <col min="2372" max="2383" width="8.85546875" style="108" customWidth="1"/>
    <col min="2384" max="2561" width="19.42578125" style="108"/>
    <col min="2562" max="2564" width="11" style="108" customWidth="1"/>
    <col min="2565" max="2565" width="16.140625" style="108" customWidth="1"/>
    <col min="2566" max="2566" width="12.42578125" style="108" customWidth="1"/>
    <col min="2567" max="2567" width="14.28515625" style="108" customWidth="1"/>
    <col min="2568" max="2568" width="12" style="108" customWidth="1"/>
    <col min="2569" max="2569" width="16.7109375" style="108" customWidth="1"/>
    <col min="2570" max="2570" width="12" style="108" customWidth="1"/>
    <col min="2571" max="2571" width="16.28515625" style="108" customWidth="1"/>
    <col min="2572" max="2572" width="12.28515625" style="108" customWidth="1"/>
    <col min="2573" max="2573" width="17.42578125" style="108" customWidth="1"/>
    <col min="2574" max="2574" width="12" style="108" customWidth="1"/>
    <col min="2575" max="2575" width="16.5703125" style="108" customWidth="1"/>
    <col min="2576" max="2576" width="13.28515625" style="108" customWidth="1"/>
    <col min="2577" max="2577" width="16.5703125" style="108" customWidth="1"/>
    <col min="2578" max="2578" width="13.7109375" style="108" customWidth="1"/>
    <col min="2579" max="2579" width="15.7109375" style="108" customWidth="1"/>
    <col min="2580" max="2580" width="12.5703125" style="108" customWidth="1"/>
    <col min="2581" max="2581" width="19.140625" style="108" customWidth="1"/>
    <col min="2582" max="2582" width="12.28515625" style="108" customWidth="1"/>
    <col min="2583" max="2583" width="17.140625" style="108" customWidth="1"/>
    <col min="2584" max="2584" width="12.5703125" style="108" customWidth="1"/>
    <col min="2585" max="2585" width="17.7109375" style="108" customWidth="1"/>
    <col min="2586" max="2586" width="12.140625" style="108" customWidth="1"/>
    <col min="2587" max="2587" width="30.5703125" style="108" customWidth="1"/>
    <col min="2588" max="2591" width="8.140625" style="108" customWidth="1"/>
    <col min="2592" max="2592" width="9.42578125" style="108" customWidth="1"/>
    <col min="2593" max="2593" width="8.140625" style="108" customWidth="1"/>
    <col min="2594" max="2598" width="7.85546875" style="108" customWidth="1"/>
    <col min="2599" max="2599" width="11.28515625" style="108" customWidth="1"/>
    <col min="2600" max="2600" width="2.28515625" style="108" customWidth="1"/>
    <col min="2601" max="2601" width="19.42578125" style="108"/>
    <col min="2602" max="2627" width="11.28515625" style="108" customWidth="1"/>
    <col min="2628" max="2639" width="8.85546875" style="108" customWidth="1"/>
    <col min="2640" max="2817" width="19.42578125" style="108"/>
    <col min="2818" max="2820" width="11" style="108" customWidth="1"/>
    <col min="2821" max="2821" width="16.140625" style="108" customWidth="1"/>
    <col min="2822" max="2822" width="12.42578125" style="108" customWidth="1"/>
    <col min="2823" max="2823" width="14.28515625" style="108" customWidth="1"/>
    <col min="2824" max="2824" width="12" style="108" customWidth="1"/>
    <col min="2825" max="2825" width="16.7109375" style="108" customWidth="1"/>
    <col min="2826" max="2826" width="12" style="108" customWidth="1"/>
    <col min="2827" max="2827" width="16.28515625" style="108" customWidth="1"/>
    <col min="2828" max="2828" width="12.28515625" style="108" customWidth="1"/>
    <col min="2829" max="2829" width="17.42578125" style="108" customWidth="1"/>
    <col min="2830" max="2830" width="12" style="108" customWidth="1"/>
    <col min="2831" max="2831" width="16.5703125" style="108" customWidth="1"/>
    <col min="2832" max="2832" width="13.28515625" style="108" customWidth="1"/>
    <col min="2833" max="2833" width="16.5703125" style="108" customWidth="1"/>
    <col min="2834" max="2834" width="13.7109375" style="108" customWidth="1"/>
    <col min="2835" max="2835" width="15.7109375" style="108" customWidth="1"/>
    <col min="2836" max="2836" width="12.5703125" style="108" customWidth="1"/>
    <col min="2837" max="2837" width="19.140625" style="108" customWidth="1"/>
    <col min="2838" max="2838" width="12.28515625" style="108" customWidth="1"/>
    <col min="2839" max="2839" width="17.140625" style="108" customWidth="1"/>
    <col min="2840" max="2840" width="12.5703125" style="108" customWidth="1"/>
    <col min="2841" max="2841" width="17.7109375" style="108" customWidth="1"/>
    <col min="2842" max="2842" width="12.140625" style="108" customWidth="1"/>
    <col min="2843" max="2843" width="30.5703125" style="108" customWidth="1"/>
    <col min="2844" max="2847" width="8.140625" style="108" customWidth="1"/>
    <col min="2848" max="2848" width="9.42578125" style="108" customWidth="1"/>
    <col min="2849" max="2849" width="8.140625" style="108" customWidth="1"/>
    <col min="2850" max="2854" width="7.85546875" style="108" customWidth="1"/>
    <col min="2855" max="2855" width="11.28515625" style="108" customWidth="1"/>
    <col min="2856" max="2856" width="2.28515625" style="108" customWidth="1"/>
    <col min="2857" max="2857" width="19.42578125" style="108"/>
    <col min="2858" max="2883" width="11.28515625" style="108" customWidth="1"/>
    <col min="2884" max="2895" width="8.85546875" style="108" customWidth="1"/>
    <col min="2896" max="3073" width="19.42578125" style="108"/>
    <col min="3074" max="3076" width="11" style="108" customWidth="1"/>
    <col min="3077" max="3077" width="16.140625" style="108" customWidth="1"/>
    <col min="3078" max="3078" width="12.42578125" style="108" customWidth="1"/>
    <col min="3079" max="3079" width="14.28515625" style="108" customWidth="1"/>
    <col min="3080" max="3080" width="12" style="108" customWidth="1"/>
    <col min="3081" max="3081" width="16.7109375" style="108" customWidth="1"/>
    <col min="3082" max="3082" width="12" style="108" customWidth="1"/>
    <col min="3083" max="3083" width="16.28515625" style="108" customWidth="1"/>
    <col min="3084" max="3084" width="12.28515625" style="108" customWidth="1"/>
    <col min="3085" max="3085" width="17.42578125" style="108" customWidth="1"/>
    <col min="3086" max="3086" width="12" style="108" customWidth="1"/>
    <col min="3087" max="3087" width="16.5703125" style="108" customWidth="1"/>
    <col min="3088" max="3088" width="13.28515625" style="108" customWidth="1"/>
    <col min="3089" max="3089" width="16.5703125" style="108" customWidth="1"/>
    <col min="3090" max="3090" width="13.7109375" style="108" customWidth="1"/>
    <col min="3091" max="3091" width="15.7109375" style="108" customWidth="1"/>
    <col min="3092" max="3092" width="12.5703125" style="108" customWidth="1"/>
    <col min="3093" max="3093" width="19.140625" style="108" customWidth="1"/>
    <col min="3094" max="3094" width="12.28515625" style="108" customWidth="1"/>
    <col min="3095" max="3095" width="17.140625" style="108" customWidth="1"/>
    <col min="3096" max="3096" width="12.5703125" style="108" customWidth="1"/>
    <col min="3097" max="3097" width="17.7109375" style="108" customWidth="1"/>
    <col min="3098" max="3098" width="12.140625" style="108" customWidth="1"/>
    <col min="3099" max="3099" width="30.5703125" style="108" customWidth="1"/>
    <col min="3100" max="3103" width="8.140625" style="108" customWidth="1"/>
    <col min="3104" max="3104" width="9.42578125" style="108" customWidth="1"/>
    <col min="3105" max="3105" width="8.140625" style="108" customWidth="1"/>
    <col min="3106" max="3110" width="7.85546875" style="108" customWidth="1"/>
    <col min="3111" max="3111" width="11.28515625" style="108" customWidth="1"/>
    <col min="3112" max="3112" width="2.28515625" style="108" customWidth="1"/>
    <col min="3113" max="3113" width="19.42578125" style="108"/>
    <col min="3114" max="3139" width="11.28515625" style="108" customWidth="1"/>
    <col min="3140" max="3151" width="8.85546875" style="108" customWidth="1"/>
    <col min="3152" max="3329" width="19.42578125" style="108"/>
    <col min="3330" max="3332" width="11" style="108" customWidth="1"/>
    <col min="3333" max="3333" width="16.140625" style="108" customWidth="1"/>
    <col min="3334" max="3334" width="12.42578125" style="108" customWidth="1"/>
    <col min="3335" max="3335" width="14.28515625" style="108" customWidth="1"/>
    <col min="3336" max="3336" width="12" style="108" customWidth="1"/>
    <col min="3337" max="3337" width="16.7109375" style="108" customWidth="1"/>
    <col min="3338" max="3338" width="12" style="108" customWidth="1"/>
    <col min="3339" max="3339" width="16.28515625" style="108" customWidth="1"/>
    <col min="3340" max="3340" width="12.28515625" style="108" customWidth="1"/>
    <col min="3341" max="3341" width="17.42578125" style="108" customWidth="1"/>
    <col min="3342" max="3342" width="12" style="108" customWidth="1"/>
    <col min="3343" max="3343" width="16.5703125" style="108" customWidth="1"/>
    <col min="3344" max="3344" width="13.28515625" style="108" customWidth="1"/>
    <col min="3345" max="3345" width="16.5703125" style="108" customWidth="1"/>
    <col min="3346" max="3346" width="13.7109375" style="108" customWidth="1"/>
    <col min="3347" max="3347" width="15.7109375" style="108" customWidth="1"/>
    <col min="3348" max="3348" width="12.5703125" style="108" customWidth="1"/>
    <col min="3349" max="3349" width="19.140625" style="108" customWidth="1"/>
    <col min="3350" max="3350" width="12.28515625" style="108" customWidth="1"/>
    <col min="3351" max="3351" width="17.140625" style="108" customWidth="1"/>
    <col min="3352" max="3352" width="12.5703125" style="108" customWidth="1"/>
    <col min="3353" max="3353" width="17.7109375" style="108" customWidth="1"/>
    <col min="3354" max="3354" width="12.140625" style="108" customWidth="1"/>
    <col min="3355" max="3355" width="30.5703125" style="108" customWidth="1"/>
    <col min="3356" max="3359" width="8.140625" style="108" customWidth="1"/>
    <col min="3360" max="3360" width="9.42578125" style="108" customWidth="1"/>
    <col min="3361" max="3361" width="8.140625" style="108" customWidth="1"/>
    <col min="3362" max="3366" width="7.85546875" style="108" customWidth="1"/>
    <col min="3367" max="3367" width="11.28515625" style="108" customWidth="1"/>
    <col min="3368" max="3368" width="2.28515625" style="108" customWidth="1"/>
    <col min="3369" max="3369" width="19.42578125" style="108"/>
    <col min="3370" max="3395" width="11.28515625" style="108" customWidth="1"/>
    <col min="3396" max="3407" width="8.85546875" style="108" customWidth="1"/>
    <col min="3408" max="3585" width="19.42578125" style="108"/>
    <col min="3586" max="3588" width="11" style="108" customWidth="1"/>
    <col min="3589" max="3589" width="16.140625" style="108" customWidth="1"/>
    <col min="3590" max="3590" width="12.42578125" style="108" customWidth="1"/>
    <col min="3591" max="3591" width="14.28515625" style="108" customWidth="1"/>
    <col min="3592" max="3592" width="12" style="108" customWidth="1"/>
    <col min="3593" max="3593" width="16.7109375" style="108" customWidth="1"/>
    <col min="3594" max="3594" width="12" style="108" customWidth="1"/>
    <col min="3595" max="3595" width="16.28515625" style="108" customWidth="1"/>
    <col min="3596" max="3596" width="12.28515625" style="108" customWidth="1"/>
    <col min="3597" max="3597" width="17.42578125" style="108" customWidth="1"/>
    <col min="3598" max="3598" width="12" style="108" customWidth="1"/>
    <col min="3599" max="3599" width="16.5703125" style="108" customWidth="1"/>
    <col min="3600" max="3600" width="13.28515625" style="108" customWidth="1"/>
    <col min="3601" max="3601" width="16.5703125" style="108" customWidth="1"/>
    <col min="3602" max="3602" width="13.7109375" style="108" customWidth="1"/>
    <col min="3603" max="3603" width="15.7109375" style="108" customWidth="1"/>
    <col min="3604" max="3604" width="12.5703125" style="108" customWidth="1"/>
    <col min="3605" max="3605" width="19.140625" style="108" customWidth="1"/>
    <col min="3606" max="3606" width="12.28515625" style="108" customWidth="1"/>
    <col min="3607" max="3607" width="17.140625" style="108" customWidth="1"/>
    <col min="3608" max="3608" width="12.5703125" style="108" customWidth="1"/>
    <col min="3609" max="3609" width="17.7109375" style="108" customWidth="1"/>
    <col min="3610" max="3610" width="12.140625" style="108" customWidth="1"/>
    <col min="3611" max="3611" width="30.5703125" style="108" customWidth="1"/>
    <col min="3612" max="3615" width="8.140625" style="108" customWidth="1"/>
    <col min="3616" max="3616" width="9.42578125" style="108" customWidth="1"/>
    <col min="3617" max="3617" width="8.140625" style="108" customWidth="1"/>
    <col min="3618" max="3622" width="7.85546875" style="108" customWidth="1"/>
    <col min="3623" max="3623" width="11.28515625" style="108" customWidth="1"/>
    <col min="3624" max="3624" width="2.28515625" style="108" customWidth="1"/>
    <col min="3625" max="3625" width="19.42578125" style="108"/>
    <col min="3626" max="3651" width="11.28515625" style="108" customWidth="1"/>
    <col min="3652" max="3663" width="8.85546875" style="108" customWidth="1"/>
    <col min="3664" max="3841" width="19.42578125" style="108"/>
    <col min="3842" max="3844" width="11" style="108" customWidth="1"/>
    <col min="3845" max="3845" width="16.140625" style="108" customWidth="1"/>
    <col min="3846" max="3846" width="12.42578125" style="108" customWidth="1"/>
    <col min="3847" max="3847" width="14.28515625" style="108" customWidth="1"/>
    <col min="3848" max="3848" width="12" style="108" customWidth="1"/>
    <col min="3849" max="3849" width="16.7109375" style="108" customWidth="1"/>
    <col min="3850" max="3850" width="12" style="108" customWidth="1"/>
    <col min="3851" max="3851" width="16.28515625" style="108" customWidth="1"/>
    <col min="3852" max="3852" width="12.28515625" style="108" customWidth="1"/>
    <col min="3853" max="3853" width="17.42578125" style="108" customWidth="1"/>
    <col min="3854" max="3854" width="12" style="108" customWidth="1"/>
    <col min="3855" max="3855" width="16.5703125" style="108" customWidth="1"/>
    <col min="3856" max="3856" width="13.28515625" style="108" customWidth="1"/>
    <col min="3857" max="3857" width="16.5703125" style="108" customWidth="1"/>
    <col min="3858" max="3858" width="13.7109375" style="108" customWidth="1"/>
    <col min="3859" max="3859" width="15.7109375" style="108" customWidth="1"/>
    <col min="3860" max="3860" width="12.5703125" style="108" customWidth="1"/>
    <col min="3861" max="3861" width="19.140625" style="108" customWidth="1"/>
    <col min="3862" max="3862" width="12.28515625" style="108" customWidth="1"/>
    <col min="3863" max="3863" width="17.140625" style="108" customWidth="1"/>
    <col min="3864" max="3864" width="12.5703125" style="108" customWidth="1"/>
    <col min="3865" max="3865" width="17.7109375" style="108" customWidth="1"/>
    <col min="3866" max="3866" width="12.140625" style="108" customWidth="1"/>
    <col min="3867" max="3867" width="30.5703125" style="108" customWidth="1"/>
    <col min="3868" max="3871" width="8.140625" style="108" customWidth="1"/>
    <col min="3872" max="3872" width="9.42578125" style="108" customWidth="1"/>
    <col min="3873" max="3873" width="8.140625" style="108" customWidth="1"/>
    <col min="3874" max="3878" width="7.85546875" style="108" customWidth="1"/>
    <col min="3879" max="3879" width="11.28515625" style="108" customWidth="1"/>
    <col min="3880" max="3880" width="2.28515625" style="108" customWidth="1"/>
    <col min="3881" max="3881" width="19.42578125" style="108"/>
    <col min="3882" max="3907" width="11.28515625" style="108" customWidth="1"/>
    <col min="3908" max="3919" width="8.85546875" style="108" customWidth="1"/>
    <col min="3920" max="4097" width="19.42578125" style="108"/>
    <col min="4098" max="4100" width="11" style="108" customWidth="1"/>
    <col min="4101" max="4101" width="16.140625" style="108" customWidth="1"/>
    <col min="4102" max="4102" width="12.42578125" style="108" customWidth="1"/>
    <col min="4103" max="4103" width="14.28515625" style="108" customWidth="1"/>
    <col min="4104" max="4104" width="12" style="108" customWidth="1"/>
    <col min="4105" max="4105" width="16.7109375" style="108" customWidth="1"/>
    <col min="4106" max="4106" width="12" style="108" customWidth="1"/>
    <col min="4107" max="4107" width="16.28515625" style="108" customWidth="1"/>
    <col min="4108" max="4108" width="12.28515625" style="108" customWidth="1"/>
    <col min="4109" max="4109" width="17.42578125" style="108" customWidth="1"/>
    <col min="4110" max="4110" width="12" style="108" customWidth="1"/>
    <col min="4111" max="4111" width="16.5703125" style="108" customWidth="1"/>
    <col min="4112" max="4112" width="13.28515625" style="108" customWidth="1"/>
    <col min="4113" max="4113" width="16.5703125" style="108" customWidth="1"/>
    <col min="4114" max="4114" width="13.7109375" style="108" customWidth="1"/>
    <col min="4115" max="4115" width="15.7109375" style="108" customWidth="1"/>
    <col min="4116" max="4116" width="12.5703125" style="108" customWidth="1"/>
    <col min="4117" max="4117" width="19.140625" style="108" customWidth="1"/>
    <col min="4118" max="4118" width="12.28515625" style="108" customWidth="1"/>
    <col min="4119" max="4119" width="17.140625" style="108" customWidth="1"/>
    <col min="4120" max="4120" width="12.5703125" style="108" customWidth="1"/>
    <col min="4121" max="4121" width="17.7109375" style="108" customWidth="1"/>
    <col min="4122" max="4122" width="12.140625" style="108" customWidth="1"/>
    <col min="4123" max="4123" width="30.5703125" style="108" customWidth="1"/>
    <col min="4124" max="4127" width="8.140625" style="108" customWidth="1"/>
    <col min="4128" max="4128" width="9.42578125" style="108" customWidth="1"/>
    <col min="4129" max="4129" width="8.140625" style="108" customWidth="1"/>
    <col min="4130" max="4134" width="7.85546875" style="108" customWidth="1"/>
    <col min="4135" max="4135" width="11.28515625" style="108" customWidth="1"/>
    <col min="4136" max="4136" width="2.28515625" style="108" customWidth="1"/>
    <col min="4137" max="4137" width="19.42578125" style="108"/>
    <col min="4138" max="4163" width="11.28515625" style="108" customWidth="1"/>
    <col min="4164" max="4175" width="8.85546875" style="108" customWidth="1"/>
    <col min="4176" max="4353" width="19.42578125" style="108"/>
    <col min="4354" max="4356" width="11" style="108" customWidth="1"/>
    <col min="4357" max="4357" width="16.140625" style="108" customWidth="1"/>
    <col min="4358" max="4358" width="12.42578125" style="108" customWidth="1"/>
    <col min="4359" max="4359" width="14.28515625" style="108" customWidth="1"/>
    <col min="4360" max="4360" width="12" style="108" customWidth="1"/>
    <col min="4361" max="4361" width="16.7109375" style="108" customWidth="1"/>
    <col min="4362" max="4362" width="12" style="108" customWidth="1"/>
    <col min="4363" max="4363" width="16.28515625" style="108" customWidth="1"/>
    <col min="4364" max="4364" width="12.28515625" style="108" customWidth="1"/>
    <col min="4365" max="4365" width="17.42578125" style="108" customWidth="1"/>
    <col min="4366" max="4366" width="12" style="108" customWidth="1"/>
    <col min="4367" max="4367" width="16.5703125" style="108" customWidth="1"/>
    <col min="4368" max="4368" width="13.28515625" style="108" customWidth="1"/>
    <col min="4369" max="4369" width="16.5703125" style="108" customWidth="1"/>
    <col min="4370" max="4370" width="13.7109375" style="108" customWidth="1"/>
    <col min="4371" max="4371" width="15.7109375" style="108" customWidth="1"/>
    <col min="4372" max="4372" width="12.5703125" style="108" customWidth="1"/>
    <col min="4373" max="4373" width="19.140625" style="108" customWidth="1"/>
    <col min="4374" max="4374" width="12.28515625" style="108" customWidth="1"/>
    <col min="4375" max="4375" width="17.140625" style="108" customWidth="1"/>
    <col min="4376" max="4376" width="12.5703125" style="108" customWidth="1"/>
    <col min="4377" max="4377" width="17.7109375" style="108" customWidth="1"/>
    <col min="4378" max="4378" width="12.140625" style="108" customWidth="1"/>
    <col min="4379" max="4379" width="30.5703125" style="108" customWidth="1"/>
    <col min="4380" max="4383" width="8.140625" style="108" customWidth="1"/>
    <col min="4384" max="4384" width="9.42578125" style="108" customWidth="1"/>
    <col min="4385" max="4385" width="8.140625" style="108" customWidth="1"/>
    <col min="4386" max="4390" width="7.85546875" style="108" customWidth="1"/>
    <col min="4391" max="4391" width="11.28515625" style="108" customWidth="1"/>
    <col min="4392" max="4392" width="2.28515625" style="108" customWidth="1"/>
    <col min="4393" max="4393" width="19.42578125" style="108"/>
    <col min="4394" max="4419" width="11.28515625" style="108" customWidth="1"/>
    <col min="4420" max="4431" width="8.85546875" style="108" customWidth="1"/>
    <col min="4432" max="4609" width="19.42578125" style="108"/>
    <col min="4610" max="4612" width="11" style="108" customWidth="1"/>
    <col min="4613" max="4613" width="16.140625" style="108" customWidth="1"/>
    <col min="4614" max="4614" width="12.42578125" style="108" customWidth="1"/>
    <col min="4615" max="4615" width="14.28515625" style="108" customWidth="1"/>
    <col min="4616" max="4616" width="12" style="108" customWidth="1"/>
    <col min="4617" max="4617" width="16.7109375" style="108" customWidth="1"/>
    <col min="4618" max="4618" width="12" style="108" customWidth="1"/>
    <col min="4619" max="4619" width="16.28515625" style="108" customWidth="1"/>
    <col min="4620" max="4620" width="12.28515625" style="108" customWidth="1"/>
    <col min="4621" max="4621" width="17.42578125" style="108" customWidth="1"/>
    <col min="4622" max="4622" width="12" style="108" customWidth="1"/>
    <col min="4623" max="4623" width="16.5703125" style="108" customWidth="1"/>
    <col min="4624" max="4624" width="13.28515625" style="108" customWidth="1"/>
    <col min="4625" max="4625" width="16.5703125" style="108" customWidth="1"/>
    <col min="4626" max="4626" width="13.7109375" style="108" customWidth="1"/>
    <col min="4627" max="4627" width="15.7109375" style="108" customWidth="1"/>
    <col min="4628" max="4628" width="12.5703125" style="108" customWidth="1"/>
    <col min="4629" max="4629" width="19.140625" style="108" customWidth="1"/>
    <col min="4630" max="4630" width="12.28515625" style="108" customWidth="1"/>
    <col min="4631" max="4631" width="17.140625" style="108" customWidth="1"/>
    <col min="4632" max="4632" width="12.5703125" style="108" customWidth="1"/>
    <col min="4633" max="4633" width="17.7109375" style="108" customWidth="1"/>
    <col min="4634" max="4634" width="12.140625" style="108" customWidth="1"/>
    <col min="4635" max="4635" width="30.5703125" style="108" customWidth="1"/>
    <col min="4636" max="4639" width="8.140625" style="108" customWidth="1"/>
    <col min="4640" max="4640" width="9.42578125" style="108" customWidth="1"/>
    <col min="4641" max="4641" width="8.140625" style="108" customWidth="1"/>
    <col min="4642" max="4646" width="7.85546875" style="108" customWidth="1"/>
    <col min="4647" max="4647" width="11.28515625" style="108" customWidth="1"/>
    <col min="4648" max="4648" width="2.28515625" style="108" customWidth="1"/>
    <col min="4649" max="4649" width="19.42578125" style="108"/>
    <col min="4650" max="4675" width="11.28515625" style="108" customWidth="1"/>
    <col min="4676" max="4687" width="8.85546875" style="108" customWidth="1"/>
    <col min="4688" max="4865" width="19.42578125" style="108"/>
    <col min="4866" max="4868" width="11" style="108" customWidth="1"/>
    <col min="4869" max="4869" width="16.140625" style="108" customWidth="1"/>
    <col min="4870" max="4870" width="12.42578125" style="108" customWidth="1"/>
    <col min="4871" max="4871" width="14.28515625" style="108" customWidth="1"/>
    <col min="4872" max="4872" width="12" style="108" customWidth="1"/>
    <col min="4873" max="4873" width="16.7109375" style="108" customWidth="1"/>
    <col min="4874" max="4874" width="12" style="108" customWidth="1"/>
    <col min="4875" max="4875" width="16.28515625" style="108" customWidth="1"/>
    <col min="4876" max="4876" width="12.28515625" style="108" customWidth="1"/>
    <col min="4877" max="4877" width="17.42578125" style="108" customWidth="1"/>
    <col min="4878" max="4878" width="12" style="108" customWidth="1"/>
    <col min="4879" max="4879" width="16.5703125" style="108" customWidth="1"/>
    <col min="4880" max="4880" width="13.28515625" style="108" customWidth="1"/>
    <col min="4881" max="4881" width="16.5703125" style="108" customWidth="1"/>
    <col min="4882" max="4882" width="13.7109375" style="108" customWidth="1"/>
    <col min="4883" max="4883" width="15.7109375" style="108" customWidth="1"/>
    <col min="4884" max="4884" width="12.5703125" style="108" customWidth="1"/>
    <col min="4885" max="4885" width="19.140625" style="108" customWidth="1"/>
    <col min="4886" max="4886" width="12.28515625" style="108" customWidth="1"/>
    <col min="4887" max="4887" width="17.140625" style="108" customWidth="1"/>
    <col min="4888" max="4888" width="12.5703125" style="108" customWidth="1"/>
    <col min="4889" max="4889" width="17.7109375" style="108" customWidth="1"/>
    <col min="4890" max="4890" width="12.140625" style="108" customWidth="1"/>
    <col min="4891" max="4891" width="30.5703125" style="108" customWidth="1"/>
    <col min="4892" max="4895" width="8.140625" style="108" customWidth="1"/>
    <col min="4896" max="4896" width="9.42578125" style="108" customWidth="1"/>
    <col min="4897" max="4897" width="8.140625" style="108" customWidth="1"/>
    <col min="4898" max="4902" width="7.85546875" style="108" customWidth="1"/>
    <col min="4903" max="4903" width="11.28515625" style="108" customWidth="1"/>
    <col min="4904" max="4904" width="2.28515625" style="108" customWidth="1"/>
    <col min="4905" max="4905" width="19.42578125" style="108"/>
    <col min="4906" max="4931" width="11.28515625" style="108" customWidth="1"/>
    <col min="4932" max="4943" width="8.85546875" style="108" customWidth="1"/>
    <col min="4944" max="5121" width="19.42578125" style="108"/>
    <col min="5122" max="5124" width="11" style="108" customWidth="1"/>
    <col min="5125" max="5125" width="16.140625" style="108" customWidth="1"/>
    <col min="5126" max="5126" width="12.42578125" style="108" customWidth="1"/>
    <col min="5127" max="5127" width="14.28515625" style="108" customWidth="1"/>
    <col min="5128" max="5128" width="12" style="108" customWidth="1"/>
    <col min="5129" max="5129" width="16.7109375" style="108" customWidth="1"/>
    <col min="5130" max="5130" width="12" style="108" customWidth="1"/>
    <col min="5131" max="5131" width="16.28515625" style="108" customWidth="1"/>
    <col min="5132" max="5132" width="12.28515625" style="108" customWidth="1"/>
    <col min="5133" max="5133" width="17.42578125" style="108" customWidth="1"/>
    <col min="5134" max="5134" width="12" style="108" customWidth="1"/>
    <col min="5135" max="5135" width="16.5703125" style="108" customWidth="1"/>
    <col min="5136" max="5136" width="13.28515625" style="108" customWidth="1"/>
    <col min="5137" max="5137" width="16.5703125" style="108" customWidth="1"/>
    <col min="5138" max="5138" width="13.7109375" style="108" customWidth="1"/>
    <col min="5139" max="5139" width="15.7109375" style="108" customWidth="1"/>
    <col min="5140" max="5140" width="12.5703125" style="108" customWidth="1"/>
    <col min="5141" max="5141" width="19.140625" style="108" customWidth="1"/>
    <col min="5142" max="5142" width="12.28515625" style="108" customWidth="1"/>
    <col min="5143" max="5143" width="17.140625" style="108" customWidth="1"/>
    <col min="5144" max="5144" width="12.5703125" style="108" customWidth="1"/>
    <col min="5145" max="5145" width="17.7109375" style="108" customWidth="1"/>
    <col min="5146" max="5146" width="12.140625" style="108" customWidth="1"/>
    <col min="5147" max="5147" width="30.5703125" style="108" customWidth="1"/>
    <col min="5148" max="5151" width="8.140625" style="108" customWidth="1"/>
    <col min="5152" max="5152" width="9.42578125" style="108" customWidth="1"/>
    <col min="5153" max="5153" width="8.140625" style="108" customWidth="1"/>
    <col min="5154" max="5158" width="7.85546875" style="108" customWidth="1"/>
    <col min="5159" max="5159" width="11.28515625" style="108" customWidth="1"/>
    <col min="5160" max="5160" width="2.28515625" style="108" customWidth="1"/>
    <col min="5161" max="5161" width="19.42578125" style="108"/>
    <col min="5162" max="5187" width="11.28515625" style="108" customWidth="1"/>
    <col min="5188" max="5199" width="8.85546875" style="108" customWidth="1"/>
    <col min="5200" max="5377" width="19.42578125" style="108"/>
    <col min="5378" max="5380" width="11" style="108" customWidth="1"/>
    <col min="5381" max="5381" width="16.140625" style="108" customWidth="1"/>
    <col min="5382" max="5382" width="12.42578125" style="108" customWidth="1"/>
    <col min="5383" max="5383" width="14.28515625" style="108" customWidth="1"/>
    <col min="5384" max="5384" width="12" style="108" customWidth="1"/>
    <col min="5385" max="5385" width="16.7109375" style="108" customWidth="1"/>
    <col min="5386" max="5386" width="12" style="108" customWidth="1"/>
    <col min="5387" max="5387" width="16.28515625" style="108" customWidth="1"/>
    <col min="5388" max="5388" width="12.28515625" style="108" customWidth="1"/>
    <col min="5389" max="5389" width="17.42578125" style="108" customWidth="1"/>
    <col min="5390" max="5390" width="12" style="108" customWidth="1"/>
    <col min="5391" max="5391" width="16.5703125" style="108" customWidth="1"/>
    <col min="5392" max="5392" width="13.28515625" style="108" customWidth="1"/>
    <col min="5393" max="5393" width="16.5703125" style="108" customWidth="1"/>
    <col min="5394" max="5394" width="13.7109375" style="108" customWidth="1"/>
    <col min="5395" max="5395" width="15.7109375" style="108" customWidth="1"/>
    <col min="5396" max="5396" width="12.5703125" style="108" customWidth="1"/>
    <col min="5397" max="5397" width="19.140625" style="108" customWidth="1"/>
    <col min="5398" max="5398" width="12.28515625" style="108" customWidth="1"/>
    <col min="5399" max="5399" width="17.140625" style="108" customWidth="1"/>
    <col min="5400" max="5400" width="12.5703125" style="108" customWidth="1"/>
    <col min="5401" max="5401" width="17.7109375" style="108" customWidth="1"/>
    <col min="5402" max="5402" width="12.140625" style="108" customWidth="1"/>
    <col min="5403" max="5403" width="30.5703125" style="108" customWidth="1"/>
    <col min="5404" max="5407" width="8.140625" style="108" customWidth="1"/>
    <col min="5408" max="5408" width="9.42578125" style="108" customWidth="1"/>
    <col min="5409" max="5409" width="8.140625" style="108" customWidth="1"/>
    <col min="5410" max="5414" width="7.85546875" style="108" customWidth="1"/>
    <col min="5415" max="5415" width="11.28515625" style="108" customWidth="1"/>
    <col min="5416" max="5416" width="2.28515625" style="108" customWidth="1"/>
    <col min="5417" max="5417" width="19.42578125" style="108"/>
    <col min="5418" max="5443" width="11.28515625" style="108" customWidth="1"/>
    <col min="5444" max="5455" width="8.85546875" style="108" customWidth="1"/>
    <col min="5456" max="5633" width="19.42578125" style="108"/>
    <col min="5634" max="5636" width="11" style="108" customWidth="1"/>
    <col min="5637" max="5637" width="16.140625" style="108" customWidth="1"/>
    <col min="5638" max="5638" width="12.42578125" style="108" customWidth="1"/>
    <col min="5639" max="5639" width="14.28515625" style="108" customWidth="1"/>
    <col min="5640" max="5640" width="12" style="108" customWidth="1"/>
    <col min="5641" max="5641" width="16.7109375" style="108" customWidth="1"/>
    <col min="5642" max="5642" width="12" style="108" customWidth="1"/>
    <col min="5643" max="5643" width="16.28515625" style="108" customWidth="1"/>
    <col min="5644" max="5644" width="12.28515625" style="108" customWidth="1"/>
    <col min="5645" max="5645" width="17.42578125" style="108" customWidth="1"/>
    <col min="5646" max="5646" width="12" style="108" customWidth="1"/>
    <col min="5647" max="5647" width="16.5703125" style="108" customWidth="1"/>
    <col min="5648" max="5648" width="13.28515625" style="108" customWidth="1"/>
    <col min="5649" max="5649" width="16.5703125" style="108" customWidth="1"/>
    <col min="5650" max="5650" width="13.7109375" style="108" customWidth="1"/>
    <col min="5651" max="5651" width="15.7109375" style="108" customWidth="1"/>
    <col min="5652" max="5652" width="12.5703125" style="108" customWidth="1"/>
    <col min="5653" max="5653" width="19.140625" style="108" customWidth="1"/>
    <col min="5654" max="5654" width="12.28515625" style="108" customWidth="1"/>
    <col min="5655" max="5655" width="17.140625" style="108" customWidth="1"/>
    <col min="5656" max="5656" width="12.5703125" style="108" customWidth="1"/>
    <col min="5657" max="5657" width="17.7109375" style="108" customWidth="1"/>
    <col min="5658" max="5658" width="12.140625" style="108" customWidth="1"/>
    <col min="5659" max="5659" width="30.5703125" style="108" customWidth="1"/>
    <col min="5660" max="5663" width="8.140625" style="108" customWidth="1"/>
    <col min="5664" max="5664" width="9.42578125" style="108" customWidth="1"/>
    <col min="5665" max="5665" width="8.140625" style="108" customWidth="1"/>
    <col min="5666" max="5670" width="7.85546875" style="108" customWidth="1"/>
    <col min="5671" max="5671" width="11.28515625" style="108" customWidth="1"/>
    <col min="5672" max="5672" width="2.28515625" style="108" customWidth="1"/>
    <col min="5673" max="5673" width="19.42578125" style="108"/>
    <col min="5674" max="5699" width="11.28515625" style="108" customWidth="1"/>
    <col min="5700" max="5711" width="8.85546875" style="108" customWidth="1"/>
    <col min="5712" max="5889" width="19.42578125" style="108"/>
    <col min="5890" max="5892" width="11" style="108" customWidth="1"/>
    <col min="5893" max="5893" width="16.140625" style="108" customWidth="1"/>
    <col min="5894" max="5894" width="12.42578125" style="108" customWidth="1"/>
    <col min="5895" max="5895" width="14.28515625" style="108" customWidth="1"/>
    <col min="5896" max="5896" width="12" style="108" customWidth="1"/>
    <col min="5897" max="5897" width="16.7109375" style="108" customWidth="1"/>
    <col min="5898" max="5898" width="12" style="108" customWidth="1"/>
    <col min="5899" max="5899" width="16.28515625" style="108" customWidth="1"/>
    <col min="5900" max="5900" width="12.28515625" style="108" customWidth="1"/>
    <col min="5901" max="5901" width="17.42578125" style="108" customWidth="1"/>
    <col min="5902" max="5902" width="12" style="108" customWidth="1"/>
    <col min="5903" max="5903" width="16.5703125" style="108" customWidth="1"/>
    <col min="5904" max="5904" width="13.28515625" style="108" customWidth="1"/>
    <col min="5905" max="5905" width="16.5703125" style="108" customWidth="1"/>
    <col min="5906" max="5906" width="13.7109375" style="108" customWidth="1"/>
    <col min="5907" max="5907" width="15.7109375" style="108" customWidth="1"/>
    <col min="5908" max="5908" width="12.5703125" style="108" customWidth="1"/>
    <col min="5909" max="5909" width="19.140625" style="108" customWidth="1"/>
    <col min="5910" max="5910" width="12.28515625" style="108" customWidth="1"/>
    <col min="5911" max="5911" width="17.140625" style="108" customWidth="1"/>
    <col min="5912" max="5912" width="12.5703125" style="108" customWidth="1"/>
    <col min="5913" max="5913" width="17.7109375" style="108" customWidth="1"/>
    <col min="5914" max="5914" width="12.140625" style="108" customWidth="1"/>
    <col min="5915" max="5915" width="30.5703125" style="108" customWidth="1"/>
    <col min="5916" max="5919" width="8.140625" style="108" customWidth="1"/>
    <col min="5920" max="5920" width="9.42578125" style="108" customWidth="1"/>
    <col min="5921" max="5921" width="8.140625" style="108" customWidth="1"/>
    <col min="5922" max="5926" width="7.85546875" style="108" customWidth="1"/>
    <col min="5927" max="5927" width="11.28515625" style="108" customWidth="1"/>
    <col min="5928" max="5928" width="2.28515625" style="108" customWidth="1"/>
    <col min="5929" max="5929" width="19.42578125" style="108"/>
    <col min="5930" max="5955" width="11.28515625" style="108" customWidth="1"/>
    <col min="5956" max="5967" width="8.85546875" style="108" customWidth="1"/>
    <col min="5968" max="6145" width="19.42578125" style="108"/>
    <col min="6146" max="6148" width="11" style="108" customWidth="1"/>
    <col min="6149" max="6149" width="16.140625" style="108" customWidth="1"/>
    <col min="6150" max="6150" width="12.42578125" style="108" customWidth="1"/>
    <col min="6151" max="6151" width="14.28515625" style="108" customWidth="1"/>
    <col min="6152" max="6152" width="12" style="108" customWidth="1"/>
    <col min="6153" max="6153" width="16.7109375" style="108" customWidth="1"/>
    <col min="6154" max="6154" width="12" style="108" customWidth="1"/>
    <col min="6155" max="6155" width="16.28515625" style="108" customWidth="1"/>
    <col min="6156" max="6156" width="12.28515625" style="108" customWidth="1"/>
    <col min="6157" max="6157" width="17.42578125" style="108" customWidth="1"/>
    <col min="6158" max="6158" width="12" style="108" customWidth="1"/>
    <col min="6159" max="6159" width="16.5703125" style="108" customWidth="1"/>
    <col min="6160" max="6160" width="13.28515625" style="108" customWidth="1"/>
    <col min="6161" max="6161" width="16.5703125" style="108" customWidth="1"/>
    <col min="6162" max="6162" width="13.7109375" style="108" customWidth="1"/>
    <col min="6163" max="6163" width="15.7109375" style="108" customWidth="1"/>
    <col min="6164" max="6164" width="12.5703125" style="108" customWidth="1"/>
    <col min="6165" max="6165" width="19.140625" style="108" customWidth="1"/>
    <col min="6166" max="6166" width="12.28515625" style="108" customWidth="1"/>
    <col min="6167" max="6167" width="17.140625" style="108" customWidth="1"/>
    <col min="6168" max="6168" width="12.5703125" style="108" customWidth="1"/>
    <col min="6169" max="6169" width="17.7109375" style="108" customWidth="1"/>
    <col min="6170" max="6170" width="12.140625" style="108" customWidth="1"/>
    <col min="6171" max="6171" width="30.5703125" style="108" customWidth="1"/>
    <col min="6172" max="6175" width="8.140625" style="108" customWidth="1"/>
    <col min="6176" max="6176" width="9.42578125" style="108" customWidth="1"/>
    <col min="6177" max="6177" width="8.140625" style="108" customWidth="1"/>
    <col min="6178" max="6182" width="7.85546875" style="108" customWidth="1"/>
    <col min="6183" max="6183" width="11.28515625" style="108" customWidth="1"/>
    <col min="6184" max="6184" width="2.28515625" style="108" customWidth="1"/>
    <col min="6185" max="6185" width="19.42578125" style="108"/>
    <col min="6186" max="6211" width="11.28515625" style="108" customWidth="1"/>
    <col min="6212" max="6223" width="8.85546875" style="108" customWidth="1"/>
    <col min="6224" max="6401" width="19.42578125" style="108"/>
    <col min="6402" max="6404" width="11" style="108" customWidth="1"/>
    <col min="6405" max="6405" width="16.140625" style="108" customWidth="1"/>
    <col min="6406" max="6406" width="12.42578125" style="108" customWidth="1"/>
    <col min="6407" max="6407" width="14.28515625" style="108" customWidth="1"/>
    <col min="6408" max="6408" width="12" style="108" customWidth="1"/>
    <col min="6409" max="6409" width="16.7109375" style="108" customWidth="1"/>
    <col min="6410" max="6410" width="12" style="108" customWidth="1"/>
    <col min="6411" max="6411" width="16.28515625" style="108" customWidth="1"/>
    <col min="6412" max="6412" width="12.28515625" style="108" customWidth="1"/>
    <col min="6413" max="6413" width="17.42578125" style="108" customWidth="1"/>
    <col min="6414" max="6414" width="12" style="108" customWidth="1"/>
    <col min="6415" max="6415" width="16.5703125" style="108" customWidth="1"/>
    <col min="6416" max="6416" width="13.28515625" style="108" customWidth="1"/>
    <col min="6417" max="6417" width="16.5703125" style="108" customWidth="1"/>
    <col min="6418" max="6418" width="13.7109375" style="108" customWidth="1"/>
    <col min="6419" max="6419" width="15.7109375" style="108" customWidth="1"/>
    <col min="6420" max="6420" width="12.5703125" style="108" customWidth="1"/>
    <col min="6421" max="6421" width="19.140625" style="108" customWidth="1"/>
    <col min="6422" max="6422" width="12.28515625" style="108" customWidth="1"/>
    <col min="6423" max="6423" width="17.140625" style="108" customWidth="1"/>
    <col min="6424" max="6424" width="12.5703125" style="108" customWidth="1"/>
    <col min="6425" max="6425" width="17.7109375" style="108" customWidth="1"/>
    <col min="6426" max="6426" width="12.140625" style="108" customWidth="1"/>
    <col min="6427" max="6427" width="30.5703125" style="108" customWidth="1"/>
    <col min="6428" max="6431" width="8.140625" style="108" customWidth="1"/>
    <col min="6432" max="6432" width="9.42578125" style="108" customWidth="1"/>
    <col min="6433" max="6433" width="8.140625" style="108" customWidth="1"/>
    <col min="6434" max="6438" width="7.85546875" style="108" customWidth="1"/>
    <col min="6439" max="6439" width="11.28515625" style="108" customWidth="1"/>
    <col min="6440" max="6440" width="2.28515625" style="108" customWidth="1"/>
    <col min="6441" max="6441" width="19.42578125" style="108"/>
    <col min="6442" max="6467" width="11.28515625" style="108" customWidth="1"/>
    <col min="6468" max="6479" width="8.85546875" style="108" customWidth="1"/>
    <col min="6480" max="6657" width="19.42578125" style="108"/>
    <col min="6658" max="6660" width="11" style="108" customWidth="1"/>
    <col min="6661" max="6661" width="16.140625" style="108" customWidth="1"/>
    <col min="6662" max="6662" width="12.42578125" style="108" customWidth="1"/>
    <col min="6663" max="6663" width="14.28515625" style="108" customWidth="1"/>
    <col min="6664" max="6664" width="12" style="108" customWidth="1"/>
    <col min="6665" max="6665" width="16.7109375" style="108" customWidth="1"/>
    <col min="6666" max="6666" width="12" style="108" customWidth="1"/>
    <col min="6667" max="6667" width="16.28515625" style="108" customWidth="1"/>
    <col min="6668" max="6668" width="12.28515625" style="108" customWidth="1"/>
    <col min="6669" max="6669" width="17.42578125" style="108" customWidth="1"/>
    <col min="6670" max="6670" width="12" style="108" customWidth="1"/>
    <col min="6671" max="6671" width="16.5703125" style="108" customWidth="1"/>
    <col min="6672" max="6672" width="13.28515625" style="108" customWidth="1"/>
    <col min="6673" max="6673" width="16.5703125" style="108" customWidth="1"/>
    <col min="6674" max="6674" width="13.7109375" style="108" customWidth="1"/>
    <col min="6675" max="6675" width="15.7109375" style="108" customWidth="1"/>
    <col min="6676" max="6676" width="12.5703125" style="108" customWidth="1"/>
    <col min="6677" max="6677" width="19.140625" style="108" customWidth="1"/>
    <col min="6678" max="6678" width="12.28515625" style="108" customWidth="1"/>
    <col min="6679" max="6679" width="17.140625" style="108" customWidth="1"/>
    <col min="6680" max="6680" width="12.5703125" style="108" customWidth="1"/>
    <col min="6681" max="6681" width="17.7109375" style="108" customWidth="1"/>
    <col min="6682" max="6682" width="12.140625" style="108" customWidth="1"/>
    <col min="6683" max="6683" width="30.5703125" style="108" customWidth="1"/>
    <col min="6684" max="6687" width="8.140625" style="108" customWidth="1"/>
    <col min="6688" max="6688" width="9.42578125" style="108" customWidth="1"/>
    <col min="6689" max="6689" width="8.140625" style="108" customWidth="1"/>
    <col min="6690" max="6694" width="7.85546875" style="108" customWidth="1"/>
    <col min="6695" max="6695" width="11.28515625" style="108" customWidth="1"/>
    <col min="6696" max="6696" width="2.28515625" style="108" customWidth="1"/>
    <col min="6697" max="6697" width="19.42578125" style="108"/>
    <col min="6698" max="6723" width="11.28515625" style="108" customWidth="1"/>
    <col min="6724" max="6735" width="8.85546875" style="108" customWidth="1"/>
    <col min="6736" max="6913" width="19.42578125" style="108"/>
    <col min="6914" max="6916" width="11" style="108" customWidth="1"/>
    <col min="6917" max="6917" width="16.140625" style="108" customWidth="1"/>
    <col min="6918" max="6918" width="12.42578125" style="108" customWidth="1"/>
    <col min="6919" max="6919" width="14.28515625" style="108" customWidth="1"/>
    <col min="6920" max="6920" width="12" style="108" customWidth="1"/>
    <col min="6921" max="6921" width="16.7109375" style="108" customWidth="1"/>
    <col min="6922" max="6922" width="12" style="108" customWidth="1"/>
    <col min="6923" max="6923" width="16.28515625" style="108" customWidth="1"/>
    <col min="6924" max="6924" width="12.28515625" style="108" customWidth="1"/>
    <col min="6925" max="6925" width="17.42578125" style="108" customWidth="1"/>
    <col min="6926" max="6926" width="12" style="108" customWidth="1"/>
    <col min="6927" max="6927" width="16.5703125" style="108" customWidth="1"/>
    <col min="6928" max="6928" width="13.28515625" style="108" customWidth="1"/>
    <col min="6929" max="6929" width="16.5703125" style="108" customWidth="1"/>
    <col min="6930" max="6930" width="13.7109375" style="108" customWidth="1"/>
    <col min="6931" max="6931" width="15.7109375" style="108" customWidth="1"/>
    <col min="6932" max="6932" width="12.5703125" style="108" customWidth="1"/>
    <col min="6933" max="6933" width="19.140625" style="108" customWidth="1"/>
    <col min="6934" max="6934" width="12.28515625" style="108" customWidth="1"/>
    <col min="6935" max="6935" width="17.140625" style="108" customWidth="1"/>
    <col min="6936" max="6936" width="12.5703125" style="108" customWidth="1"/>
    <col min="6937" max="6937" width="17.7109375" style="108" customWidth="1"/>
    <col min="6938" max="6938" width="12.140625" style="108" customWidth="1"/>
    <col min="6939" max="6939" width="30.5703125" style="108" customWidth="1"/>
    <col min="6940" max="6943" width="8.140625" style="108" customWidth="1"/>
    <col min="6944" max="6944" width="9.42578125" style="108" customWidth="1"/>
    <col min="6945" max="6945" width="8.140625" style="108" customWidth="1"/>
    <col min="6946" max="6950" width="7.85546875" style="108" customWidth="1"/>
    <col min="6951" max="6951" width="11.28515625" style="108" customWidth="1"/>
    <col min="6952" max="6952" width="2.28515625" style="108" customWidth="1"/>
    <col min="6953" max="6953" width="19.42578125" style="108"/>
    <col min="6954" max="6979" width="11.28515625" style="108" customWidth="1"/>
    <col min="6980" max="6991" width="8.85546875" style="108" customWidth="1"/>
    <col min="6992" max="7169" width="19.42578125" style="108"/>
    <col min="7170" max="7172" width="11" style="108" customWidth="1"/>
    <col min="7173" max="7173" width="16.140625" style="108" customWidth="1"/>
    <col min="7174" max="7174" width="12.42578125" style="108" customWidth="1"/>
    <col min="7175" max="7175" width="14.28515625" style="108" customWidth="1"/>
    <col min="7176" max="7176" width="12" style="108" customWidth="1"/>
    <col min="7177" max="7177" width="16.7109375" style="108" customWidth="1"/>
    <col min="7178" max="7178" width="12" style="108" customWidth="1"/>
    <col min="7179" max="7179" width="16.28515625" style="108" customWidth="1"/>
    <col min="7180" max="7180" width="12.28515625" style="108" customWidth="1"/>
    <col min="7181" max="7181" width="17.42578125" style="108" customWidth="1"/>
    <col min="7182" max="7182" width="12" style="108" customWidth="1"/>
    <col min="7183" max="7183" width="16.5703125" style="108" customWidth="1"/>
    <col min="7184" max="7184" width="13.28515625" style="108" customWidth="1"/>
    <col min="7185" max="7185" width="16.5703125" style="108" customWidth="1"/>
    <col min="7186" max="7186" width="13.7109375" style="108" customWidth="1"/>
    <col min="7187" max="7187" width="15.7109375" style="108" customWidth="1"/>
    <col min="7188" max="7188" width="12.5703125" style="108" customWidth="1"/>
    <col min="7189" max="7189" width="19.140625" style="108" customWidth="1"/>
    <col min="7190" max="7190" width="12.28515625" style="108" customWidth="1"/>
    <col min="7191" max="7191" width="17.140625" style="108" customWidth="1"/>
    <col min="7192" max="7192" width="12.5703125" style="108" customWidth="1"/>
    <col min="7193" max="7193" width="17.7109375" style="108" customWidth="1"/>
    <col min="7194" max="7194" width="12.140625" style="108" customWidth="1"/>
    <col min="7195" max="7195" width="30.5703125" style="108" customWidth="1"/>
    <col min="7196" max="7199" width="8.140625" style="108" customWidth="1"/>
    <col min="7200" max="7200" width="9.42578125" style="108" customWidth="1"/>
    <col min="7201" max="7201" width="8.140625" style="108" customWidth="1"/>
    <col min="7202" max="7206" width="7.85546875" style="108" customWidth="1"/>
    <col min="7207" max="7207" width="11.28515625" style="108" customWidth="1"/>
    <col min="7208" max="7208" width="2.28515625" style="108" customWidth="1"/>
    <col min="7209" max="7209" width="19.42578125" style="108"/>
    <col min="7210" max="7235" width="11.28515625" style="108" customWidth="1"/>
    <col min="7236" max="7247" width="8.85546875" style="108" customWidth="1"/>
    <col min="7248" max="7425" width="19.42578125" style="108"/>
    <col min="7426" max="7428" width="11" style="108" customWidth="1"/>
    <col min="7429" max="7429" width="16.140625" style="108" customWidth="1"/>
    <col min="7430" max="7430" width="12.42578125" style="108" customWidth="1"/>
    <col min="7431" max="7431" width="14.28515625" style="108" customWidth="1"/>
    <col min="7432" max="7432" width="12" style="108" customWidth="1"/>
    <col min="7433" max="7433" width="16.7109375" style="108" customWidth="1"/>
    <col min="7434" max="7434" width="12" style="108" customWidth="1"/>
    <col min="7435" max="7435" width="16.28515625" style="108" customWidth="1"/>
    <col min="7436" max="7436" width="12.28515625" style="108" customWidth="1"/>
    <col min="7437" max="7437" width="17.42578125" style="108" customWidth="1"/>
    <col min="7438" max="7438" width="12" style="108" customWidth="1"/>
    <col min="7439" max="7439" width="16.5703125" style="108" customWidth="1"/>
    <col min="7440" max="7440" width="13.28515625" style="108" customWidth="1"/>
    <col min="7441" max="7441" width="16.5703125" style="108" customWidth="1"/>
    <col min="7442" max="7442" width="13.7109375" style="108" customWidth="1"/>
    <col min="7443" max="7443" width="15.7109375" style="108" customWidth="1"/>
    <col min="7444" max="7444" width="12.5703125" style="108" customWidth="1"/>
    <col min="7445" max="7445" width="19.140625" style="108" customWidth="1"/>
    <col min="7446" max="7446" width="12.28515625" style="108" customWidth="1"/>
    <col min="7447" max="7447" width="17.140625" style="108" customWidth="1"/>
    <col min="7448" max="7448" width="12.5703125" style="108" customWidth="1"/>
    <col min="7449" max="7449" width="17.7109375" style="108" customWidth="1"/>
    <col min="7450" max="7450" width="12.140625" style="108" customWidth="1"/>
    <col min="7451" max="7451" width="30.5703125" style="108" customWidth="1"/>
    <col min="7452" max="7455" width="8.140625" style="108" customWidth="1"/>
    <col min="7456" max="7456" width="9.42578125" style="108" customWidth="1"/>
    <col min="7457" max="7457" width="8.140625" style="108" customWidth="1"/>
    <col min="7458" max="7462" width="7.85546875" style="108" customWidth="1"/>
    <col min="7463" max="7463" width="11.28515625" style="108" customWidth="1"/>
    <col min="7464" max="7464" width="2.28515625" style="108" customWidth="1"/>
    <col min="7465" max="7465" width="19.42578125" style="108"/>
    <col min="7466" max="7491" width="11.28515625" style="108" customWidth="1"/>
    <col min="7492" max="7503" width="8.85546875" style="108" customWidth="1"/>
    <col min="7504" max="7681" width="19.42578125" style="108"/>
    <col min="7682" max="7684" width="11" style="108" customWidth="1"/>
    <col min="7685" max="7685" width="16.140625" style="108" customWidth="1"/>
    <col min="7686" max="7686" width="12.42578125" style="108" customWidth="1"/>
    <col min="7687" max="7687" width="14.28515625" style="108" customWidth="1"/>
    <col min="7688" max="7688" width="12" style="108" customWidth="1"/>
    <col min="7689" max="7689" width="16.7109375" style="108" customWidth="1"/>
    <col min="7690" max="7690" width="12" style="108" customWidth="1"/>
    <col min="7691" max="7691" width="16.28515625" style="108" customWidth="1"/>
    <col min="7692" max="7692" width="12.28515625" style="108" customWidth="1"/>
    <col min="7693" max="7693" width="17.42578125" style="108" customWidth="1"/>
    <col min="7694" max="7694" width="12" style="108" customWidth="1"/>
    <col min="7695" max="7695" width="16.5703125" style="108" customWidth="1"/>
    <col min="7696" max="7696" width="13.28515625" style="108" customWidth="1"/>
    <col min="7697" max="7697" width="16.5703125" style="108" customWidth="1"/>
    <col min="7698" max="7698" width="13.7109375" style="108" customWidth="1"/>
    <col min="7699" max="7699" width="15.7109375" style="108" customWidth="1"/>
    <col min="7700" max="7700" width="12.5703125" style="108" customWidth="1"/>
    <col min="7701" max="7701" width="19.140625" style="108" customWidth="1"/>
    <col min="7702" max="7702" width="12.28515625" style="108" customWidth="1"/>
    <col min="7703" max="7703" width="17.140625" style="108" customWidth="1"/>
    <col min="7704" max="7704" width="12.5703125" style="108" customWidth="1"/>
    <col min="7705" max="7705" width="17.7109375" style="108" customWidth="1"/>
    <col min="7706" max="7706" width="12.140625" style="108" customWidth="1"/>
    <col min="7707" max="7707" width="30.5703125" style="108" customWidth="1"/>
    <col min="7708" max="7711" width="8.140625" style="108" customWidth="1"/>
    <col min="7712" max="7712" width="9.42578125" style="108" customWidth="1"/>
    <col min="7713" max="7713" width="8.140625" style="108" customWidth="1"/>
    <col min="7714" max="7718" width="7.85546875" style="108" customWidth="1"/>
    <col min="7719" max="7719" width="11.28515625" style="108" customWidth="1"/>
    <col min="7720" max="7720" width="2.28515625" style="108" customWidth="1"/>
    <col min="7721" max="7721" width="19.42578125" style="108"/>
    <col min="7722" max="7747" width="11.28515625" style="108" customWidth="1"/>
    <col min="7748" max="7759" width="8.85546875" style="108" customWidth="1"/>
    <col min="7760" max="7937" width="19.42578125" style="108"/>
    <col min="7938" max="7940" width="11" style="108" customWidth="1"/>
    <col min="7941" max="7941" width="16.140625" style="108" customWidth="1"/>
    <col min="7942" max="7942" width="12.42578125" style="108" customWidth="1"/>
    <col min="7943" max="7943" width="14.28515625" style="108" customWidth="1"/>
    <col min="7944" max="7944" width="12" style="108" customWidth="1"/>
    <col min="7945" max="7945" width="16.7109375" style="108" customWidth="1"/>
    <col min="7946" max="7946" width="12" style="108" customWidth="1"/>
    <col min="7947" max="7947" width="16.28515625" style="108" customWidth="1"/>
    <col min="7948" max="7948" width="12.28515625" style="108" customWidth="1"/>
    <col min="7949" max="7949" width="17.42578125" style="108" customWidth="1"/>
    <col min="7950" max="7950" width="12" style="108" customWidth="1"/>
    <col min="7951" max="7951" width="16.5703125" style="108" customWidth="1"/>
    <col min="7952" max="7952" width="13.28515625" style="108" customWidth="1"/>
    <col min="7953" max="7953" width="16.5703125" style="108" customWidth="1"/>
    <col min="7954" max="7954" width="13.7109375" style="108" customWidth="1"/>
    <col min="7955" max="7955" width="15.7109375" style="108" customWidth="1"/>
    <col min="7956" max="7956" width="12.5703125" style="108" customWidth="1"/>
    <col min="7957" max="7957" width="19.140625" style="108" customWidth="1"/>
    <col min="7958" max="7958" width="12.28515625" style="108" customWidth="1"/>
    <col min="7959" max="7959" width="17.140625" style="108" customWidth="1"/>
    <col min="7960" max="7960" width="12.5703125" style="108" customWidth="1"/>
    <col min="7961" max="7961" width="17.7109375" style="108" customWidth="1"/>
    <col min="7962" max="7962" width="12.140625" style="108" customWidth="1"/>
    <col min="7963" max="7963" width="30.5703125" style="108" customWidth="1"/>
    <col min="7964" max="7967" width="8.140625" style="108" customWidth="1"/>
    <col min="7968" max="7968" width="9.42578125" style="108" customWidth="1"/>
    <col min="7969" max="7969" width="8.140625" style="108" customWidth="1"/>
    <col min="7970" max="7974" width="7.85546875" style="108" customWidth="1"/>
    <col min="7975" max="7975" width="11.28515625" style="108" customWidth="1"/>
    <col min="7976" max="7976" width="2.28515625" style="108" customWidth="1"/>
    <col min="7977" max="7977" width="19.42578125" style="108"/>
    <col min="7978" max="8003" width="11.28515625" style="108" customWidth="1"/>
    <col min="8004" max="8015" width="8.85546875" style="108" customWidth="1"/>
    <col min="8016" max="8193" width="19.42578125" style="108"/>
    <col min="8194" max="8196" width="11" style="108" customWidth="1"/>
    <col min="8197" max="8197" width="16.140625" style="108" customWidth="1"/>
    <col min="8198" max="8198" width="12.42578125" style="108" customWidth="1"/>
    <col min="8199" max="8199" width="14.28515625" style="108" customWidth="1"/>
    <col min="8200" max="8200" width="12" style="108" customWidth="1"/>
    <col min="8201" max="8201" width="16.7109375" style="108" customWidth="1"/>
    <col min="8202" max="8202" width="12" style="108" customWidth="1"/>
    <col min="8203" max="8203" width="16.28515625" style="108" customWidth="1"/>
    <col min="8204" max="8204" width="12.28515625" style="108" customWidth="1"/>
    <col min="8205" max="8205" width="17.42578125" style="108" customWidth="1"/>
    <col min="8206" max="8206" width="12" style="108" customWidth="1"/>
    <col min="8207" max="8207" width="16.5703125" style="108" customWidth="1"/>
    <col min="8208" max="8208" width="13.28515625" style="108" customWidth="1"/>
    <col min="8209" max="8209" width="16.5703125" style="108" customWidth="1"/>
    <col min="8210" max="8210" width="13.7109375" style="108" customWidth="1"/>
    <col min="8211" max="8211" width="15.7109375" style="108" customWidth="1"/>
    <col min="8212" max="8212" width="12.5703125" style="108" customWidth="1"/>
    <col min="8213" max="8213" width="19.140625" style="108" customWidth="1"/>
    <col min="8214" max="8214" width="12.28515625" style="108" customWidth="1"/>
    <col min="8215" max="8215" width="17.140625" style="108" customWidth="1"/>
    <col min="8216" max="8216" width="12.5703125" style="108" customWidth="1"/>
    <col min="8217" max="8217" width="17.7109375" style="108" customWidth="1"/>
    <col min="8218" max="8218" width="12.140625" style="108" customWidth="1"/>
    <col min="8219" max="8219" width="30.5703125" style="108" customWidth="1"/>
    <col min="8220" max="8223" width="8.140625" style="108" customWidth="1"/>
    <col min="8224" max="8224" width="9.42578125" style="108" customWidth="1"/>
    <col min="8225" max="8225" width="8.140625" style="108" customWidth="1"/>
    <col min="8226" max="8230" width="7.85546875" style="108" customWidth="1"/>
    <col min="8231" max="8231" width="11.28515625" style="108" customWidth="1"/>
    <col min="8232" max="8232" width="2.28515625" style="108" customWidth="1"/>
    <col min="8233" max="8233" width="19.42578125" style="108"/>
    <col min="8234" max="8259" width="11.28515625" style="108" customWidth="1"/>
    <col min="8260" max="8271" width="8.85546875" style="108" customWidth="1"/>
    <col min="8272" max="8449" width="19.42578125" style="108"/>
    <col min="8450" max="8452" width="11" style="108" customWidth="1"/>
    <col min="8453" max="8453" width="16.140625" style="108" customWidth="1"/>
    <col min="8454" max="8454" width="12.42578125" style="108" customWidth="1"/>
    <col min="8455" max="8455" width="14.28515625" style="108" customWidth="1"/>
    <col min="8456" max="8456" width="12" style="108" customWidth="1"/>
    <col min="8457" max="8457" width="16.7109375" style="108" customWidth="1"/>
    <col min="8458" max="8458" width="12" style="108" customWidth="1"/>
    <col min="8459" max="8459" width="16.28515625" style="108" customWidth="1"/>
    <col min="8460" max="8460" width="12.28515625" style="108" customWidth="1"/>
    <col min="8461" max="8461" width="17.42578125" style="108" customWidth="1"/>
    <col min="8462" max="8462" width="12" style="108" customWidth="1"/>
    <col min="8463" max="8463" width="16.5703125" style="108" customWidth="1"/>
    <col min="8464" max="8464" width="13.28515625" style="108" customWidth="1"/>
    <col min="8465" max="8465" width="16.5703125" style="108" customWidth="1"/>
    <col min="8466" max="8466" width="13.7109375" style="108" customWidth="1"/>
    <col min="8467" max="8467" width="15.7109375" style="108" customWidth="1"/>
    <col min="8468" max="8468" width="12.5703125" style="108" customWidth="1"/>
    <col min="8469" max="8469" width="19.140625" style="108" customWidth="1"/>
    <col min="8470" max="8470" width="12.28515625" style="108" customWidth="1"/>
    <col min="8471" max="8471" width="17.140625" style="108" customWidth="1"/>
    <col min="8472" max="8472" width="12.5703125" style="108" customWidth="1"/>
    <col min="8473" max="8473" width="17.7109375" style="108" customWidth="1"/>
    <col min="8474" max="8474" width="12.140625" style="108" customWidth="1"/>
    <col min="8475" max="8475" width="30.5703125" style="108" customWidth="1"/>
    <col min="8476" max="8479" width="8.140625" style="108" customWidth="1"/>
    <col min="8480" max="8480" width="9.42578125" style="108" customWidth="1"/>
    <col min="8481" max="8481" width="8.140625" style="108" customWidth="1"/>
    <col min="8482" max="8486" width="7.85546875" style="108" customWidth="1"/>
    <col min="8487" max="8487" width="11.28515625" style="108" customWidth="1"/>
    <col min="8488" max="8488" width="2.28515625" style="108" customWidth="1"/>
    <col min="8489" max="8489" width="19.42578125" style="108"/>
    <col min="8490" max="8515" width="11.28515625" style="108" customWidth="1"/>
    <col min="8516" max="8527" width="8.85546875" style="108" customWidth="1"/>
    <col min="8528" max="8705" width="19.42578125" style="108"/>
    <col min="8706" max="8708" width="11" style="108" customWidth="1"/>
    <col min="8709" max="8709" width="16.140625" style="108" customWidth="1"/>
    <col min="8710" max="8710" width="12.42578125" style="108" customWidth="1"/>
    <col min="8711" max="8711" width="14.28515625" style="108" customWidth="1"/>
    <col min="8712" max="8712" width="12" style="108" customWidth="1"/>
    <col min="8713" max="8713" width="16.7109375" style="108" customWidth="1"/>
    <col min="8714" max="8714" width="12" style="108" customWidth="1"/>
    <col min="8715" max="8715" width="16.28515625" style="108" customWidth="1"/>
    <col min="8716" max="8716" width="12.28515625" style="108" customWidth="1"/>
    <col min="8717" max="8717" width="17.42578125" style="108" customWidth="1"/>
    <col min="8718" max="8718" width="12" style="108" customWidth="1"/>
    <col min="8719" max="8719" width="16.5703125" style="108" customWidth="1"/>
    <col min="8720" max="8720" width="13.28515625" style="108" customWidth="1"/>
    <col min="8721" max="8721" width="16.5703125" style="108" customWidth="1"/>
    <col min="8722" max="8722" width="13.7109375" style="108" customWidth="1"/>
    <col min="8723" max="8723" width="15.7109375" style="108" customWidth="1"/>
    <col min="8724" max="8724" width="12.5703125" style="108" customWidth="1"/>
    <col min="8725" max="8725" width="19.140625" style="108" customWidth="1"/>
    <col min="8726" max="8726" width="12.28515625" style="108" customWidth="1"/>
    <col min="8727" max="8727" width="17.140625" style="108" customWidth="1"/>
    <col min="8728" max="8728" width="12.5703125" style="108" customWidth="1"/>
    <col min="8729" max="8729" width="17.7109375" style="108" customWidth="1"/>
    <col min="8730" max="8730" width="12.140625" style="108" customWidth="1"/>
    <col min="8731" max="8731" width="30.5703125" style="108" customWidth="1"/>
    <col min="8732" max="8735" width="8.140625" style="108" customWidth="1"/>
    <col min="8736" max="8736" width="9.42578125" style="108" customWidth="1"/>
    <col min="8737" max="8737" width="8.140625" style="108" customWidth="1"/>
    <col min="8738" max="8742" width="7.85546875" style="108" customWidth="1"/>
    <col min="8743" max="8743" width="11.28515625" style="108" customWidth="1"/>
    <col min="8744" max="8744" width="2.28515625" style="108" customWidth="1"/>
    <col min="8745" max="8745" width="19.42578125" style="108"/>
    <col min="8746" max="8771" width="11.28515625" style="108" customWidth="1"/>
    <col min="8772" max="8783" width="8.85546875" style="108" customWidth="1"/>
    <col min="8784" max="8961" width="19.42578125" style="108"/>
    <col min="8962" max="8964" width="11" style="108" customWidth="1"/>
    <col min="8965" max="8965" width="16.140625" style="108" customWidth="1"/>
    <col min="8966" max="8966" width="12.42578125" style="108" customWidth="1"/>
    <col min="8967" max="8967" width="14.28515625" style="108" customWidth="1"/>
    <col min="8968" max="8968" width="12" style="108" customWidth="1"/>
    <col min="8969" max="8969" width="16.7109375" style="108" customWidth="1"/>
    <col min="8970" max="8970" width="12" style="108" customWidth="1"/>
    <col min="8971" max="8971" width="16.28515625" style="108" customWidth="1"/>
    <col min="8972" max="8972" width="12.28515625" style="108" customWidth="1"/>
    <col min="8973" max="8973" width="17.42578125" style="108" customWidth="1"/>
    <col min="8974" max="8974" width="12" style="108" customWidth="1"/>
    <col min="8975" max="8975" width="16.5703125" style="108" customWidth="1"/>
    <col min="8976" max="8976" width="13.28515625" style="108" customWidth="1"/>
    <col min="8977" max="8977" width="16.5703125" style="108" customWidth="1"/>
    <col min="8978" max="8978" width="13.7109375" style="108" customWidth="1"/>
    <col min="8979" max="8979" width="15.7109375" style="108" customWidth="1"/>
    <col min="8980" max="8980" width="12.5703125" style="108" customWidth="1"/>
    <col min="8981" max="8981" width="19.140625" style="108" customWidth="1"/>
    <col min="8982" max="8982" width="12.28515625" style="108" customWidth="1"/>
    <col min="8983" max="8983" width="17.140625" style="108" customWidth="1"/>
    <col min="8984" max="8984" width="12.5703125" style="108" customWidth="1"/>
    <col min="8985" max="8985" width="17.7109375" style="108" customWidth="1"/>
    <col min="8986" max="8986" width="12.140625" style="108" customWidth="1"/>
    <col min="8987" max="8987" width="30.5703125" style="108" customWidth="1"/>
    <col min="8988" max="8991" width="8.140625" style="108" customWidth="1"/>
    <col min="8992" max="8992" width="9.42578125" style="108" customWidth="1"/>
    <col min="8993" max="8993" width="8.140625" style="108" customWidth="1"/>
    <col min="8994" max="8998" width="7.85546875" style="108" customWidth="1"/>
    <col min="8999" max="8999" width="11.28515625" style="108" customWidth="1"/>
    <col min="9000" max="9000" width="2.28515625" style="108" customWidth="1"/>
    <col min="9001" max="9001" width="19.42578125" style="108"/>
    <col min="9002" max="9027" width="11.28515625" style="108" customWidth="1"/>
    <col min="9028" max="9039" width="8.85546875" style="108" customWidth="1"/>
    <col min="9040" max="9217" width="19.42578125" style="108"/>
    <col min="9218" max="9220" width="11" style="108" customWidth="1"/>
    <col min="9221" max="9221" width="16.140625" style="108" customWidth="1"/>
    <col min="9222" max="9222" width="12.42578125" style="108" customWidth="1"/>
    <col min="9223" max="9223" width="14.28515625" style="108" customWidth="1"/>
    <col min="9224" max="9224" width="12" style="108" customWidth="1"/>
    <col min="9225" max="9225" width="16.7109375" style="108" customWidth="1"/>
    <col min="9226" max="9226" width="12" style="108" customWidth="1"/>
    <col min="9227" max="9227" width="16.28515625" style="108" customWidth="1"/>
    <col min="9228" max="9228" width="12.28515625" style="108" customWidth="1"/>
    <col min="9229" max="9229" width="17.42578125" style="108" customWidth="1"/>
    <col min="9230" max="9230" width="12" style="108" customWidth="1"/>
    <col min="9231" max="9231" width="16.5703125" style="108" customWidth="1"/>
    <col min="9232" max="9232" width="13.28515625" style="108" customWidth="1"/>
    <col min="9233" max="9233" width="16.5703125" style="108" customWidth="1"/>
    <col min="9234" max="9234" width="13.7109375" style="108" customWidth="1"/>
    <col min="9235" max="9235" width="15.7109375" style="108" customWidth="1"/>
    <col min="9236" max="9236" width="12.5703125" style="108" customWidth="1"/>
    <col min="9237" max="9237" width="19.140625" style="108" customWidth="1"/>
    <col min="9238" max="9238" width="12.28515625" style="108" customWidth="1"/>
    <col min="9239" max="9239" width="17.140625" style="108" customWidth="1"/>
    <col min="9240" max="9240" width="12.5703125" style="108" customWidth="1"/>
    <col min="9241" max="9241" width="17.7109375" style="108" customWidth="1"/>
    <col min="9242" max="9242" width="12.140625" style="108" customWidth="1"/>
    <col min="9243" max="9243" width="30.5703125" style="108" customWidth="1"/>
    <col min="9244" max="9247" width="8.140625" style="108" customWidth="1"/>
    <col min="9248" max="9248" width="9.42578125" style="108" customWidth="1"/>
    <col min="9249" max="9249" width="8.140625" style="108" customWidth="1"/>
    <col min="9250" max="9254" width="7.85546875" style="108" customWidth="1"/>
    <col min="9255" max="9255" width="11.28515625" style="108" customWidth="1"/>
    <col min="9256" max="9256" width="2.28515625" style="108" customWidth="1"/>
    <col min="9257" max="9257" width="19.42578125" style="108"/>
    <col min="9258" max="9283" width="11.28515625" style="108" customWidth="1"/>
    <col min="9284" max="9295" width="8.85546875" style="108" customWidth="1"/>
    <col min="9296" max="9473" width="19.42578125" style="108"/>
    <col min="9474" max="9476" width="11" style="108" customWidth="1"/>
    <col min="9477" max="9477" width="16.140625" style="108" customWidth="1"/>
    <col min="9478" max="9478" width="12.42578125" style="108" customWidth="1"/>
    <col min="9479" max="9479" width="14.28515625" style="108" customWidth="1"/>
    <col min="9480" max="9480" width="12" style="108" customWidth="1"/>
    <col min="9481" max="9481" width="16.7109375" style="108" customWidth="1"/>
    <col min="9482" max="9482" width="12" style="108" customWidth="1"/>
    <col min="9483" max="9483" width="16.28515625" style="108" customWidth="1"/>
    <col min="9484" max="9484" width="12.28515625" style="108" customWidth="1"/>
    <col min="9485" max="9485" width="17.42578125" style="108" customWidth="1"/>
    <col min="9486" max="9486" width="12" style="108" customWidth="1"/>
    <col min="9487" max="9487" width="16.5703125" style="108" customWidth="1"/>
    <col min="9488" max="9488" width="13.28515625" style="108" customWidth="1"/>
    <col min="9489" max="9489" width="16.5703125" style="108" customWidth="1"/>
    <col min="9490" max="9490" width="13.7109375" style="108" customWidth="1"/>
    <col min="9491" max="9491" width="15.7109375" style="108" customWidth="1"/>
    <col min="9492" max="9492" width="12.5703125" style="108" customWidth="1"/>
    <col min="9493" max="9493" width="19.140625" style="108" customWidth="1"/>
    <col min="9494" max="9494" width="12.28515625" style="108" customWidth="1"/>
    <col min="9495" max="9495" width="17.140625" style="108" customWidth="1"/>
    <col min="9496" max="9496" width="12.5703125" style="108" customWidth="1"/>
    <col min="9497" max="9497" width="17.7109375" style="108" customWidth="1"/>
    <col min="9498" max="9498" width="12.140625" style="108" customWidth="1"/>
    <col min="9499" max="9499" width="30.5703125" style="108" customWidth="1"/>
    <col min="9500" max="9503" width="8.140625" style="108" customWidth="1"/>
    <col min="9504" max="9504" width="9.42578125" style="108" customWidth="1"/>
    <col min="9505" max="9505" width="8.140625" style="108" customWidth="1"/>
    <col min="9506" max="9510" width="7.85546875" style="108" customWidth="1"/>
    <col min="9511" max="9511" width="11.28515625" style="108" customWidth="1"/>
    <col min="9512" max="9512" width="2.28515625" style="108" customWidth="1"/>
    <col min="9513" max="9513" width="19.42578125" style="108"/>
    <col min="9514" max="9539" width="11.28515625" style="108" customWidth="1"/>
    <col min="9540" max="9551" width="8.85546875" style="108" customWidth="1"/>
    <col min="9552" max="9729" width="19.42578125" style="108"/>
    <col min="9730" max="9732" width="11" style="108" customWidth="1"/>
    <col min="9733" max="9733" width="16.140625" style="108" customWidth="1"/>
    <col min="9734" max="9734" width="12.42578125" style="108" customWidth="1"/>
    <col min="9735" max="9735" width="14.28515625" style="108" customWidth="1"/>
    <col min="9736" max="9736" width="12" style="108" customWidth="1"/>
    <col min="9737" max="9737" width="16.7109375" style="108" customWidth="1"/>
    <col min="9738" max="9738" width="12" style="108" customWidth="1"/>
    <col min="9739" max="9739" width="16.28515625" style="108" customWidth="1"/>
    <col min="9740" max="9740" width="12.28515625" style="108" customWidth="1"/>
    <col min="9741" max="9741" width="17.42578125" style="108" customWidth="1"/>
    <col min="9742" max="9742" width="12" style="108" customWidth="1"/>
    <col min="9743" max="9743" width="16.5703125" style="108" customWidth="1"/>
    <col min="9744" max="9744" width="13.28515625" style="108" customWidth="1"/>
    <col min="9745" max="9745" width="16.5703125" style="108" customWidth="1"/>
    <col min="9746" max="9746" width="13.7109375" style="108" customWidth="1"/>
    <col min="9747" max="9747" width="15.7109375" style="108" customWidth="1"/>
    <col min="9748" max="9748" width="12.5703125" style="108" customWidth="1"/>
    <col min="9749" max="9749" width="19.140625" style="108" customWidth="1"/>
    <col min="9750" max="9750" width="12.28515625" style="108" customWidth="1"/>
    <col min="9751" max="9751" width="17.140625" style="108" customWidth="1"/>
    <col min="9752" max="9752" width="12.5703125" style="108" customWidth="1"/>
    <col min="9753" max="9753" width="17.7109375" style="108" customWidth="1"/>
    <col min="9754" max="9754" width="12.140625" style="108" customWidth="1"/>
    <col min="9755" max="9755" width="30.5703125" style="108" customWidth="1"/>
    <col min="9756" max="9759" width="8.140625" style="108" customWidth="1"/>
    <col min="9760" max="9760" width="9.42578125" style="108" customWidth="1"/>
    <col min="9761" max="9761" width="8.140625" style="108" customWidth="1"/>
    <col min="9762" max="9766" width="7.85546875" style="108" customWidth="1"/>
    <col min="9767" max="9767" width="11.28515625" style="108" customWidth="1"/>
    <col min="9768" max="9768" width="2.28515625" style="108" customWidth="1"/>
    <col min="9769" max="9769" width="19.42578125" style="108"/>
    <col min="9770" max="9795" width="11.28515625" style="108" customWidth="1"/>
    <col min="9796" max="9807" width="8.85546875" style="108" customWidth="1"/>
    <col min="9808" max="9985" width="19.42578125" style="108"/>
    <col min="9986" max="9988" width="11" style="108" customWidth="1"/>
    <col min="9989" max="9989" width="16.140625" style="108" customWidth="1"/>
    <col min="9990" max="9990" width="12.42578125" style="108" customWidth="1"/>
    <col min="9991" max="9991" width="14.28515625" style="108" customWidth="1"/>
    <col min="9992" max="9992" width="12" style="108" customWidth="1"/>
    <col min="9993" max="9993" width="16.7109375" style="108" customWidth="1"/>
    <col min="9994" max="9994" width="12" style="108" customWidth="1"/>
    <col min="9995" max="9995" width="16.28515625" style="108" customWidth="1"/>
    <col min="9996" max="9996" width="12.28515625" style="108" customWidth="1"/>
    <col min="9997" max="9997" width="17.42578125" style="108" customWidth="1"/>
    <col min="9998" max="9998" width="12" style="108" customWidth="1"/>
    <col min="9999" max="9999" width="16.5703125" style="108" customWidth="1"/>
    <col min="10000" max="10000" width="13.28515625" style="108" customWidth="1"/>
    <col min="10001" max="10001" width="16.5703125" style="108" customWidth="1"/>
    <col min="10002" max="10002" width="13.7109375" style="108" customWidth="1"/>
    <col min="10003" max="10003" width="15.7109375" style="108" customWidth="1"/>
    <col min="10004" max="10004" width="12.5703125" style="108" customWidth="1"/>
    <col min="10005" max="10005" width="19.140625" style="108" customWidth="1"/>
    <col min="10006" max="10006" width="12.28515625" style="108" customWidth="1"/>
    <col min="10007" max="10007" width="17.140625" style="108" customWidth="1"/>
    <col min="10008" max="10008" width="12.5703125" style="108" customWidth="1"/>
    <col min="10009" max="10009" width="17.7109375" style="108" customWidth="1"/>
    <col min="10010" max="10010" width="12.140625" style="108" customWidth="1"/>
    <col min="10011" max="10011" width="30.5703125" style="108" customWidth="1"/>
    <col min="10012" max="10015" width="8.140625" style="108" customWidth="1"/>
    <col min="10016" max="10016" width="9.42578125" style="108" customWidth="1"/>
    <col min="10017" max="10017" width="8.140625" style="108" customWidth="1"/>
    <col min="10018" max="10022" width="7.85546875" style="108" customWidth="1"/>
    <col min="10023" max="10023" width="11.28515625" style="108" customWidth="1"/>
    <col min="10024" max="10024" width="2.28515625" style="108" customWidth="1"/>
    <col min="10025" max="10025" width="19.42578125" style="108"/>
    <col min="10026" max="10051" width="11.28515625" style="108" customWidth="1"/>
    <col min="10052" max="10063" width="8.85546875" style="108" customWidth="1"/>
    <col min="10064" max="10241" width="19.42578125" style="108"/>
    <col min="10242" max="10244" width="11" style="108" customWidth="1"/>
    <col min="10245" max="10245" width="16.140625" style="108" customWidth="1"/>
    <col min="10246" max="10246" width="12.42578125" style="108" customWidth="1"/>
    <col min="10247" max="10247" width="14.28515625" style="108" customWidth="1"/>
    <col min="10248" max="10248" width="12" style="108" customWidth="1"/>
    <col min="10249" max="10249" width="16.7109375" style="108" customWidth="1"/>
    <col min="10250" max="10250" width="12" style="108" customWidth="1"/>
    <col min="10251" max="10251" width="16.28515625" style="108" customWidth="1"/>
    <col min="10252" max="10252" width="12.28515625" style="108" customWidth="1"/>
    <col min="10253" max="10253" width="17.42578125" style="108" customWidth="1"/>
    <col min="10254" max="10254" width="12" style="108" customWidth="1"/>
    <col min="10255" max="10255" width="16.5703125" style="108" customWidth="1"/>
    <col min="10256" max="10256" width="13.28515625" style="108" customWidth="1"/>
    <col min="10257" max="10257" width="16.5703125" style="108" customWidth="1"/>
    <col min="10258" max="10258" width="13.7109375" style="108" customWidth="1"/>
    <col min="10259" max="10259" width="15.7109375" style="108" customWidth="1"/>
    <col min="10260" max="10260" width="12.5703125" style="108" customWidth="1"/>
    <col min="10261" max="10261" width="19.140625" style="108" customWidth="1"/>
    <col min="10262" max="10262" width="12.28515625" style="108" customWidth="1"/>
    <col min="10263" max="10263" width="17.140625" style="108" customWidth="1"/>
    <col min="10264" max="10264" width="12.5703125" style="108" customWidth="1"/>
    <col min="10265" max="10265" width="17.7109375" style="108" customWidth="1"/>
    <col min="10266" max="10266" width="12.140625" style="108" customWidth="1"/>
    <col min="10267" max="10267" width="30.5703125" style="108" customWidth="1"/>
    <col min="10268" max="10271" width="8.140625" style="108" customWidth="1"/>
    <col min="10272" max="10272" width="9.42578125" style="108" customWidth="1"/>
    <col min="10273" max="10273" width="8.140625" style="108" customWidth="1"/>
    <col min="10274" max="10278" width="7.85546875" style="108" customWidth="1"/>
    <col min="10279" max="10279" width="11.28515625" style="108" customWidth="1"/>
    <col min="10280" max="10280" width="2.28515625" style="108" customWidth="1"/>
    <col min="10281" max="10281" width="19.42578125" style="108"/>
    <col min="10282" max="10307" width="11.28515625" style="108" customWidth="1"/>
    <col min="10308" max="10319" width="8.85546875" style="108" customWidth="1"/>
    <col min="10320" max="10497" width="19.42578125" style="108"/>
    <col min="10498" max="10500" width="11" style="108" customWidth="1"/>
    <col min="10501" max="10501" width="16.140625" style="108" customWidth="1"/>
    <col min="10502" max="10502" width="12.42578125" style="108" customWidth="1"/>
    <col min="10503" max="10503" width="14.28515625" style="108" customWidth="1"/>
    <col min="10504" max="10504" width="12" style="108" customWidth="1"/>
    <col min="10505" max="10505" width="16.7109375" style="108" customWidth="1"/>
    <col min="10506" max="10506" width="12" style="108" customWidth="1"/>
    <col min="10507" max="10507" width="16.28515625" style="108" customWidth="1"/>
    <col min="10508" max="10508" width="12.28515625" style="108" customWidth="1"/>
    <col min="10509" max="10509" width="17.42578125" style="108" customWidth="1"/>
    <col min="10510" max="10510" width="12" style="108" customWidth="1"/>
    <col min="10511" max="10511" width="16.5703125" style="108" customWidth="1"/>
    <col min="10512" max="10512" width="13.28515625" style="108" customWidth="1"/>
    <col min="10513" max="10513" width="16.5703125" style="108" customWidth="1"/>
    <col min="10514" max="10514" width="13.7109375" style="108" customWidth="1"/>
    <col min="10515" max="10515" width="15.7109375" style="108" customWidth="1"/>
    <col min="10516" max="10516" width="12.5703125" style="108" customWidth="1"/>
    <col min="10517" max="10517" width="19.140625" style="108" customWidth="1"/>
    <col min="10518" max="10518" width="12.28515625" style="108" customWidth="1"/>
    <col min="10519" max="10519" width="17.140625" style="108" customWidth="1"/>
    <col min="10520" max="10520" width="12.5703125" style="108" customWidth="1"/>
    <col min="10521" max="10521" width="17.7109375" style="108" customWidth="1"/>
    <col min="10522" max="10522" width="12.140625" style="108" customWidth="1"/>
    <col min="10523" max="10523" width="30.5703125" style="108" customWidth="1"/>
    <col min="10524" max="10527" width="8.140625" style="108" customWidth="1"/>
    <col min="10528" max="10528" width="9.42578125" style="108" customWidth="1"/>
    <col min="10529" max="10529" width="8.140625" style="108" customWidth="1"/>
    <col min="10530" max="10534" width="7.85546875" style="108" customWidth="1"/>
    <col min="10535" max="10535" width="11.28515625" style="108" customWidth="1"/>
    <col min="10536" max="10536" width="2.28515625" style="108" customWidth="1"/>
    <col min="10537" max="10537" width="19.42578125" style="108"/>
    <col min="10538" max="10563" width="11.28515625" style="108" customWidth="1"/>
    <col min="10564" max="10575" width="8.85546875" style="108" customWidth="1"/>
    <col min="10576" max="10753" width="19.42578125" style="108"/>
    <col min="10754" max="10756" width="11" style="108" customWidth="1"/>
    <col min="10757" max="10757" width="16.140625" style="108" customWidth="1"/>
    <col min="10758" max="10758" width="12.42578125" style="108" customWidth="1"/>
    <col min="10759" max="10759" width="14.28515625" style="108" customWidth="1"/>
    <col min="10760" max="10760" width="12" style="108" customWidth="1"/>
    <col min="10761" max="10761" width="16.7109375" style="108" customWidth="1"/>
    <col min="10762" max="10762" width="12" style="108" customWidth="1"/>
    <col min="10763" max="10763" width="16.28515625" style="108" customWidth="1"/>
    <col min="10764" max="10764" width="12.28515625" style="108" customWidth="1"/>
    <col min="10765" max="10765" width="17.42578125" style="108" customWidth="1"/>
    <col min="10766" max="10766" width="12" style="108" customWidth="1"/>
    <col min="10767" max="10767" width="16.5703125" style="108" customWidth="1"/>
    <col min="10768" max="10768" width="13.28515625" style="108" customWidth="1"/>
    <col min="10769" max="10769" width="16.5703125" style="108" customWidth="1"/>
    <col min="10770" max="10770" width="13.7109375" style="108" customWidth="1"/>
    <col min="10771" max="10771" width="15.7109375" style="108" customWidth="1"/>
    <col min="10772" max="10772" width="12.5703125" style="108" customWidth="1"/>
    <col min="10773" max="10773" width="19.140625" style="108" customWidth="1"/>
    <col min="10774" max="10774" width="12.28515625" style="108" customWidth="1"/>
    <col min="10775" max="10775" width="17.140625" style="108" customWidth="1"/>
    <col min="10776" max="10776" width="12.5703125" style="108" customWidth="1"/>
    <col min="10777" max="10777" width="17.7109375" style="108" customWidth="1"/>
    <col min="10778" max="10778" width="12.140625" style="108" customWidth="1"/>
    <col min="10779" max="10779" width="30.5703125" style="108" customWidth="1"/>
    <col min="10780" max="10783" width="8.140625" style="108" customWidth="1"/>
    <col min="10784" max="10784" width="9.42578125" style="108" customWidth="1"/>
    <col min="10785" max="10785" width="8.140625" style="108" customWidth="1"/>
    <col min="10786" max="10790" width="7.85546875" style="108" customWidth="1"/>
    <col min="10791" max="10791" width="11.28515625" style="108" customWidth="1"/>
    <col min="10792" max="10792" width="2.28515625" style="108" customWidth="1"/>
    <col min="10793" max="10793" width="19.42578125" style="108"/>
    <col min="10794" max="10819" width="11.28515625" style="108" customWidth="1"/>
    <col min="10820" max="10831" width="8.85546875" style="108" customWidth="1"/>
    <col min="10832" max="11009" width="19.42578125" style="108"/>
    <col min="11010" max="11012" width="11" style="108" customWidth="1"/>
    <col min="11013" max="11013" width="16.140625" style="108" customWidth="1"/>
    <col min="11014" max="11014" width="12.42578125" style="108" customWidth="1"/>
    <col min="11015" max="11015" width="14.28515625" style="108" customWidth="1"/>
    <col min="11016" max="11016" width="12" style="108" customWidth="1"/>
    <col min="11017" max="11017" width="16.7109375" style="108" customWidth="1"/>
    <col min="11018" max="11018" width="12" style="108" customWidth="1"/>
    <col min="11019" max="11019" width="16.28515625" style="108" customWidth="1"/>
    <col min="11020" max="11020" width="12.28515625" style="108" customWidth="1"/>
    <col min="11021" max="11021" width="17.42578125" style="108" customWidth="1"/>
    <col min="11022" max="11022" width="12" style="108" customWidth="1"/>
    <col min="11023" max="11023" width="16.5703125" style="108" customWidth="1"/>
    <col min="11024" max="11024" width="13.28515625" style="108" customWidth="1"/>
    <col min="11025" max="11025" width="16.5703125" style="108" customWidth="1"/>
    <col min="11026" max="11026" width="13.7109375" style="108" customWidth="1"/>
    <col min="11027" max="11027" width="15.7109375" style="108" customWidth="1"/>
    <col min="11028" max="11028" width="12.5703125" style="108" customWidth="1"/>
    <col min="11029" max="11029" width="19.140625" style="108" customWidth="1"/>
    <col min="11030" max="11030" width="12.28515625" style="108" customWidth="1"/>
    <col min="11031" max="11031" width="17.140625" style="108" customWidth="1"/>
    <col min="11032" max="11032" width="12.5703125" style="108" customWidth="1"/>
    <col min="11033" max="11033" width="17.7109375" style="108" customWidth="1"/>
    <col min="11034" max="11034" width="12.140625" style="108" customWidth="1"/>
    <col min="11035" max="11035" width="30.5703125" style="108" customWidth="1"/>
    <col min="11036" max="11039" width="8.140625" style="108" customWidth="1"/>
    <col min="11040" max="11040" width="9.42578125" style="108" customWidth="1"/>
    <col min="11041" max="11041" width="8.140625" style="108" customWidth="1"/>
    <col min="11042" max="11046" width="7.85546875" style="108" customWidth="1"/>
    <col min="11047" max="11047" width="11.28515625" style="108" customWidth="1"/>
    <col min="11048" max="11048" width="2.28515625" style="108" customWidth="1"/>
    <col min="11049" max="11049" width="19.42578125" style="108"/>
    <col min="11050" max="11075" width="11.28515625" style="108" customWidth="1"/>
    <col min="11076" max="11087" width="8.85546875" style="108" customWidth="1"/>
    <col min="11088" max="11265" width="19.42578125" style="108"/>
    <col min="11266" max="11268" width="11" style="108" customWidth="1"/>
    <col min="11269" max="11269" width="16.140625" style="108" customWidth="1"/>
    <col min="11270" max="11270" width="12.42578125" style="108" customWidth="1"/>
    <col min="11271" max="11271" width="14.28515625" style="108" customWidth="1"/>
    <col min="11272" max="11272" width="12" style="108" customWidth="1"/>
    <col min="11273" max="11273" width="16.7109375" style="108" customWidth="1"/>
    <col min="11274" max="11274" width="12" style="108" customWidth="1"/>
    <col min="11275" max="11275" width="16.28515625" style="108" customWidth="1"/>
    <col min="11276" max="11276" width="12.28515625" style="108" customWidth="1"/>
    <col min="11277" max="11277" width="17.42578125" style="108" customWidth="1"/>
    <col min="11278" max="11278" width="12" style="108" customWidth="1"/>
    <col min="11279" max="11279" width="16.5703125" style="108" customWidth="1"/>
    <col min="11280" max="11280" width="13.28515625" style="108" customWidth="1"/>
    <col min="11281" max="11281" width="16.5703125" style="108" customWidth="1"/>
    <col min="11282" max="11282" width="13.7109375" style="108" customWidth="1"/>
    <col min="11283" max="11283" width="15.7109375" style="108" customWidth="1"/>
    <col min="11284" max="11284" width="12.5703125" style="108" customWidth="1"/>
    <col min="11285" max="11285" width="19.140625" style="108" customWidth="1"/>
    <col min="11286" max="11286" width="12.28515625" style="108" customWidth="1"/>
    <col min="11287" max="11287" width="17.140625" style="108" customWidth="1"/>
    <col min="11288" max="11288" width="12.5703125" style="108" customWidth="1"/>
    <col min="11289" max="11289" width="17.7109375" style="108" customWidth="1"/>
    <col min="11290" max="11290" width="12.140625" style="108" customWidth="1"/>
    <col min="11291" max="11291" width="30.5703125" style="108" customWidth="1"/>
    <col min="11292" max="11295" width="8.140625" style="108" customWidth="1"/>
    <col min="11296" max="11296" width="9.42578125" style="108" customWidth="1"/>
    <col min="11297" max="11297" width="8.140625" style="108" customWidth="1"/>
    <col min="11298" max="11302" width="7.85546875" style="108" customWidth="1"/>
    <col min="11303" max="11303" width="11.28515625" style="108" customWidth="1"/>
    <col min="11304" max="11304" width="2.28515625" style="108" customWidth="1"/>
    <col min="11305" max="11305" width="19.42578125" style="108"/>
    <col min="11306" max="11331" width="11.28515625" style="108" customWidth="1"/>
    <col min="11332" max="11343" width="8.85546875" style="108" customWidth="1"/>
    <col min="11344" max="11521" width="19.42578125" style="108"/>
    <col min="11522" max="11524" width="11" style="108" customWidth="1"/>
    <col min="11525" max="11525" width="16.140625" style="108" customWidth="1"/>
    <col min="11526" max="11526" width="12.42578125" style="108" customWidth="1"/>
    <col min="11527" max="11527" width="14.28515625" style="108" customWidth="1"/>
    <col min="11528" max="11528" width="12" style="108" customWidth="1"/>
    <col min="11529" max="11529" width="16.7109375" style="108" customWidth="1"/>
    <col min="11530" max="11530" width="12" style="108" customWidth="1"/>
    <col min="11531" max="11531" width="16.28515625" style="108" customWidth="1"/>
    <col min="11532" max="11532" width="12.28515625" style="108" customWidth="1"/>
    <col min="11533" max="11533" width="17.42578125" style="108" customWidth="1"/>
    <col min="11534" max="11534" width="12" style="108" customWidth="1"/>
    <col min="11535" max="11535" width="16.5703125" style="108" customWidth="1"/>
    <col min="11536" max="11536" width="13.28515625" style="108" customWidth="1"/>
    <col min="11537" max="11537" width="16.5703125" style="108" customWidth="1"/>
    <col min="11538" max="11538" width="13.7109375" style="108" customWidth="1"/>
    <col min="11539" max="11539" width="15.7109375" style="108" customWidth="1"/>
    <col min="11540" max="11540" width="12.5703125" style="108" customWidth="1"/>
    <col min="11541" max="11541" width="19.140625" style="108" customWidth="1"/>
    <col min="11542" max="11542" width="12.28515625" style="108" customWidth="1"/>
    <col min="11543" max="11543" width="17.140625" style="108" customWidth="1"/>
    <col min="11544" max="11544" width="12.5703125" style="108" customWidth="1"/>
    <col min="11545" max="11545" width="17.7109375" style="108" customWidth="1"/>
    <col min="11546" max="11546" width="12.140625" style="108" customWidth="1"/>
    <col min="11547" max="11547" width="30.5703125" style="108" customWidth="1"/>
    <col min="11548" max="11551" width="8.140625" style="108" customWidth="1"/>
    <col min="11552" max="11552" width="9.42578125" style="108" customWidth="1"/>
    <col min="11553" max="11553" width="8.140625" style="108" customWidth="1"/>
    <col min="11554" max="11558" width="7.85546875" style="108" customWidth="1"/>
    <col min="11559" max="11559" width="11.28515625" style="108" customWidth="1"/>
    <col min="11560" max="11560" width="2.28515625" style="108" customWidth="1"/>
    <col min="11561" max="11561" width="19.42578125" style="108"/>
    <col min="11562" max="11587" width="11.28515625" style="108" customWidth="1"/>
    <col min="11588" max="11599" width="8.85546875" style="108" customWidth="1"/>
    <col min="11600" max="11777" width="19.42578125" style="108"/>
    <col min="11778" max="11780" width="11" style="108" customWidth="1"/>
    <col min="11781" max="11781" width="16.140625" style="108" customWidth="1"/>
    <col min="11782" max="11782" width="12.42578125" style="108" customWidth="1"/>
    <col min="11783" max="11783" width="14.28515625" style="108" customWidth="1"/>
    <col min="11784" max="11784" width="12" style="108" customWidth="1"/>
    <col min="11785" max="11785" width="16.7109375" style="108" customWidth="1"/>
    <col min="11786" max="11786" width="12" style="108" customWidth="1"/>
    <col min="11787" max="11787" width="16.28515625" style="108" customWidth="1"/>
    <col min="11788" max="11788" width="12.28515625" style="108" customWidth="1"/>
    <col min="11789" max="11789" width="17.42578125" style="108" customWidth="1"/>
    <col min="11790" max="11790" width="12" style="108" customWidth="1"/>
    <col min="11791" max="11791" width="16.5703125" style="108" customWidth="1"/>
    <col min="11792" max="11792" width="13.28515625" style="108" customWidth="1"/>
    <col min="11793" max="11793" width="16.5703125" style="108" customWidth="1"/>
    <col min="11794" max="11794" width="13.7109375" style="108" customWidth="1"/>
    <col min="11795" max="11795" width="15.7109375" style="108" customWidth="1"/>
    <col min="11796" max="11796" width="12.5703125" style="108" customWidth="1"/>
    <col min="11797" max="11797" width="19.140625" style="108" customWidth="1"/>
    <col min="11798" max="11798" width="12.28515625" style="108" customWidth="1"/>
    <col min="11799" max="11799" width="17.140625" style="108" customWidth="1"/>
    <col min="11800" max="11800" width="12.5703125" style="108" customWidth="1"/>
    <col min="11801" max="11801" width="17.7109375" style="108" customWidth="1"/>
    <col min="11802" max="11802" width="12.140625" style="108" customWidth="1"/>
    <col min="11803" max="11803" width="30.5703125" style="108" customWidth="1"/>
    <col min="11804" max="11807" width="8.140625" style="108" customWidth="1"/>
    <col min="11808" max="11808" width="9.42578125" style="108" customWidth="1"/>
    <col min="11809" max="11809" width="8.140625" style="108" customWidth="1"/>
    <col min="11810" max="11814" width="7.85546875" style="108" customWidth="1"/>
    <col min="11815" max="11815" width="11.28515625" style="108" customWidth="1"/>
    <col min="11816" max="11816" width="2.28515625" style="108" customWidth="1"/>
    <col min="11817" max="11817" width="19.42578125" style="108"/>
    <col min="11818" max="11843" width="11.28515625" style="108" customWidth="1"/>
    <col min="11844" max="11855" width="8.85546875" style="108" customWidth="1"/>
    <col min="11856" max="12033" width="19.42578125" style="108"/>
    <col min="12034" max="12036" width="11" style="108" customWidth="1"/>
    <col min="12037" max="12037" width="16.140625" style="108" customWidth="1"/>
    <col min="12038" max="12038" width="12.42578125" style="108" customWidth="1"/>
    <col min="12039" max="12039" width="14.28515625" style="108" customWidth="1"/>
    <col min="12040" max="12040" width="12" style="108" customWidth="1"/>
    <col min="12041" max="12041" width="16.7109375" style="108" customWidth="1"/>
    <col min="12042" max="12042" width="12" style="108" customWidth="1"/>
    <col min="12043" max="12043" width="16.28515625" style="108" customWidth="1"/>
    <col min="12044" max="12044" width="12.28515625" style="108" customWidth="1"/>
    <col min="12045" max="12045" width="17.42578125" style="108" customWidth="1"/>
    <col min="12046" max="12046" width="12" style="108" customWidth="1"/>
    <col min="12047" max="12047" width="16.5703125" style="108" customWidth="1"/>
    <col min="12048" max="12048" width="13.28515625" style="108" customWidth="1"/>
    <col min="12049" max="12049" width="16.5703125" style="108" customWidth="1"/>
    <col min="12050" max="12050" width="13.7109375" style="108" customWidth="1"/>
    <col min="12051" max="12051" width="15.7109375" style="108" customWidth="1"/>
    <col min="12052" max="12052" width="12.5703125" style="108" customWidth="1"/>
    <col min="12053" max="12053" width="19.140625" style="108" customWidth="1"/>
    <col min="12054" max="12054" width="12.28515625" style="108" customWidth="1"/>
    <col min="12055" max="12055" width="17.140625" style="108" customWidth="1"/>
    <col min="12056" max="12056" width="12.5703125" style="108" customWidth="1"/>
    <col min="12057" max="12057" width="17.7109375" style="108" customWidth="1"/>
    <col min="12058" max="12058" width="12.140625" style="108" customWidth="1"/>
    <col min="12059" max="12059" width="30.5703125" style="108" customWidth="1"/>
    <col min="12060" max="12063" width="8.140625" style="108" customWidth="1"/>
    <col min="12064" max="12064" width="9.42578125" style="108" customWidth="1"/>
    <col min="12065" max="12065" width="8.140625" style="108" customWidth="1"/>
    <col min="12066" max="12070" width="7.85546875" style="108" customWidth="1"/>
    <col min="12071" max="12071" width="11.28515625" style="108" customWidth="1"/>
    <col min="12072" max="12072" width="2.28515625" style="108" customWidth="1"/>
    <col min="12073" max="12073" width="19.42578125" style="108"/>
    <col min="12074" max="12099" width="11.28515625" style="108" customWidth="1"/>
    <col min="12100" max="12111" width="8.85546875" style="108" customWidth="1"/>
    <col min="12112" max="12289" width="19.42578125" style="108"/>
    <col min="12290" max="12292" width="11" style="108" customWidth="1"/>
    <col min="12293" max="12293" width="16.140625" style="108" customWidth="1"/>
    <col min="12294" max="12294" width="12.42578125" style="108" customWidth="1"/>
    <col min="12295" max="12295" width="14.28515625" style="108" customWidth="1"/>
    <col min="12296" max="12296" width="12" style="108" customWidth="1"/>
    <col min="12297" max="12297" width="16.7109375" style="108" customWidth="1"/>
    <col min="12298" max="12298" width="12" style="108" customWidth="1"/>
    <col min="12299" max="12299" width="16.28515625" style="108" customWidth="1"/>
    <col min="12300" max="12300" width="12.28515625" style="108" customWidth="1"/>
    <col min="12301" max="12301" width="17.42578125" style="108" customWidth="1"/>
    <col min="12302" max="12302" width="12" style="108" customWidth="1"/>
    <col min="12303" max="12303" width="16.5703125" style="108" customWidth="1"/>
    <col min="12304" max="12304" width="13.28515625" style="108" customWidth="1"/>
    <col min="12305" max="12305" width="16.5703125" style="108" customWidth="1"/>
    <col min="12306" max="12306" width="13.7109375" style="108" customWidth="1"/>
    <col min="12307" max="12307" width="15.7109375" style="108" customWidth="1"/>
    <col min="12308" max="12308" width="12.5703125" style="108" customWidth="1"/>
    <col min="12309" max="12309" width="19.140625" style="108" customWidth="1"/>
    <col min="12310" max="12310" width="12.28515625" style="108" customWidth="1"/>
    <col min="12311" max="12311" width="17.140625" style="108" customWidth="1"/>
    <col min="12312" max="12312" width="12.5703125" style="108" customWidth="1"/>
    <col min="12313" max="12313" width="17.7109375" style="108" customWidth="1"/>
    <col min="12314" max="12314" width="12.140625" style="108" customWidth="1"/>
    <col min="12315" max="12315" width="30.5703125" style="108" customWidth="1"/>
    <col min="12316" max="12319" width="8.140625" style="108" customWidth="1"/>
    <col min="12320" max="12320" width="9.42578125" style="108" customWidth="1"/>
    <col min="12321" max="12321" width="8.140625" style="108" customWidth="1"/>
    <col min="12322" max="12326" width="7.85546875" style="108" customWidth="1"/>
    <col min="12327" max="12327" width="11.28515625" style="108" customWidth="1"/>
    <col min="12328" max="12328" width="2.28515625" style="108" customWidth="1"/>
    <col min="12329" max="12329" width="19.42578125" style="108"/>
    <col min="12330" max="12355" width="11.28515625" style="108" customWidth="1"/>
    <col min="12356" max="12367" width="8.85546875" style="108" customWidth="1"/>
    <col min="12368" max="12545" width="19.42578125" style="108"/>
    <col min="12546" max="12548" width="11" style="108" customWidth="1"/>
    <col min="12549" max="12549" width="16.140625" style="108" customWidth="1"/>
    <col min="12550" max="12550" width="12.42578125" style="108" customWidth="1"/>
    <col min="12551" max="12551" width="14.28515625" style="108" customWidth="1"/>
    <col min="12552" max="12552" width="12" style="108" customWidth="1"/>
    <col min="12553" max="12553" width="16.7109375" style="108" customWidth="1"/>
    <col min="12554" max="12554" width="12" style="108" customWidth="1"/>
    <col min="12555" max="12555" width="16.28515625" style="108" customWidth="1"/>
    <col min="12556" max="12556" width="12.28515625" style="108" customWidth="1"/>
    <col min="12557" max="12557" width="17.42578125" style="108" customWidth="1"/>
    <col min="12558" max="12558" width="12" style="108" customWidth="1"/>
    <col min="12559" max="12559" width="16.5703125" style="108" customWidth="1"/>
    <col min="12560" max="12560" width="13.28515625" style="108" customWidth="1"/>
    <col min="12561" max="12561" width="16.5703125" style="108" customWidth="1"/>
    <col min="12562" max="12562" width="13.7109375" style="108" customWidth="1"/>
    <col min="12563" max="12563" width="15.7109375" style="108" customWidth="1"/>
    <col min="12564" max="12564" width="12.5703125" style="108" customWidth="1"/>
    <col min="12565" max="12565" width="19.140625" style="108" customWidth="1"/>
    <col min="12566" max="12566" width="12.28515625" style="108" customWidth="1"/>
    <col min="12567" max="12567" width="17.140625" style="108" customWidth="1"/>
    <col min="12568" max="12568" width="12.5703125" style="108" customWidth="1"/>
    <col min="12569" max="12569" width="17.7109375" style="108" customWidth="1"/>
    <col min="12570" max="12570" width="12.140625" style="108" customWidth="1"/>
    <col min="12571" max="12571" width="30.5703125" style="108" customWidth="1"/>
    <col min="12572" max="12575" width="8.140625" style="108" customWidth="1"/>
    <col min="12576" max="12576" width="9.42578125" style="108" customWidth="1"/>
    <col min="12577" max="12577" width="8.140625" style="108" customWidth="1"/>
    <col min="12578" max="12582" width="7.85546875" style="108" customWidth="1"/>
    <col min="12583" max="12583" width="11.28515625" style="108" customWidth="1"/>
    <col min="12584" max="12584" width="2.28515625" style="108" customWidth="1"/>
    <col min="12585" max="12585" width="19.42578125" style="108"/>
    <col min="12586" max="12611" width="11.28515625" style="108" customWidth="1"/>
    <col min="12612" max="12623" width="8.85546875" style="108" customWidth="1"/>
    <col min="12624" max="12801" width="19.42578125" style="108"/>
    <col min="12802" max="12804" width="11" style="108" customWidth="1"/>
    <col min="12805" max="12805" width="16.140625" style="108" customWidth="1"/>
    <col min="12806" max="12806" width="12.42578125" style="108" customWidth="1"/>
    <col min="12807" max="12807" width="14.28515625" style="108" customWidth="1"/>
    <col min="12808" max="12808" width="12" style="108" customWidth="1"/>
    <col min="12809" max="12809" width="16.7109375" style="108" customWidth="1"/>
    <col min="12810" max="12810" width="12" style="108" customWidth="1"/>
    <col min="12811" max="12811" width="16.28515625" style="108" customWidth="1"/>
    <col min="12812" max="12812" width="12.28515625" style="108" customWidth="1"/>
    <col min="12813" max="12813" width="17.42578125" style="108" customWidth="1"/>
    <col min="12814" max="12814" width="12" style="108" customWidth="1"/>
    <col min="12815" max="12815" width="16.5703125" style="108" customWidth="1"/>
    <col min="12816" max="12816" width="13.28515625" style="108" customWidth="1"/>
    <col min="12817" max="12817" width="16.5703125" style="108" customWidth="1"/>
    <col min="12818" max="12818" width="13.7109375" style="108" customWidth="1"/>
    <col min="12819" max="12819" width="15.7109375" style="108" customWidth="1"/>
    <col min="12820" max="12820" width="12.5703125" style="108" customWidth="1"/>
    <col min="12821" max="12821" width="19.140625" style="108" customWidth="1"/>
    <col min="12822" max="12822" width="12.28515625" style="108" customWidth="1"/>
    <col min="12823" max="12823" width="17.140625" style="108" customWidth="1"/>
    <col min="12824" max="12824" width="12.5703125" style="108" customWidth="1"/>
    <col min="12825" max="12825" width="17.7109375" style="108" customWidth="1"/>
    <col min="12826" max="12826" width="12.140625" style="108" customWidth="1"/>
    <col min="12827" max="12827" width="30.5703125" style="108" customWidth="1"/>
    <col min="12828" max="12831" width="8.140625" style="108" customWidth="1"/>
    <col min="12832" max="12832" width="9.42578125" style="108" customWidth="1"/>
    <col min="12833" max="12833" width="8.140625" style="108" customWidth="1"/>
    <col min="12834" max="12838" width="7.85546875" style="108" customWidth="1"/>
    <col min="12839" max="12839" width="11.28515625" style="108" customWidth="1"/>
    <col min="12840" max="12840" width="2.28515625" style="108" customWidth="1"/>
    <col min="12841" max="12841" width="19.42578125" style="108"/>
    <col min="12842" max="12867" width="11.28515625" style="108" customWidth="1"/>
    <col min="12868" max="12879" width="8.85546875" style="108" customWidth="1"/>
    <col min="12880" max="13057" width="19.42578125" style="108"/>
    <col min="13058" max="13060" width="11" style="108" customWidth="1"/>
    <col min="13061" max="13061" width="16.140625" style="108" customWidth="1"/>
    <col min="13062" max="13062" width="12.42578125" style="108" customWidth="1"/>
    <col min="13063" max="13063" width="14.28515625" style="108" customWidth="1"/>
    <col min="13064" max="13064" width="12" style="108" customWidth="1"/>
    <col min="13065" max="13065" width="16.7109375" style="108" customWidth="1"/>
    <col min="13066" max="13066" width="12" style="108" customWidth="1"/>
    <col min="13067" max="13067" width="16.28515625" style="108" customWidth="1"/>
    <col min="13068" max="13068" width="12.28515625" style="108" customWidth="1"/>
    <col min="13069" max="13069" width="17.42578125" style="108" customWidth="1"/>
    <col min="13070" max="13070" width="12" style="108" customWidth="1"/>
    <col min="13071" max="13071" width="16.5703125" style="108" customWidth="1"/>
    <col min="13072" max="13072" width="13.28515625" style="108" customWidth="1"/>
    <col min="13073" max="13073" width="16.5703125" style="108" customWidth="1"/>
    <col min="13074" max="13074" width="13.7109375" style="108" customWidth="1"/>
    <col min="13075" max="13075" width="15.7109375" style="108" customWidth="1"/>
    <col min="13076" max="13076" width="12.5703125" style="108" customWidth="1"/>
    <col min="13077" max="13077" width="19.140625" style="108" customWidth="1"/>
    <col min="13078" max="13078" width="12.28515625" style="108" customWidth="1"/>
    <col min="13079" max="13079" width="17.140625" style="108" customWidth="1"/>
    <col min="13080" max="13080" width="12.5703125" style="108" customWidth="1"/>
    <col min="13081" max="13081" width="17.7109375" style="108" customWidth="1"/>
    <col min="13082" max="13082" width="12.140625" style="108" customWidth="1"/>
    <col min="13083" max="13083" width="30.5703125" style="108" customWidth="1"/>
    <col min="13084" max="13087" width="8.140625" style="108" customWidth="1"/>
    <col min="13088" max="13088" width="9.42578125" style="108" customWidth="1"/>
    <col min="13089" max="13089" width="8.140625" style="108" customWidth="1"/>
    <col min="13090" max="13094" width="7.85546875" style="108" customWidth="1"/>
    <col min="13095" max="13095" width="11.28515625" style="108" customWidth="1"/>
    <col min="13096" max="13096" width="2.28515625" style="108" customWidth="1"/>
    <col min="13097" max="13097" width="19.42578125" style="108"/>
    <col min="13098" max="13123" width="11.28515625" style="108" customWidth="1"/>
    <col min="13124" max="13135" width="8.85546875" style="108" customWidth="1"/>
    <col min="13136" max="13313" width="19.42578125" style="108"/>
    <col min="13314" max="13316" width="11" style="108" customWidth="1"/>
    <col min="13317" max="13317" width="16.140625" style="108" customWidth="1"/>
    <col min="13318" max="13318" width="12.42578125" style="108" customWidth="1"/>
    <col min="13319" max="13319" width="14.28515625" style="108" customWidth="1"/>
    <col min="13320" max="13320" width="12" style="108" customWidth="1"/>
    <col min="13321" max="13321" width="16.7109375" style="108" customWidth="1"/>
    <col min="13322" max="13322" width="12" style="108" customWidth="1"/>
    <col min="13323" max="13323" width="16.28515625" style="108" customWidth="1"/>
    <col min="13324" max="13324" width="12.28515625" style="108" customWidth="1"/>
    <col min="13325" max="13325" width="17.42578125" style="108" customWidth="1"/>
    <col min="13326" max="13326" width="12" style="108" customWidth="1"/>
    <col min="13327" max="13327" width="16.5703125" style="108" customWidth="1"/>
    <col min="13328" max="13328" width="13.28515625" style="108" customWidth="1"/>
    <col min="13329" max="13329" width="16.5703125" style="108" customWidth="1"/>
    <col min="13330" max="13330" width="13.7109375" style="108" customWidth="1"/>
    <col min="13331" max="13331" width="15.7109375" style="108" customWidth="1"/>
    <col min="13332" max="13332" width="12.5703125" style="108" customWidth="1"/>
    <col min="13333" max="13333" width="19.140625" style="108" customWidth="1"/>
    <col min="13334" max="13334" width="12.28515625" style="108" customWidth="1"/>
    <col min="13335" max="13335" width="17.140625" style="108" customWidth="1"/>
    <col min="13336" max="13336" width="12.5703125" style="108" customWidth="1"/>
    <col min="13337" max="13337" width="17.7109375" style="108" customWidth="1"/>
    <col min="13338" max="13338" width="12.140625" style="108" customWidth="1"/>
    <col min="13339" max="13339" width="30.5703125" style="108" customWidth="1"/>
    <col min="13340" max="13343" width="8.140625" style="108" customWidth="1"/>
    <col min="13344" max="13344" width="9.42578125" style="108" customWidth="1"/>
    <col min="13345" max="13345" width="8.140625" style="108" customWidth="1"/>
    <col min="13346" max="13350" width="7.85546875" style="108" customWidth="1"/>
    <col min="13351" max="13351" width="11.28515625" style="108" customWidth="1"/>
    <col min="13352" max="13352" width="2.28515625" style="108" customWidth="1"/>
    <col min="13353" max="13353" width="19.42578125" style="108"/>
    <col min="13354" max="13379" width="11.28515625" style="108" customWidth="1"/>
    <col min="13380" max="13391" width="8.85546875" style="108" customWidth="1"/>
    <col min="13392" max="13569" width="19.42578125" style="108"/>
    <col min="13570" max="13572" width="11" style="108" customWidth="1"/>
    <col min="13573" max="13573" width="16.140625" style="108" customWidth="1"/>
    <col min="13574" max="13574" width="12.42578125" style="108" customWidth="1"/>
    <col min="13575" max="13575" width="14.28515625" style="108" customWidth="1"/>
    <col min="13576" max="13576" width="12" style="108" customWidth="1"/>
    <col min="13577" max="13577" width="16.7109375" style="108" customWidth="1"/>
    <col min="13578" max="13578" width="12" style="108" customWidth="1"/>
    <col min="13579" max="13579" width="16.28515625" style="108" customWidth="1"/>
    <col min="13580" max="13580" width="12.28515625" style="108" customWidth="1"/>
    <col min="13581" max="13581" width="17.42578125" style="108" customWidth="1"/>
    <col min="13582" max="13582" width="12" style="108" customWidth="1"/>
    <col min="13583" max="13583" width="16.5703125" style="108" customWidth="1"/>
    <col min="13584" max="13584" width="13.28515625" style="108" customWidth="1"/>
    <col min="13585" max="13585" width="16.5703125" style="108" customWidth="1"/>
    <col min="13586" max="13586" width="13.7109375" style="108" customWidth="1"/>
    <col min="13587" max="13587" width="15.7109375" style="108" customWidth="1"/>
    <col min="13588" max="13588" width="12.5703125" style="108" customWidth="1"/>
    <col min="13589" max="13589" width="19.140625" style="108" customWidth="1"/>
    <col min="13590" max="13590" width="12.28515625" style="108" customWidth="1"/>
    <col min="13591" max="13591" width="17.140625" style="108" customWidth="1"/>
    <col min="13592" max="13592" width="12.5703125" style="108" customWidth="1"/>
    <col min="13593" max="13593" width="17.7109375" style="108" customWidth="1"/>
    <col min="13594" max="13594" width="12.140625" style="108" customWidth="1"/>
    <col min="13595" max="13595" width="30.5703125" style="108" customWidth="1"/>
    <col min="13596" max="13599" width="8.140625" style="108" customWidth="1"/>
    <col min="13600" max="13600" width="9.42578125" style="108" customWidth="1"/>
    <col min="13601" max="13601" width="8.140625" style="108" customWidth="1"/>
    <col min="13602" max="13606" width="7.85546875" style="108" customWidth="1"/>
    <col min="13607" max="13607" width="11.28515625" style="108" customWidth="1"/>
    <col min="13608" max="13608" width="2.28515625" style="108" customWidth="1"/>
    <col min="13609" max="13609" width="19.42578125" style="108"/>
    <col min="13610" max="13635" width="11.28515625" style="108" customWidth="1"/>
    <col min="13636" max="13647" width="8.85546875" style="108" customWidth="1"/>
    <col min="13648" max="13825" width="19.42578125" style="108"/>
    <col min="13826" max="13828" width="11" style="108" customWidth="1"/>
    <col min="13829" max="13829" width="16.140625" style="108" customWidth="1"/>
    <col min="13830" max="13830" width="12.42578125" style="108" customWidth="1"/>
    <col min="13831" max="13831" width="14.28515625" style="108" customWidth="1"/>
    <col min="13832" max="13832" width="12" style="108" customWidth="1"/>
    <col min="13833" max="13833" width="16.7109375" style="108" customWidth="1"/>
    <col min="13834" max="13834" width="12" style="108" customWidth="1"/>
    <col min="13835" max="13835" width="16.28515625" style="108" customWidth="1"/>
    <col min="13836" max="13836" width="12.28515625" style="108" customWidth="1"/>
    <col min="13837" max="13837" width="17.42578125" style="108" customWidth="1"/>
    <col min="13838" max="13838" width="12" style="108" customWidth="1"/>
    <col min="13839" max="13839" width="16.5703125" style="108" customWidth="1"/>
    <col min="13840" max="13840" width="13.28515625" style="108" customWidth="1"/>
    <col min="13841" max="13841" width="16.5703125" style="108" customWidth="1"/>
    <col min="13842" max="13842" width="13.7109375" style="108" customWidth="1"/>
    <col min="13843" max="13843" width="15.7109375" style="108" customWidth="1"/>
    <col min="13844" max="13844" width="12.5703125" style="108" customWidth="1"/>
    <col min="13845" max="13845" width="19.140625" style="108" customWidth="1"/>
    <col min="13846" max="13846" width="12.28515625" style="108" customWidth="1"/>
    <col min="13847" max="13847" width="17.140625" style="108" customWidth="1"/>
    <col min="13848" max="13848" width="12.5703125" style="108" customWidth="1"/>
    <col min="13849" max="13849" width="17.7109375" style="108" customWidth="1"/>
    <col min="13850" max="13850" width="12.140625" style="108" customWidth="1"/>
    <col min="13851" max="13851" width="30.5703125" style="108" customWidth="1"/>
    <col min="13852" max="13855" width="8.140625" style="108" customWidth="1"/>
    <col min="13856" max="13856" width="9.42578125" style="108" customWidth="1"/>
    <col min="13857" max="13857" width="8.140625" style="108" customWidth="1"/>
    <col min="13858" max="13862" width="7.85546875" style="108" customWidth="1"/>
    <col min="13863" max="13863" width="11.28515625" style="108" customWidth="1"/>
    <col min="13864" max="13864" width="2.28515625" style="108" customWidth="1"/>
    <col min="13865" max="13865" width="19.42578125" style="108"/>
    <col min="13866" max="13891" width="11.28515625" style="108" customWidth="1"/>
    <col min="13892" max="13903" width="8.85546875" style="108" customWidth="1"/>
    <col min="13904" max="14081" width="19.42578125" style="108"/>
    <col min="14082" max="14084" width="11" style="108" customWidth="1"/>
    <col min="14085" max="14085" width="16.140625" style="108" customWidth="1"/>
    <col min="14086" max="14086" width="12.42578125" style="108" customWidth="1"/>
    <col min="14087" max="14087" width="14.28515625" style="108" customWidth="1"/>
    <col min="14088" max="14088" width="12" style="108" customWidth="1"/>
    <col min="14089" max="14089" width="16.7109375" style="108" customWidth="1"/>
    <col min="14090" max="14090" width="12" style="108" customWidth="1"/>
    <col min="14091" max="14091" width="16.28515625" style="108" customWidth="1"/>
    <col min="14092" max="14092" width="12.28515625" style="108" customWidth="1"/>
    <col min="14093" max="14093" width="17.42578125" style="108" customWidth="1"/>
    <col min="14094" max="14094" width="12" style="108" customWidth="1"/>
    <col min="14095" max="14095" width="16.5703125" style="108" customWidth="1"/>
    <col min="14096" max="14096" width="13.28515625" style="108" customWidth="1"/>
    <col min="14097" max="14097" width="16.5703125" style="108" customWidth="1"/>
    <col min="14098" max="14098" width="13.7109375" style="108" customWidth="1"/>
    <col min="14099" max="14099" width="15.7109375" style="108" customWidth="1"/>
    <col min="14100" max="14100" width="12.5703125" style="108" customWidth="1"/>
    <col min="14101" max="14101" width="19.140625" style="108" customWidth="1"/>
    <col min="14102" max="14102" width="12.28515625" style="108" customWidth="1"/>
    <col min="14103" max="14103" width="17.140625" style="108" customWidth="1"/>
    <col min="14104" max="14104" width="12.5703125" style="108" customWidth="1"/>
    <col min="14105" max="14105" width="17.7109375" style="108" customWidth="1"/>
    <col min="14106" max="14106" width="12.140625" style="108" customWidth="1"/>
    <col min="14107" max="14107" width="30.5703125" style="108" customWidth="1"/>
    <col min="14108" max="14111" width="8.140625" style="108" customWidth="1"/>
    <col min="14112" max="14112" width="9.42578125" style="108" customWidth="1"/>
    <col min="14113" max="14113" width="8.140625" style="108" customWidth="1"/>
    <col min="14114" max="14118" width="7.85546875" style="108" customWidth="1"/>
    <col min="14119" max="14119" width="11.28515625" style="108" customWidth="1"/>
    <col min="14120" max="14120" width="2.28515625" style="108" customWidth="1"/>
    <col min="14121" max="14121" width="19.42578125" style="108"/>
    <col min="14122" max="14147" width="11.28515625" style="108" customWidth="1"/>
    <col min="14148" max="14159" width="8.85546875" style="108" customWidth="1"/>
    <col min="14160" max="14337" width="19.42578125" style="108"/>
    <col min="14338" max="14340" width="11" style="108" customWidth="1"/>
    <col min="14341" max="14341" width="16.140625" style="108" customWidth="1"/>
    <col min="14342" max="14342" width="12.42578125" style="108" customWidth="1"/>
    <col min="14343" max="14343" width="14.28515625" style="108" customWidth="1"/>
    <col min="14344" max="14344" width="12" style="108" customWidth="1"/>
    <col min="14345" max="14345" width="16.7109375" style="108" customWidth="1"/>
    <col min="14346" max="14346" width="12" style="108" customWidth="1"/>
    <col min="14347" max="14347" width="16.28515625" style="108" customWidth="1"/>
    <col min="14348" max="14348" width="12.28515625" style="108" customWidth="1"/>
    <col min="14349" max="14349" width="17.42578125" style="108" customWidth="1"/>
    <col min="14350" max="14350" width="12" style="108" customWidth="1"/>
    <col min="14351" max="14351" width="16.5703125" style="108" customWidth="1"/>
    <col min="14352" max="14352" width="13.28515625" style="108" customWidth="1"/>
    <col min="14353" max="14353" width="16.5703125" style="108" customWidth="1"/>
    <col min="14354" max="14354" width="13.7109375" style="108" customWidth="1"/>
    <col min="14355" max="14355" width="15.7109375" style="108" customWidth="1"/>
    <col min="14356" max="14356" width="12.5703125" style="108" customWidth="1"/>
    <col min="14357" max="14357" width="19.140625" style="108" customWidth="1"/>
    <col min="14358" max="14358" width="12.28515625" style="108" customWidth="1"/>
    <col min="14359" max="14359" width="17.140625" style="108" customWidth="1"/>
    <col min="14360" max="14360" width="12.5703125" style="108" customWidth="1"/>
    <col min="14361" max="14361" width="17.7109375" style="108" customWidth="1"/>
    <col min="14362" max="14362" width="12.140625" style="108" customWidth="1"/>
    <col min="14363" max="14363" width="30.5703125" style="108" customWidth="1"/>
    <col min="14364" max="14367" width="8.140625" style="108" customWidth="1"/>
    <col min="14368" max="14368" width="9.42578125" style="108" customWidth="1"/>
    <col min="14369" max="14369" width="8.140625" style="108" customWidth="1"/>
    <col min="14370" max="14374" width="7.85546875" style="108" customWidth="1"/>
    <col min="14375" max="14375" width="11.28515625" style="108" customWidth="1"/>
    <col min="14376" max="14376" width="2.28515625" style="108" customWidth="1"/>
    <col min="14377" max="14377" width="19.42578125" style="108"/>
    <col min="14378" max="14403" width="11.28515625" style="108" customWidth="1"/>
    <col min="14404" max="14415" width="8.85546875" style="108" customWidth="1"/>
    <col min="14416" max="14593" width="19.42578125" style="108"/>
    <col min="14594" max="14596" width="11" style="108" customWidth="1"/>
    <col min="14597" max="14597" width="16.140625" style="108" customWidth="1"/>
    <col min="14598" max="14598" width="12.42578125" style="108" customWidth="1"/>
    <col min="14599" max="14599" width="14.28515625" style="108" customWidth="1"/>
    <col min="14600" max="14600" width="12" style="108" customWidth="1"/>
    <col min="14601" max="14601" width="16.7109375" style="108" customWidth="1"/>
    <col min="14602" max="14602" width="12" style="108" customWidth="1"/>
    <col min="14603" max="14603" width="16.28515625" style="108" customWidth="1"/>
    <col min="14604" max="14604" width="12.28515625" style="108" customWidth="1"/>
    <col min="14605" max="14605" width="17.42578125" style="108" customWidth="1"/>
    <col min="14606" max="14606" width="12" style="108" customWidth="1"/>
    <col min="14607" max="14607" width="16.5703125" style="108" customWidth="1"/>
    <col min="14608" max="14608" width="13.28515625" style="108" customWidth="1"/>
    <col min="14609" max="14609" width="16.5703125" style="108" customWidth="1"/>
    <col min="14610" max="14610" width="13.7109375" style="108" customWidth="1"/>
    <col min="14611" max="14611" width="15.7109375" style="108" customWidth="1"/>
    <col min="14612" max="14612" width="12.5703125" style="108" customWidth="1"/>
    <col min="14613" max="14613" width="19.140625" style="108" customWidth="1"/>
    <col min="14614" max="14614" width="12.28515625" style="108" customWidth="1"/>
    <col min="14615" max="14615" width="17.140625" style="108" customWidth="1"/>
    <col min="14616" max="14616" width="12.5703125" style="108" customWidth="1"/>
    <col min="14617" max="14617" width="17.7109375" style="108" customWidth="1"/>
    <col min="14618" max="14618" width="12.140625" style="108" customWidth="1"/>
    <col min="14619" max="14619" width="30.5703125" style="108" customWidth="1"/>
    <col min="14620" max="14623" width="8.140625" style="108" customWidth="1"/>
    <col min="14624" max="14624" width="9.42578125" style="108" customWidth="1"/>
    <col min="14625" max="14625" width="8.140625" style="108" customWidth="1"/>
    <col min="14626" max="14630" width="7.85546875" style="108" customWidth="1"/>
    <col min="14631" max="14631" width="11.28515625" style="108" customWidth="1"/>
    <col min="14632" max="14632" width="2.28515625" style="108" customWidth="1"/>
    <col min="14633" max="14633" width="19.42578125" style="108"/>
    <col min="14634" max="14659" width="11.28515625" style="108" customWidth="1"/>
    <col min="14660" max="14671" width="8.85546875" style="108" customWidth="1"/>
    <col min="14672" max="14849" width="19.42578125" style="108"/>
    <col min="14850" max="14852" width="11" style="108" customWidth="1"/>
    <col min="14853" max="14853" width="16.140625" style="108" customWidth="1"/>
    <col min="14854" max="14854" width="12.42578125" style="108" customWidth="1"/>
    <col min="14855" max="14855" width="14.28515625" style="108" customWidth="1"/>
    <col min="14856" max="14856" width="12" style="108" customWidth="1"/>
    <col min="14857" max="14857" width="16.7109375" style="108" customWidth="1"/>
    <col min="14858" max="14858" width="12" style="108" customWidth="1"/>
    <col min="14859" max="14859" width="16.28515625" style="108" customWidth="1"/>
    <col min="14860" max="14860" width="12.28515625" style="108" customWidth="1"/>
    <col min="14861" max="14861" width="17.42578125" style="108" customWidth="1"/>
    <col min="14862" max="14862" width="12" style="108" customWidth="1"/>
    <col min="14863" max="14863" width="16.5703125" style="108" customWidth="1"/>
    <col min="14864" max="14864" width="13.28515625" style="108" customWidth="1"/>
    <col min="14865" max="14865" width="16.5703125" style="108" customWidth="1"/>
    <col min="14866" max="14866" width="13.7109375" style="108" customWidth="1"/>
    <col min="14867" max="14867" width="15.7109375" style="108" customWidth="1"/>
    <col min="14868" max="14868" width="12.5703125" style="108" customWidth="1"/>
    <col min="14869" max="14869" width="19.140625" style="108" customWidth="1"/>
    <col min="14870" max="14870" width="12.28515625" style="108" customWidth="1"/>
    <col min="14871" max="14871" width="17.140625" style="108" customWidth="1"/>
    <col min="14872" max="14872" width="12.5703125" style="108" customWidth="1"/>
    <col min="14873" max="14873" width="17.7109375" style="108" customWidth="1"/>
    <col min="14874" max="14874" width="12.140625" style="108" customWidth="1"/>
    <col min="14875" max="14875" width="30.5703125" style="108" customWidth="1"/>
    <col min="14876" max="14879" width="8.140625" style="108" customWidth="1"/>
    <col min="14880" max="14880" width="9.42578125" style="108" customWidth="1"/>
    <col min="14881" max="14881" width="8.140625" style="108" customWidth="1"/>
    <col min="14882" max="14886" width="7.85546875" style="108" customWidth="1"/>
    <col min="14887" max="14887" width="11.28515625" style="108" customWidth="1"/>
    <col min="14888" max="14888" width="2.28515625" style="108" customWidth="1"/>
    <col min="14889" max="14889" width="19.42578125" style="108"/>
    <col min="14890" max="14915" width="11.28515625" style="108" customWidth="1"/>
    <col min="14916" max="14927" width="8.85546875" style="108" customWidth="1"/>
    <col min="14928" max="15105" width="19.42578125" style="108"/>
    <col min="15106" max="15108" width="11" style="108" customWidth="1"/>
    <col min="15109" max="15109" width="16.140625" style="108" customWidth="1"/>
    <col min="15110" max="15110" width="12.42578125" style="108" customWidth="1"/>
    <col min="15111" max="15111" width="14.28515625" style="108" customWidth="1"/>
    <col min="15112" max="15112" width="12" style="108" customWidth="1"/>
    <col min="15113" max="15113" width="16.7109375" style="108" customWidth="1"/>
    <col min="15114" max="15114" width="12" style="108" customWidth="1"/>
    <col min="15115" max="15115" width="16.28515625" style="108" customWidth="1"/>
    <col min="15116" max="15116" width="12.28515625" style="108" customWidth="1"/>
    <col min="15117" max="15117" width="17.42578125" style="108" customWidth="1"/>
    <col min="15118" max="15118" width="12" style="108" customWidth="1"/>
    <col min="15119" max="15119" width="16.5703125" style="108" customWidth="1"/>
    <col min="15120" max="15120" width="13.28515625" style="108" customWidth="1"/>
    <col min="15121" max="15121" width="16.5703125" style="108" customWidth="1"/>
    <col min="15122" max="15122" width="13.7109375" style="108" customWidth="1"/>
    <col min="15123" max="15123" width="15.7109375" style="108" customWidth="1"/>
    <col min="15124" max="15124" width="12.5703125" style="108" customWidth="1"/>
    <col min="15125" max="15125" width="19.140625" style="108" customWidth="1"/>
    <col min="15126" max="15126" width="12.28515625" style="108" customWidth="1"/>
    <col min="15127" max="15127" width="17.140625" style="108" customWidth="1"/>
    <col min="15128" max="15128" width="12.5703125" style="108" customWidth="1"/>
    <col min="15129" max="15129" width="17.7109375" style="108" customWidth="1"/>
    <col min="15130" max="15130" width="12.140625" style="108" customWidth="1"/>
    <col min="15131" max="15131" width="30.5703125" style="108" customWidth="1"/>
    <col min="15132" max="15135" width="8.140625" style="108" customWidth="1"/>
    <col min="15136" max="15136" width="9.42578125" style="108" customWidth="1"/>
    <col min="15137" max="15137" width="8.140625" style="108" customWidth="1"/>
    <col min="15138" max="15142" width="7.85546875" style="108" customWidth="1"/>
    <col min="15143" max="15143" width="11.28515625" style="108" customWidth="1"/>
    <col min="15144" max="15144" width="2.28515625" style="108" customWidth="1"/>
    <col min="15145" max="15145" width="19.42578125" style="108"/>
    <col min="15146" max="15171" width="11.28515625" style="108" customWidth="1"/>
    <col min="15172" max="15183" width="8.85546875" style="108" customWidth="1"/>
    <col min="15184" max="15361" width="19.42578125" style="108"/>
    <col min="15362" max="15364" width="11" style="108" customWidth="1"/>
    <col min="15365" max="15365" width="16.140625" style="108" customWidth="1"/>
    <col min="15366" max="15366" width="12.42578125" style="108" customWidth="1"/>
    <col min="15367" max="15367" width="14.28515625" style="108" customWidth="1"/>
    <col min="15368" max="15368" width="12" style="108" customWidth="1"/>
    <col min="15369" max="15369" width="16.7109375" style="108" customWidth="1"/>
    <col min="15370" max="15370" width="12" style="108" customWidth="1"/>
    <col min="15371" max="15371" width="16.28515625" style="108" customWidth="1"/>
    <col min="15372" max="15372" width="12.28515625" style="108" customWidth="1"/>
    <col min="15373" max="15373" width="17.42578125" style="108" customWidth="1"/>
    <col min="15374" max="15374" width="12" style="108" customWidth="1"/>
    <col min="15375" max="15375" width="16.5703125" style="108" customWidth="1"/>
    <col min="15376" max="15376" width="13.28515625" style="108" customWidth="1"/>
    <col min="15377" max="15377" width="16.5703125" style="108" customWidth="1"/>
    <col min="15378" max="15378" width="13.7109375" style="108" customWidth="1"/>
    <col min="15379" max="15379" width="15.7109375" style="108" customWidth="1"/>
    <col min="15380" max="15380" width="12.5703125" style="108" customWidth="1"/>
    <col min="15381" max="15381" width="19.140625" style="108" customWidth="1"/>
    <col min="15382" max="15382" width="12.28515625" style="108" customWidth="1"/>
    <col min="15383" max="15383" width="17.140625" style="108" customWidth="1"/>
    <col min="15384" max="15384" width="12.5703125" style="108" customWidth="1"/>
    <col min="15385" max="15385" width="17.7109375" style="108" customWidth="1"/>
    <col min="15386" max="15386" width="12.140625" style="108" customWidth="1"/>
    <col min="15387" max="15387" width="30.5703125" style="108" customWidth="1"/>
    <col min="15388" max="15391" width="8.140625" style="108" customWidth="1"/>
    <col min="15392" max="15392" width="9.42578125" style="108" customWidth="1"/>
    <col min="15393" max="15393" width="8.140625" style="108" customWidth="1"/>
    <col min="15394" max="15398" width="7.85546875" style="108" customWidth="1"/>
    <col min="15399" max="15399" width="11.28515625" style="108" customWidth="1"/>
    <col min="15400" max="15400" width="2.28515625" style="108" customWidth="1"/>
    <col min="15401" max="15401" width="19.42578125" style="108"/>
    <col min="15402" max="15427" width="11.28515625" style="108" customWidth="1"/>
    <col min="15428" max="15439" width="8.85546875" style="108" customWidth="1"/>
    <col min="15440" max="15617" width="19.42578125" style="108"/>
    <col min="15618" max="15620" width="11" style="108" customWidth="1"/>
    <col min="15621" max="15621" width="16.140625" style="108" customWidth="1"/>
    <col min="15622" max="15622" width="12.42578125" style="108" customWidth="1"/>
    <col min="15623" max="15623" width="14.28515625" style="108" customWidth="1"/>
    <col min="15624" max="15624" width="12" style="108" customWidth="1"/>
    <col min="15625" max="15625" width="16.7109375" style="108" customWidth="1"/>
    <col min="15626" max="15626" width="12" style="108" customWidth="1"/>
    <col min="15627" max="15627" width="16.28515625" style="108" customWidth="1"/>
    <col min="15628" max="15628" width="12.28515625" style="108" customWidth="1"/>
    <col min="15629" max="15629" width="17.42578125" style="108" customWidth="1"/>
    <col min="15630" max="15630" width="12" style="108" customWidth="1"/>
    <col min="15631" max="15631" width="16.5703125" style="108" customWidth="1"/>
    <col min="15632" max="15632" width="13.28515625" style="108" customWidth="1"/>
    <col min="15633" max="15633" width="16.5703125" style="108" customWidth="1"/>
    <col min="15634" max="15634" width="13.7109375" style="108" customWidth="1"/>
    <col min="15635" max="15635" width="15.7109375" style="108" customWidth="1"/>
    <col min="15636" max="15636" width="12.5703125" style="108" customWidth="1"/>
    <col min="15637" max="15637" width="19.140625" style="108" customWidth="1"/>
    <col min="15638" max="15638" width="12.28515625" style="108" customWidth="1"/>
    <col min="15639" max="15639" width="17.140625" style="108" customWidth="1"/>
    <col min="15640" max="15640" width="12.5703125" style="108" customWidth="1"/>
    <col min="15641" max="15641" width="17.7109375" style="108" customWidth="1"/>
    <col min="15642" max="15642" width="12.140625" style="108" customWidth="1"/>
    <col min="15643" max="15643" width="30.5703125" style="108" customWidth="1"/>
    <col min="15644" max="15647" width="8.140625" style="108" customWidth="1"/>
    <col min="15648" max="15648" width="9.42578125" style="108" customWidth="1"/>
    <col min="15649" max="15649" width="8.140625" style="108" customWidth="1"/>
    <col min="15650" max="15654" width="7.85546875" style="108" customWidth="1"/>
    <col min="15655" max="15655" width="11.28515625" style="108" customWidth="1"/>
    <col min="15656" max="15656" width="2.28515625" style="108" customWidth="1"/>
    <col min="15657" max="15657" width="19.42578125" style="108"/>
    <col min="15658" max="15683" width="11.28515625" style="108" customWidth="1"/>
    <col min="15684" max="15695" width="8.85546875" style="108" customWidth="1"/>
    <col min="15696" max="15873" width="19.42578125" style="108"/>
    <col min="15874" max="15876" width="11" style="108" customWidth="1"/>
    <col min="15877" max="15877" width="16.140625" style="108" customWidth="1"/>
    <col min="15878" max="15878" width="12.42578125" style="108" customWidth="1"/>
    <col min="15879" max="15879" width="14.28515625" style="108" customWidth="1"/>
    <col min="15880" max="15880" width="12" style="108" customWidth="1"/>
    <col min="15881" max="15881" width="16.7109375" style="108" customWidth="1"/>
    <col min="15882" max="15882" width="12" style="108" customWidth="1"/>
    <col min="15883" max="15883" width="16.28515625" style="108" customWidth="1"/>
    <col min="15884" max="15884" width="12.28515625" style="108" customWidth="1"/>
    <col min="15885" max="15885" width="17.42578125" style="108" customWidth="1"/>
    <col min="15886" max="15886" width="12" style="108" customWidth="1"/>
    <col min="15887" max="15887" width="16.5703125" style="108" customWidth="1"/>
    <col min="15888" max="15888" width="13.28515625" style="108" customWidth="1"/>
    <col min="15889" max="15889" width="16.5703125" style="108" customWidth="1"/>
    <col min="15890" max="15890" width="13.7109375" style="108" customWidth="1"/>
    <col min="15891" max="15891" width="15.7109375" style="108" customWidth="1"/>
    <col min="15892" max="15892" width="12.5703125" style="108" customWidth="1"/>
    <col min="15893" max="15893" width="19.140625" style="108" customWidth="1"/>
    <col min="15894" max="15894" width="12.28515625" style="108" customWidth="1"/>
    <col min="15895" max="15895" width="17.140625" style="108" customWidth="1"/>
    <col min="15896" max="15896" width="12.5703125" style="108" customWidth="1"/>
    <col min="15897" max="15897" width="17.7109375" style="108" customWidth="1"/>
    <col min="15898" max="15898" width="12.140625" style="108" customWidth="1"/>
    <col min="15899" max="15899" width="30.5703125" style="108" customWidth="1"/>
    <col min="15900" max="15903" width="8.140625" style="108" customWidth="1"/>
    <col min="15904" max="15904" width="9.42578125" style="108" customWidth="1"/>
    <col min="15905" max="15905" width="8.140625" style="108" customWidth="1"/>
    <col min="15906" max="15910" width="7.85546875" style="108" customWidth="1"/>
    <col min="15911" max="15911" width="11.28515625" style="108" customWidth="1"/>
    <col min="15912" max="15912" width="2.28515625" style="108" customWidth="1"/>
    <col min="15913" max="15913" width="19.42578125" style="108"/>
    <col min="15914" max="15939" width="11.28515625" style="108" customWidth="1"/>
    <col min="15940" max="15951" width="8.85546875" style="108" customWidth="1"/>
    <col min="15952" max="16129" width="19.42578125" style="108"/>
    <col min="16130" max="16132" width="11" style="108" customWidth="1"/>
    <col min="16133" max="16133" width="16.140625" style="108" customWidth="1"/>
    <col min="16134" max="16134" width="12.42578125" style="108" customWidth="1"/>
    <col min="16135" max="16135" width="14.28515625" style="108" customWidth="1"/>
    <col min="16136" max="16136" width="12" style="108" customWidth="1"/>
    <col min="16137" max="16137" width="16.7109375" style="108" customWidth="1"/>
    <col min="16138" max="16138" width="12" style="108" customWidth="1"/>
    <col min="16139" max="16139" width="16.28515625" style="108" customWidth="1"/>
    <col min="16140" max="16140" width="12.28515625" style="108" customWidth="1"/>
    <col min="16141" max="16141" width="17.42578125" style="108" customWidth="1"/>
    <col min="16142" max="16142" width="12" style="108" customWidth="1"/>
    <col min="16143" max="16143" width="16.5703125" style="108" customWidth="1"/>
    <col min="16144" max="16144" width="13.28515625" style="108" customWidth="1"/>
    <col min="16145" max="16145" width="16.5703125" style="108" customWidth="1"/>
    <col min="16146" max="16146" width="13.7109375" style="108" customWidth="1"/>
    <col min="16147" max="16147" width="15.7109375" style="108" customWidth="1"/>
    <col min="16148" max="16148" width="12.5703125" style="108" customWidth="1"/>
    <col min="16149" max="16149" width="19.140625" style="108" customWidth="1"/>
    <col min="16150" max="16150" width="12.28515625" style="108" customWidth="1"/>
    <col min="16151" max="16151" width="17.140625" style="108" customWidth="1"/>
    <col min="16152" max="16152" width="12.5703125" style="108" customWidth="1"/>
    <col min="16153" max="16153" width="17.7109375" style="108" customWidth="1"/>
    <col min="16154" max="16154" width="12.140625" style="108" customWidth="1"/>
    <col min="16155" max="16155" width="30.5703125" style="108" customWidth="1"/>
    <col min="16156" max="16159" width="8.140625" style="108" customWidth="1"/>
    <col min="16160" max="16160" width="9.42578125" style="108" customWidth="1"/>
    <col min="16161" max="16161" width="8.140625" style="108" customWidth="1"/>
    <col min="16162" max="16166" width="7.85546875" style="108" customWidth="1"/>
    <col min="16167" max="16167" width="11.28515625" style="108" customWidth="1"/>
    <col min="16168" max="16168" width="2.28515625" style="108" customWidth="1"/>
    <col min="16169" max="16169" width="19.42578125" style="108"/>
    <col min="16170" max="16195" width="11.28515625" style="108" customWidth="1"/>
    <col min="16196" max="16207" width="8.85546875" style="108" customWidth="1"/>
    <col min="16208" max="16384" width="19.42578125" style="108"/>
  </cols>
  <sheetData>
    <row r="1" spans="1:84" ht="15.95" customHeight="1">
      <c r="A1" s="1066" t="s">
        <v>0</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c r="AK1" s="1066"/>
      <c r="AL1" s="1066"/>
      <c r="AM1" s="1066"/>
      <c r="AN1" s="1066"/>
      <c r="AO1" s="1066"/>
      <c r="AP1" s="1066"/>
      <c r="AQ1" s="1066"/>
      <c r="AR1" s="1066"/>
      <c r="AS1" s="1066"/>
      <c r="AT1" s="1066"/>
      <c r="AU1" s="1066"/>
      <c r="AV1" s="1066"/>
      <c r="AW1" s="1066"/>
      <c r="AX1" s="1066"/>
      <c r="AY1" s="1066"/>
      <c r="AZ1" s="1066"/>
      <c r="BA1" s="1066"/>
      <c r="BB1" s="1066"/>
      <c r="BC1" s="1066"/>
      <c r="BD1" s="1066"/>
      <c r="BE1" s="1066"/>
      <c r="BF1" s="1066"/>
      <c r="BG1" s="1066"/>
      <c r="BH1" s="1066"/>
      <c r="BI1" s="1066"/>
      <c r="BJ1" s="1066"/>
      <c r="BK1" s="1066"/>
      <c r="BL1" s="1066"/>
      <c r="BM1" s="1066"/>
      <c r="BN1" s="1066"/>
      <c r="BO1" s="1066"/>
      <c r="BP1" s="1066"/>
      <c r="BQ1" s="1066"/>
      <c r="BR1" s="1066"/>
      <c r="BS1" s="1066"/>
      <c r="BT1" s="1066"/>
      <c r="BU1" s="1066"/>
      <c r="BV1" s="1066"/>
      <c r="BW1" s="1066"/>
      <c r="BX1" s="1066"/>
      <c r="BY1" s="1067" t="s">
        <v>1</v>
      </c>
      <c r="BZ1" s="1067"/>
      <c r="CA1" s="1067"/>
    </row>
    <row r="2" spans="1:84" ht="15.95" customHeight="1">
      <c r="A2" s="1066" t="s">
        <v>2</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c r="BY2" s="1067" t="s">
        <v>3</v>
      </c>
      <c r="BZ2" s="1067"/>
      <c r="CA2" s="1067"/>
    </row>
    <row r="3" spans="1:84" ht="26.1" customHeight="1">
      <c r="A3" s="1066" t="s">
        <v>280</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66"/>
      <c r="AQ3" s="1066"/>
      <c r="AR3" s="1066"/>
      <c r="AS3" s="1066"/>
      <c r="AT3" s="1066"/>
      <c r="AU3" s="1066"/>
      <c r="AV3" s="1066"/>
      <c r="AW3" s="1066"/>
      <c r="AX3" s="1066"/>
      <c r="AY3" s="1066"/>
      <c r="AZ3" s="1066"/>
      <c r="BA3" s="1066"/>
      <c r="BB3" s="1066"/>
      <c r="BC3" s="1066"/>
      <c r="BD3" s="1066"/>
      <c r="BE3" s="1066"/>
      <c r="BF3" s="1066"/>
      <c r="BG3" s="1066"/>
      <c r="BH3" s="1066"/>
      <c r="BI3" s="1066"/>
      <c r="BJ3" s="1066"/>
      <c r="BK3" s="1066"/>
      <c r="BL3" s="1066"/>
      <c r="BM3" s="1066"/>
      <c r="BN3" s="1066"/>
      <c r="BO3" s="1066"/>
      <c r="BP3" s="1066"/>
      <c r="BQ3" s="1066"/>
      <c r="BR3" s="1066"/>
      <c r="BS3" s="1066"/>
      <c r="BT3" s="1066"/>
      <c r="BU3" s="1066"/>
      <c r="BV3" s="1066"/>
      <c r="BW3" s="1066"/>
      <c r="BX3" s="1066"/>
      <c r="BY3" s="1067" t="s">
        <v>5</v>
      </c>
      <c r="BZ3" s="1067"/>
      <c r="CA3" s="1067"/>
    </row>
    <row r="4" spans="1:84" ht="15.95" customHeight="1">
      <c r="A4" s="1066" t="s">
        <v>281</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8" t="s">
        <v>282</v>
      </c>
      <c r="BZ4" s="1069"/>
      <c r="CA4" s="1070"/>
    </row>
    <row r="5" spans="1:84" ht="26.1" customHeight="1">
      <c r="A5" s="1071" t="s">
        <v>160</v>
      </c>
      <c r="B5" s="1071"/>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O5" s="1071" t="s">
        <v>283</v>
      </c>
      <c r="AP5" s="1071"/>
      <c r="AQ5" s="1071"/>
      <c r="AR5" s="1071"/>
      <c r="AS5" s="1071"/>
      <c r="AT5" s="1071"/>
      <c r="AU5" s="1071"/>
      <c r="AV5" s="1071"/>
      <c r="AW5" s="1071"/>
      <c r="AX5" s="1071"/>
      <c r="AY5" s="1071"/>
      <c r="AZ5" s="1071"/>
      <c r="BA5" s="1071"/>
      <c r="BB5" s="1071"/>
      <c r="BC5" s="1071"/>
      <c r="BD5" s="1071"/>
      <c r="BE5" s="1071"/>
      <c r="BF5" s="1071"/>
      <c r="BG5" s="1071"/>
      <c r="BH5" s="1071"/>
      <c r="BI5" s="1071"/>
      <c r="BJ5" s="1071"/>
      <c r="BK5" s="1071"/>
      <c r="BL5" s="1071"/>
      <c r="BM5" s="1071"/>
      <c r="BN5" s="1071"/>
      <c r="BO5" s="1071"/>
      <c r="BP5" s="1071"/>
      <c r="BQ5" s="1071"/>
      <c r="BR5" s="1071"/>
      <c r="BS5" s="1071"/>
      <c r="BT5" s="1071"/>
      <c r="BU5" s="1071"/>
      <c r="BV5" s="1071"/>
      <c r="BW5" s="1071"/>
      <c r="BX5" s="1071"/>
      <c r="BY5" s="1072"/>
      <c r="BZ5" s="1072"/>
      <c r="CA5" s="1072"/>
    </row>
    <row r="6" spans="1:84" ht="28.5">
      <c r="A6" s="150" t="s">
        <v>284</v>
      </c>
      <c r="B6" s="1073" t="s">
        <v>686</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c r="AT6" s="1073"/>
      <c r="AU6" s="1073"/>
      <c r="AV6" s="1073"/>
      <c r="AW6" s="1073"/>
      <c r="AX6" s="1073"/>
      <c r="AY6" s="1073"/>
      <c r="AZ6" s="1073"/>
      <c r="BA6" s="1073"/>
      <c r="BB6" s="1073"/>
      <c r="BC6" s="1073"/>
      <c r="BD6" s="1073"/>
      <c r="BE6" s="1073"/>
      <c r="BF6" s="1073"/>
      <c r="BG6" s="1073"/>
      <c r="BH6" s="1073"/>
      <c r="BI6" s="1073"/>
      <c r="BJ6" s="1073"/>
      <c r="BK6" s="1073"/>
      <c r="BL6" s="1073"/>
      <c r="BM6" s="1073"/>
      <c r="BN6" s="1073"/>
      <c r="BO6" s="1073"/>
      <c r="BP6" s="1073"/>
      <c r="BQ6" s="1073"/>
      <c r="BR6" s="1073"/>
      <c r="BS6" s="1073"/>
      <c r="BT6" s="1073"/>
      <c r="BU6" s="1073"/>
      <c r="BV6" s="1073"/>
      <c r="BW6" s="1073"/>
      <c r="BX6" s="1073"/>
      <c r="BY6" s="1073"/>
      <c r="BZ6" s="1073"/>
      <c r="CA6" s="1073"/>
    </row>
    <row r="7" spans="1:84" ht="29.1" customHeight="1">
      <c r="A7" s="151" t="s">
        <v>286</v>
      </c>
      <c r="B7" s="1064" t="s">
        <v>24</v>
      </c>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783"/>
    </row>
    <row r="8" spans="1:84"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84" ht="30" customHeight="1">
      <c r="A9" s="1074" t="s">
        <v>287</v>
      </c>
      <c r="B9" s="1061" t="s">
        <v>30</v>
      </c>
      <c r="C9" s="1062"/>
      <c r="D9" s="1061" t="s">
        <v>31</v>
      </c>
      <c r="E9" s="1062"/>
      <c r="F9" s="1061" t="s">
        <v>8</v>
      </c>
      <c r="G9" s="1063"/>
      <c r="H9" s="1062"/>
      <c r="I9" s="1061" t="s">
        <v>32</v>
      </c>
      <c r="J9" s="1062"/>
      <c r="K9" s="1061" t="s">
        <v>33</v>
      </c>
      <c r="L9" s="1062"/>
      <c r="M9" s="1061" t="s">
        <v>34</v>
      </c>
      <c r="N9" s="1063"/>
      <c r="O9" s="1062"/>
      <c r="P9" s="1061" t="s">
        <v>35</v>
      </c>
      <c r="Q9" s="1062"/>
      <c r="R9" s="1061" t="s">
        <v>36</v>
      </c>
      <c r="S9" s="1062"/>
      <c r="T9" s="1061" t="s">
        <v>37</v>
      </c>
      <c r="U9" s="1063"/>
      <c r="V9" s="1062"/>
      <c r="W9" s="1061" t="s">
        <v>38</v>
      </c>
      <c r="X9" s="1062"/>
      <c r="Y9" s="1061" t="s">
        <v>39</v>
      </c>
      <c r="Z9" s="1062"/>
      <c r="AA9" s="1061" t="s">
        <v>40</v>
      </c>
      <c r="AB9" s="1063"/>
      <c r="AC9" s="1062"/>
      <c r="AD9" s="1061" t="s">
        <v>288</v>
      </c>
      <c r="AE9" s="1062"/>
      <c r="AF9" s="1061" t="s">
        <v>289</v>
      </c>
      <c r="AG9" s="1063"/>
      <c r="AH9" s="1063"/>
      <c r="AI9" s="1063"/>
      <c r="AJ9" s="1063"/>
      <c r="AK9" s="1062"/>
      <c r="AL9" s="1061" t="s">
        <v>290</v>
      </c>
      <c r="AM9" s="1063"/>
      <c r="AN9" s="1063"/>
      <c r="AO9" s="1063"/>
      <c r="AP9" s="1063"/>
      <c r="AQ9" s="1062"/>
      <c r="AS9" s="1074" t="s">
        <v>287</v>
      </c>
      <c r="AT9" s="1061" t="s">
        <v>30</v>
      </c>
      <c r="AU9" s="1062"/>
      <c r="AV9" s="1061" t="s">
        <v>31</v>
      </c>
      <c r="AW9" s="1062"/>
      <c r="AX9" s="1061" t="s">
        <v>8</v>
      </c>
      <c r="AY9" s="1063"/>
      <c r="AZ9" s="1062"/>
      <c r="BA9" s="1061" t="s">
        <v>32</v>
      </c>
      <c r="BB9" s="1062"/>
      <c r="BC9" s="1061" t="s">
        <v>33</v>
      </c>
      <c r="BD9" s="1062"/>
      <c r="BE9" s="1061" t="s">
        <v>34</v>
      </c>
      <c r="BF9" s="1062"/>
      <c r="BG9" s="1061" t="s">
        <v>35</v>
      </c>
      <c r="BH9" s="1062"/>
      <c r="BI9" s="1061" t="s">
        <v>36</v>
      </c>
      <c r="BJ9" s="1062"/>
      <c r="BK9" s="1061" t="s">
        <v>37</v>
      </c>
      <c r="BL9" s="1062"/>
      <c r="BM9" s="1061" t="s">
        <v>38</v>
      </c>
      <c r="BN9" s="1062"/>
      <c r="BO9" s="1061" t="s">
        <v>39</v>
      </c>
      <c r="BP9" s="1062"/>
      <c r="BQ9" s="1061" t="s">
        <v>40</v>
      </c>
      <c r="BR9" s="1062"/>
      <c r="BS9" s="1061" t="s">
        <v>288</v>
      </c>
      <c r="BT9" s="1062"/>
      <c r="BU9" s="1061" t="s">
        <v>289</v>
      </c>
      <c r="BV9" s="1063"/>
      <c r="BW9" s="1063"/>
      <c r="BX9" s="1063"/>
      <c r="BY9" s="1063"/>
      <c r="BZ9" s="1062"/>
      <c r="CA9" s="1061" t="s">
        <v>290</v>
      </c>
      <c r="CB9" s="1063"/>
      <c r="CC9" s="1063"/>
      <c r="CD9" s="1063"/>
      <c r="CE9" s="1063"/>
      <c r="CF9" s="1062"/>
    </row>
    <row r="10" spans="1:84" ht="36" customHeight="1">
      <c r="A10" s="1075"/>
      <c r="B10" s="593" t="s">
        <v>291</v>
      </c>
      <c r="C10" s="593" t="s">
        <v>292</v>
      </c>
      <c r="D10" s="593" t="s">
        <v>291</v>
      </c>
      <c r="E10" s="593" t="s">
        <v>292</v>
      </c>
      <c r="F10" s="593" t="s">
        <v>291</v>
      </c>
      <c r="G10" s="607" t="s">
        <v>1115</v>
      </c>
      <c r="H10" s="593" t="s">
        <v>292</v>
      </c>
      <c r="I10" s="593" t="s">
        <v>291</v>
      </c>
      <c r="J10" s="593" t="s">
        <v>292</v>
      </c>
      <c r="K10" s="593" t="s">
        <v>291</v>
      </c>
      <c r="L10" s="593" t="s">
        <v>292</v>
      </c>
      <c r="M10" s="593" t="s">
        <v>291</v>
      </c>
      <c r="N10" s="607" t="s">
        <v>1116</v>
      </c>
      <c r="O10" s="593" t="s">
        <v>292</v>
      </c>
      <c r="P10" s="593" t="s">
        <v>291</v>
      </c>
      <c r="Q10" s="593" t="s">
        <v>292</v>
      </c>
      <c r="R10" s="593" t="s">
        <v>291</v>
      </c>
      <c r="S10" s="593" t="s">
        <v>292</v>
      </c>
      <c r="T10" s="593" t="s">
        <v>291</v>
      </c>
      <c r="U10" s="607" t="s">
        <v>1117</v>
      </c>
      <c r="V10" s="593" t="s">
        <v>292</v>
      </c>
      <c r="W10" s="593" t="s">
        <v>291</v>
      </c>
      <c r="X10" s="593" t="s">
        <v>292</v>
      </c>
      <c r="Y10" s="593" t="s">
        <v>291</v>
      </c>
      <c r="Z10" s="593" t="s">
        <v>292</v>
      </c>
      <c r="AA10" s="593" t="s">
        <v>291</v>
      </c>
      <c r="AB10" s="607" t="s">
        <v>1117</v>
      </c>
      <c r="AC10" s="593" t="s">
        <v>292</v>
      </c>
      <c r="AD10" s="593" t="s">
        <v>291</v>
      </c>
      <c r="AE10" s="593" t="s">
        <v>292</v>
      </c>
      <c r="AF10" s="173" t="s">
        <v>293</v>
      </c>
      <c r="AG10" s="173" t="s">
        <v>294</v>
      </c>
      <c r="AH10" s="173" t="s">
        <v>295</v>
      </c>
      <c r="AI10" s="173" t="s">
        <v>296</v>
      </c>
      <c r="AJ10" s="174" t="s">
        <v>297</v>
      </c>
      <c r="AK10" s="173" t="s">
        <v>298</v>
      </c>
      <c r="AL10" s="593" t="s">
        <v>299</v>
      </c>
      <c r="AM10" s="143" t="s">
        <v>300</v>
      </c>
      <c r="AN10" s="593" t="s">
        <v>301</v>
      </c>
      <c r="AO10" s="593" t="s">
        <v>302</v>
      </c>
      <c r="AP10" s="593" t="s">
        <v>303</v>
      </c>
      <c r="AQ10" s="593" t="s">
        <v>304</v>
      </c>
      <c r="AS10" s="1075"/>
      <c r="AT10" s="593" t="s">
        <v>291</v>
      </c>
      <c r="AU10" s="593" t="s">
        <v>292</v>
      </c>
      <c r="AV10" s="593" t="s">
        <v>291</v>
      </c>
      <c r="AW10" s="593" t="s">
        <v>292</v>
      </c>
      <c r="AX10" s="593" t="s">
        <v>291</v>
      </c>
      <c r="AY10" s="607" t="s">
        <v>1115</v>
      </c>
      <c r="AZ10" s="593" t="s">
        <v>292</v>
      </c>
      <c r="BA10" s="593" t="s">
        <v>291</v>
      </c>
      <c r="BB10" s="593" t="s">
        <v>292</v>
      </c>
      <c r="BC10" s="593" t="s">
        <v>291</v>
      </c>
      <c r="BD10" s="593" t="s">
        <v>292</v>
      </c>
      <c r="BE10" s="593" t="s">
        <v>291</v>
      </c>
      <c r="BF10" s="593" t="s">
        <v>292</v>
      </c>
      <c r="BG10" s="593" t="s">
        <v>291</v>
      </c>
      <c r="BH10" s="593" t="s">
        <v>292</v>
      </c>
      <c r="BI10" s="593" t="s">
        <v>291</v>
      </c>
      <c r="BJ10" s="593" t="s">
        <v>292</v>
      </c>
      <c r="BK10" s="593" t="s">
        <v>291</v>
      </c>
      <c r="BL10" s="593" t="s">
        <v>292</v>
      </c>
      <c r="BM10" s="593" t="s">
        <v>291</v>
      </c>
      <c r="BN10" s="593" t="s">
        <v>292</v>
      </c>
      <c r="BO10" s="593" t="s">
        <v>291</v>
      </c>
      <c r="BP10" s="593" t="s">
        <v>292</v>
      </c>
      <c r="BQ10" s="593" t="s">
        <v>291</v>
      </c>
      <c r="BR10" s="593" t="s">
        <v>292</v>
      </c>
      <c r="BS10" s="593" t="s">
        <v>291</v>
      </c>
      <c r="BT10" s="593" t="s">
        <v>292</v>
      </c>
      <c r="BU10" s="173" t="s">
        <v>293</v>
      </c>
      <c r="BV10" s="173" t="s">
        <v>294</v>
      </c>
      <c r="BW10" s="173" t="s">
        <v>295</v>
      </c>
      <c r="BX10" s="173" t="s">
        <v>296</v>
      </c>
      <c r="BY10" s="174" t="s">
        <v>297</v>
      </c>
      <c r="BZ10" s="173" t="s">
        <v>298</v>
      </c>
      <c r="CA10" s="171" t="s">
        <v>299</v>
      </c>
      <c r="CB10" s="172" t="s">
        <v>300</v>
      </c>
      <c r="CC10" s="171" t="s">
        <v>301</v>
      </c>
      <c r="CD10" s="171" t="s">
        <v>302</v>
      </c>
      <c r="CE10" s="171" t="s">
        <v>303</v>
      </c>
      <c r="CF10" s="171" t="s">
        <v>304</v>
      </c>
    </row>
    <row r="11" spans="1:84">
      <c r="A11" s="144" t="s">
        <v>305</v>
      </c>
      <c r="B11" s="144">
        <v>0</v>
      </c>
      <c r="C11" s="608"/>
      <c r="D11" s="144">
        <v>0</v>
      </c>
      <c r="E11" s="608"/>
      <c r="F11" s="144">
        <v>0</v>
      </c>
      <c r="G11" s="609">
        <f>+B11+D11+F11</f>
        <v>0</v>
      </c>
      <c r="H11" s="610">
        <f>SUM('[2]Meta 1'!Q22:S22)-(SUM(H12:H31))</f>
        <v>984621720</v>
      </c>
      <c r="I11" s="144">
        <v>0</v>
      </c>
      <c r="J11" s="608"/>
      <c r="K11" s="144">
        <v>0</v>
      </c>
      <c r="L11" s="608"/>
      <c r="M11" s="144">
        <v>0</v>
      </c>
      <c r="N11" s="609">
        <f>+G11+I11+K11+M11</f>
        <v>0</v>
      </c>
      <c r="O11" s="610">
        <f>SUM('[2]Meta 1'!Q22:V22)-(SUM(O12:O31))</f>
        <v>916033015.15999961</v>
      </c>
      <c r="P11" s="144">
        <v>0</v>
      </c>
      <c r="Q11" s="608"/>
      <c r="R11" s="145">
        <v>0</v>
      </c>
      <c r="S11" s="608"/>
      <c r="T11" s="145">
        <v>0</v>
      </c>
      <c r="U11" s="609">
        <f>+N11+P11+R11+T11</f>
        <v>0</v>
      </c>
      <c r="V11" s="611">
        <f>SUM('[2]Meta 1'!Q22:Y22)-SUM(V12:V31)</f>
        <v>548999027.15999985</v>
      </c>
      <c r="W11" s="145">
        <v>0</v>
      </c>
      <c r="X11" s="608"/>
      <c r="Y11" s="145">
        <v>0</v>
      </c>
      <c r="Z11" s="608"/>
      <c r="AA11" s="145">
        <v>0</v>
      </c>
      <c r="AB11" s="609">
        <f>+U11+W11+Y11+AA11</f>
        <v>0</v>
      </c>
      <c r="AC11" s="397">
        <f>SUM('[2]Meta 1'!Q22:AB22)-SUM(AC12:AC31)</f>
        <v>91.159999370574951</v>
      </c>
      <c r="AD11" s="176">
        <f t="shared" ref="AD11:AD31" si="0">B11+D11+F11+I11+K11+M11+P11+R11+T11+W11+Y11+AA11</f>
        <v>0</v>
      </c>
      <c r="AE11" s="612">
        <f>+AC11</f>
        <v>91.159999370574951</v>
      </c>
      <c r="AF11" s="175"/>
      <c r="AG11" s="175"/>
      <c r="AH11" s="175"/>
      <c r="AI11" s="175"/>
      <c r="AJ11" s="175"/>
      <c r="AK11" s="147"/>
      <c r="AL11" s="147"/>
      <c r="AM11" s="147"/>
      <c r="AN11" s="147"/>
      <c r="AO11" s="147"/>
      <c r="AP11" s="147"/>
      <c r="AQ11" s="148"/>
      <c r="AS11" s="144" t="s">
        <v>305</v>
      </c>
      <c r="AT11" s="144">
        <v>0</v>
      </c>
      <c r="AU11" s="613"/>
      <c r="AV11" s="144">
        <v>0</v>
      </c>
      <c r="AW11" s="608"/>
      <c r="AX11" s="144">
        <v>0</v>
      </c>
      <c r="AY11" s="609">
        <f>+AT11+AV11+AX11</f>
        <v>0</v>
      </c>
      <c r="AZ11" s="529">
        <f>SUM('[2]Meta 1'!Q23:S23)-SUM(AZ12:AZ31)</f>
        <v>834168930.5999999</v>
      </c>
      <c r="BA11" s="144">
        <v>0</v>
      </c>
      <c r="BB11" s="613"/>
      <c r="BC11" s="144"/>
      <c r="BD11" s="144"/>
      <c r="BE11" s="144"/>
      <c r="BF11" s="144"/>
      <c r="BG11" s="144"/>
      <c r="BH11" s="145"/>
      <c r="BI11" s="145"/>
      <c r="BJ11" s="145"/>
      <c r="BK11" s="145"/>
      <c r="BL11" s="145"/>
      <c r="BM11" s="145"/>
      <c r="BN11" s="145"/>
      <c r="BO11" s="145"/>
      <c r="BP11" s="145"/>
      <c r="BQ11" s="145"/>
      <c r="BR11" s="145"/>
      <c r="BS11" s="176">
        <f t="shared" ref="BS11:BS31" si="1">AT11+AV11+AX11+BA11+BC11+BE11+BG11+BI11+BK11+BM11+BO11+BQ11</f>
        <v>0</v>
      </c>
      <c r="BT11" s="152">
        <f t="shared" ref="BT11:BT31" si="2">AU11+AW11+AZ11+BB11+BD11+BF11+BH11+BJ11+BL11+BN11+BP11+BR11</f>
        <v>834168930.5999999</v>
      </c>
      <c r="BU11" s="147"/>
      <c r="BV11" s="147"/>
      <c r="BW11" s="147"/>
      <c r="BX11" s="147"/>
      <c r="BY11" s="147"/>
      <c r="BZ11" s="147"/>
      <c r="CA11" s="147"/>
      <c r="CB11" s="147"/>
      <c r="CC11" s="147"/>
      <c r="CD11" s="147"/>
      <c r="CE11" s="147"/>
      <c r="CF11" s="148"/>
    </row>
    <row r="12" spans="1:84">
      <c r="A12" s="144" t="s">
        <v>306</v>
      </c>
      <c r="B12" s="144">
        <v>0</v>
      </c>
      <c r="C12" s="608"/>
      <c r="D12" s="144">
        <v>25</v>
      </c>
      <c r="E12" s="608"/>
      <c r="F12" s="144">
        <v>25</v>
      </c>
      <c r="G12" s="609">
        <f t="shared" ref="G12:G31" si="3">+B12+D12+F12</f>
        <v>50</v>
      </c>
      <c r="H12" s="398">
        <f>343124.4*(F12+D12+B12)</f>
        <v>17156220</v>
      </c>
      <c r="I12" s="144">
        <v>25</v>
      </c>
      <c r="J12" s="608"/>
      <c r="K12" s="144">
        <v>25</v>
      </c>
      <c r="L12" s="608"/>
      <c r="M12" s="144">
        <v>25</v>
      </c>
      <c r="N12" s="609">
        <f t="shared" ref="N12:N31" si="4">+G12+I12+K12+M12</f>
        <v>125</v>
      </c>
      <c r="O12" s="398">
        <f>343124.4*(B12+D12+F12+M12+K12+I12)</f>
        <v>42890550</v>
      </c>
      <c r="P12" s="144">
        <v>25</v>
      </c>
      <c r="Q12" s="608"/>
      <c r="R12" s="145">
        <v>25</v>
      </c>
      <c r="S12" s="608"/>
      <c r="T12" s="145">
        <v>25</v>
      </c>
      <c r="U12" s="609">
        <f t="shared" ref="U12:U31" si="5">+N12+P12+R12+T12</f>
        <v>200</v>
      </c>
      <c r="V12" s="398">
        <f>343124.4*(B12+D12+F12+I12+K12+M12+P12+R12+T12)</f>
        <v>68624880</v>
      </c>
      <c r="W12" s="145">
        <v>25</v>
      </c>
      <c r="X12" s="608"/>
      <c r="Y12" s="145">
        <v>25</v>
      </c>
      <c r="Z12" s="608"/>
      <c r="AA12" s="145">
        <v>10</v>
      </c>
      <c r="AB12" s="609">
        <f t="shared" ref="AB12:AB31" si="6">+U12+W12+Y12+AA12</f>
        <v>260</v>
      </c>
      <c r="AC12" s="398">
        <f>343124*(B12+D12+F12+I12+K12+M12+P12+R12+T12+W12+Y12+AA12)</f>
        <v>89212240</v>
      </c>
      <c r="AD12" s="176">
        <f t="shared" si="0"/>
        <v>260</v>
      </c>
      <c r="AE12" s="612">
        <f t="shared" ref="AE12:AE31" si="7">+AC12</f>
        <v>89212240</v>
      </c>
      <c r="AF12" s="175"/>
      <c r="AG12" s="175"/>
      <c r="AH12" s="175"/>
      <c r="AI12" s="175"/>
      <c r="AJ12" s="175"/>
      <c r="AK12" s="147"/>
      <c r="AL12" s="147"/>
      <c r="AM12" s="147"/>
      <c r="AN12" s="147"/>
      <c r="AO12" s="147"/>
      <c r="AP12" s="147"/>
      <c r="AQ12" s="147"/>
      <c r="AS12" s="144" t="s">
        <v>306</v>
      </c>
      <c r="AT12" s="144">
        <v>0</v>
      </c>
      <c r="AU12" s="613"/>
      <c r="AV12" s="144">
        <v>7</v>
      </c>
      <c r="AW12" s="608"/>
      <c r="AX12" s="144">
        <v>38</v>
      </c>
      <c r="AY12" s="609">
        <f t="shared" ref="AY12:AY31" si="8">+AT12+AV12+AX12</f>
        <v>45</v>
      </c>
      <c r="AZ12" s="529">
        <f>343124.4*(AV12+AX12)</f>
        <v>15440598.000000002</v>
      </c>
      <c r="BA12" s="144">
        <v>9</v>
      </c>
      <c r="BB12" s="613"/>
      <c r="BC12" s="144"/>
      <c r="BD12" s="144"/>
      <c r="BE12" s="144"/>
      <c r="BF12" s="144"/>
      <c r="BG12" s="144"/>
      <c r="BH12" s="145"/>
      <c r="BI12" s="145"/>
      <c r="BJ12" s="145"/>
      <c r="BK12" s="145"/>
      <c r="BL12" s="145"/>
      <c r="BM12" s="145"/>
      <c r="BN12" s="145"/>
      <c r="BO12" s="145"/>
      <c r="BP12" s="145"/>
      <c r="BQ12" s="145"/>
      <c r="BR12" s="145"/>
      <c r="BS12" s="176">
        <f t="shared" si="1"/>
        <v>54</v>
      </c>
      <c r="BT12" s="152">
        <f t="shared" si="2"/>
        <v>15440598.000000002</v>
      </c>
      <c r="BU12" s="147"/>
      <c r="BV12" s="147"/>
      <c r="BW12" s="147"/>
      <c r="BX12" s="147"/>
      <c r="BY12" s="147"/>
      <c r="BZ12" s="147"/>
      <c r="CA12" s="147"/>
      <c r="CB12" s="147"/>
      <c r="CC12" s="147"/>
      <c r="CD12" s="147"/>
      <c r="CE12" s="147"/>
      <c r="CF12" s="147"/>
    </row>
    <row r="13" spans="1:84">
      <c r="A13" s="144" t="s">
        <v>307</v>
      </c>
      <c r="B13" s="144">
        <v>0</v>
      </c>
      <c r="C13" s="608"/>
      <c r="D13" s="144">
        <v>20</v>
      </c>
      <c r="E13" s="608"/>
      <c r="F13" s="144">
        <v>20</v>
      </c>
      <c r="G13" s="609">
        <f t="shared" si="3"/>
        <v>40</v>
      </c>
      <c r="H13" s="398">
        <f t="shared" ref="H13:H31" si="9">343124.4*(F13+D13+B13)</f>
        <v>13724976</v>
      </c>
      <c r="I13" s="144">
        <v>20</v>
      </c>
      <c r="J13" s="608"/>
      <c r="K13" s="144">
        <v>20</v>
      </c>
      <c r="L13" s="608"/>
      <c r="M13" s="144">
        <v>20</v>
      </c>
      <c r="N13" s="609">
        <f t="shared" si="4"/>
        <v>100</v>
      </c>
      <c r="O13" s="398">
        <f t="shared" ref="O13:O31" si="10">343124.4*(B13+D13+F13+M13+K13+I13)</f>
        <v>34312440</v>
      </c>
      <c r="P13" s="144">
        <v>20</v>
      </c>
      <c r="Q13" s="608"/>
      <c r="R13" s="145">
        <v>20</v>
      </c>
      <c r="S13" s="608"/>
      <c r="T13" s="145">
        <v>20</v>
      </c>
      <c r="U13" s="609">
        <f t="shared" si="5"/>
        <v>160</v>
      </c>
      <c r="V13" s="398">
        <f t="shared" ref="V13:V31" si="11">343124.4*(B13+D13+F13+I13+K13+M13+P13+R13+T13)</f>
        <v>54899904</v>
      </c>
      <c r="W13" s="145">
        <v>20</v>
      </c>
      <c r="X13" s="608"/>
      <c r="Y13" s="145">
        <v>20</v>
      </c>
      <c r="Z13" s="608"/>
      <c r="AA13" s="145">
        <v>10</v>
      </c>
      <c r="AB13" s="609">
        <f t="shared" si="6"/>
        <v>210</v>
      </c>
      <c r="AC13" s="398">
        <f t="shared" ref="AC13:AC31" si="12">343124.4*(B13+D13+F13+I13+K13+M13+P13+R13+T13+W13+Y13+AA13)</f>
        <v>72056124</v>
      </c>
      <c r="AD13" s="176">
        <f t="shared" si="0"/>
        <v>210</v>
      </c>
      <c r="AE13" s="612">
        <f t="shared" si="7"/>
        <v>72056124</v>
      </c>
      <c r="AF13" s="175"/>
      <c r="AG13" s="175"/>
      <c r="AH13" s="175"/>
      <c r="AI13" s="175"/>
      <c r="AJ13" s="175"/>
      <c r="AK13" s="147"/>
      <c r="AL13" s="147"/>
      <c r="AM13" s="147"/>
      <c r="AN13" s="147"/>
      <c r="AO13" s="147"/>
      <c r="AP13" s="147"/>
      <c r="AQ13" s="147"/>
      <c r="AS13" s="144" t="s">
        <v>307</v>
      </c>
      <c r="AT13" s="144">
        <v>0</v>
      </c>
      <c r="AU13" s="613"/>
      <c r="AV13" s="144">
        <v>9</v>
      </c>
      <c r="AW13" s="608"/>
      <c r="AX13" s="144">
        <v>10</v>
      </c>
      <c r="AY13" s="609">
        <f t="shared" si="8"/>
        <v>19</v>
      </c>
      <c r="AZ13" s="529">
        <f t="shared" ref="AZ13:AZ31" si="13">343124.4*(AV13+AX13)</f>
        <v>6519363.6000000006</v>
      </c>
      <c r="BA13" s="144">
        <v>4</v>
      </c>
      <c r="BB13" s="613"/>
      <c r="BC13" s="144"/>
      <c r="BD13" s="144"/>
      <c r="BE13" s="144"/>
      <c r="BF13" s="144"/>
      <c r="BG13" s="144"/>
      <c r="BH13" s="145"/>
      <c r="BI13" s="145"/>
      <c r="BJ13" s="145"/>
      <c r="BK13" s="145"/>
      <c r="BL13" s="145"/>
      <c r="BM13" s="145"/>
      <c r="BN13" s="145"/>
      <c r="BO13" s="145"/>
      <c r="BP13" s="145"/>
      <c r="BQ13" s="145"/>
      <c r="BR13" s="145"/>
      <c r="BS13" s="176">
        <f t="shared" si="1"/>
        <v>23</v>
      </c>
      <c r="BT13" s="152">
        <f t="shared" si="2"/>
        <v>6519363.6000000006</v>
      </c>
      <c r="BU13" s="147"/>
      <c r="BV13" s="147"/>
      <c r="BW13" s="147"/>
      <c r="BX13" s="147"/>
      <c r="BY13" s="147"/>
      <c r="BZ13" s="147"/>
      <c r="CA13" s="147"/>
      <c r="CB13" s="147"/>
      <c r="CC13" s="147"/>
      <c r="CD13" s="147"/>
      <c r="CE13" s="147"/>
      <c r="CF13" s="147"/>
    </row>
    <row r="14" spans="1:84">
      <c r="A14" s="144" t="s">
        <v>308</v>
      </c>
      <c r="B14" s="144">
        <v>0</v>
      </c>
      <c r="C14" s="608"/>
      <c r="D14" s="144">
        <v>10</v>
      </c>
      <c r="E14" s="608"/>
      <c r="F14" s="144">
        <v>10</v>
      </c>
      <c r="G14" s="609">
        <f t="shared" si="3"/>
        <v>20</v>
      </c>
      <c r="H14" s="398">
        <f t="shared" si="9"/>
        <v>6862488</v>
      </c>
      <c r="I14" s="144">
        <v>10</v>
      </c>
      <c r="J14" s="608"/>
      <c r="K14" s="144">
        <v>10</v>
      </c>
      <c r="L14" s="608"/>
      <c r="M14" s="144">
        <v>10</v>
      </c>
      <c r="N14" s="609">
        <f t="shared" si="4"/>
        <v>50</v>
      </c>
      <c r="O14" s="398">
        <f t="shared" si="10"/>
        <v>17156220</v>
      </c>
      <c r="P14" s="144">
        <v>10</v>
      </c>
      <c r="Q14" s="608"/>
      <c r="R14" s="145">
        <v>10</v>
      </c>
      <c r="S14" s="608"/>
      <c r="T14" s="145">
        <v>10</v>
      </c>
      <c r="U14" s="609">
        <f t="shared" si="5"/>
        <v>80</v>
      </c>
      <c r="V14" s="398">
        <f t="shared" si="11"/>
        <v>27449952</v>
      </c>
      <c r="W14" s="145">
        <v>10</v>
      </c>
      <c r="X14" s="608"/>
      <c r="Y14" s="145">
        <v>10</v>
      </c>
      <c r="Z14" s="608"/>
      <c r="AA14" s="145">
        <v>10</v>
      </c>
      <c r="AB14" s="609">
        <f t="shared" si="6"/>
        <v>110</v>
      </c>
      <c r="AC14" s="398">
        <f t="shared" si="12"/>
        <v>37743684</v>
      </c>
      <c r="AD14" s="176">
        <f t="shared" si="0"/>
        <v>110</v>
      </c>
      <c r="AE14" s="612">
        <f t="shared" si="7"/>
        <v>37743684</v>
      </c>
      <c r="AF14" s="175"/>
      <c r="AG14" s="175"/>
      <c r="AH14" s="175"/>
      <c r="AI14" s="175"/>
      <c r="AJ14" s="175"/>
      <c r="AK14" s="147"/>
      <c r="AL14" s="147"/>
      <c r="AM14" s="147"/>
      <c r="AN14" s="147"/>
      <c r="AO14" s="147"/>
      <c r="AP14" s="147"/>
      <c r="AQ14" s="147"/>
      <c r="AS14" s="144" t="s">
        <v>308</v>
      </c>
      <c r="AT14" s="144">
        <v>0</v>
      </c>
      <c r="AU14" s="613"/>
      <c r="AV14" s="144">
        <v>7</v>
      </c>
      <c r="AW14" s="608"/>
      <c r="AX14" s="144">
        <v>20</v>
      </c>
      <c r="AY14" s="609">
        <f t="shared" si="8"/>
        <v>27</v>
      </c>
      <c r="AZ14" s="529">
        <f t="shared" si="13"/>
        <v>9264358.8000000007</v>
      </c>
      <c r="BA14" s="144">
        <v>4</v>
      </c>
      <c r="BB14" s="613"/>
      <c r="BC14" s="144"/>
      <c r="BD14" s="144"/>
      <c r="BE14" s="144"/>
      <c r="BF14" s="144"/>
      <c r="BG14" s="144"/>
      <c r="BH14" s="145"/>
      <c r="BI14" s="145"/>
      <c r="BJ14" s="145"/>
      <c r="BK14" s="145"/>
      <c r="BL14" s="145"/>
      <c r="BM14" s="145"/>
      <c r="BN14" s="145"/>
      <c r="BO14" s="145"/>
      <c r="BP14" s="145"/>
      <c r="BQ14" s="145"/>
      <c r="BR14" s="145"/>
      <c r="BS14" s="176">
        <f t="shared" si="1"/>
        <v>31</v>
      </c>
      <c r="BT14" s="152">
        <f t="shared" si="2"/>
        <v>9264358.8000000007</v>
      </c>
      <c r="BU14" s="147"/>
      <c r="BV14" s="147"/>
      <c r="BW14" s="147"/>
      <c r="BX14" s="147"/>
      <c r="BY14" s="147"/>
      <c r="BZ14" s="147"/>
      <c r="CA14" s="147"/>
      <c r="CB14" s="147"/>
      <c r="CC14" s="147"/>
      <c r="CD14" s="147"/>
      <c r="CE14" s="147"/>
      <c r="CF14" s="147"/>
    </row>
    <row r="15" spans="1:84">
      <c r="A15" s="144" t="s">
        <v>309</v>
      </c>
      <c r="B15" s="144">
        <v>0</v>
      </c>
      <c r="C15" s="608"/>
      <c r="D15" s="144">
        <v>40</v>
      </c>
      <c r="E15" s="608"/>
      <c r="F15" s="144">
        <v>60</v>
      </c>
      <c r="G15" s="609">
        <f t="shared" si="3"/>
        <v>100</v>
      </c>
      <c r="H15" s="398">
        <f t="shared" si="9"/>
        <v>34312440</v>
      </c>
      <c r="I15" s="144">
        <v>60</v>
      </c>
      <c r="J15" s="608"/>
      <c r="K15" s="144">
        <v>60</v>
      </c>
      <c r="L15" s="608"/>
      <c r="M15" s="144">
        <v>60</v>
      </c>
      <c r="N15" s="609">
        <f t="shared" si="4"/>
        <v>280</v>
      </c>
      <c r="O15" s="398">
        <f t="shared" si="10"/>
        <v>96074832</v>
      </c>
      <c r="P15" s="144">
        <v>60</v>
      </c>
      <c r="Q15" s="608"/>
      <c r="R15" s="145">
        <v>60</v>
      </c>
      <c r="S15" s="608"/>
      <c r="T15" s="145">
        <v>60</v>
      </c>
      <c r="U15" s="609">
        <f t="shared" si="5"/>
        <v>460</v>
      </c>
      <c r="V15" s="398">
        <f t="shared" si="11"/>
        <v>157837224</v>
      </c>
      <c r="W15" s="145">
        <v>60</v>
      </c>
      <c r="X15" s="608"/>
      <c r="Y15" s="145">
        <v>60</v>
      </c>
      <c r="Z15" s="608"/>
      <c r="AA15" s="145">
        <v>11</v>
      </c>
      <c r="AB15" s="609">
        <f t="shared" si="6"/>
        <v>591</v>
      </c>
      <c r="AC15" s="398">
        <f t="shared" si="12"/>
        <v>202786520.40000001</v>
      </c>
      <c r="AD15" s="176">
        <f t="shared" si="0"/>
        <v>591</v>
      </c>
      <c r="AE15" s="612">
        <f t="shared" si="7"/>
        <v>202786520.40000001</v>
      </c>
      <c r="AF15" s="175"/>
      <c r="AG15" s="175"/>
      <c r="AH15" s="175"/>
      <c r="AI15" s="175"/>
      <c r="AJ15" s="175"/>
      <c r="AK15" s="147"/>
      <c r="AL15" s="147"/>
      <c r="AM15" s="147"/>
      <c r="AN15" s="147"/>
      <c r="AO15" s="147"/>
      <c r="AP15" s="147"/>
      <c r="AQ15" s="147"/>
      <c r="AS15" s="144" t="s">
        <v>309</v>
      </c>
      <c r="AT15" s="144">
        <v>0</v>
      </c>
      <c r="AU15" s="613"/>
      <c r="AV15" s="144">
        <v>28</v>
      </c>
      <c r="AW15" s="608"/>
      <c r="AX15" s="144">
        <v>110</v>
      </c>
      <c r="AY15" s="609">
        <f t="shared" si="8"/>
        <v>138</v>
      </c>
      <c r="AZ15" s="529">
        <f t="shared" si="13"/>
        <v>47351167.200000003</v>
      </c>
      <c r="BA15" s="144">
        <v>17</v>
      </c>
      <c r="BB15" s="613"/>
      <c r="BC15" s="144"/>
      <c r="BD15" s="144"/>
      <c r="BE15" s="144"/>
      <c r="BF15" s="144"/>
      <c r="BG15" s="144"/>
      <c r="BH15" s="145"/>
      <c r="BI15" s="145"/>
      <c r="BJ15" s="145"/>
      <c r="BK15" s="145"/>
      <c r="BL15" s="145"/>
      <c r="BM15" s="145"/>
      <c r="BN15" s="145"/>
      <c r="BO15" s="145"/>
      <c r="BP15" s="145"/>
      <c r="BQ15" s="145"/>
      <c r="BR15" s="145"/>
      <c r="BS15" s="176">
        <f t="shared" si="1"/>
        <v>155</v>
      </c>
      <c r="BT15" s="152">
        <f t="shared" si="2"/>
        <v>47351167.200000003</v>
      </c>
      <c r="BU15" s="147"/>
      <c r="BV15" s="147"/>
      <c r="BW15" s="147"/>
      <c r="BX15" s="147"/>
      <c r="BY15" s="147"/>
      <c r="BZ15" s="147"/>
      <c r="CA15" s="147"/>
      <c r="CB15" s="147"/>
      <c r="CC15" s="147"/>
      <c r="CD15" s="147"/>
      <c r="CE15" s="147"/>
      <c r="CF15" s="147"/>
    </row>
    <row r="16" spans="1:84">
      <c r="A16" s="144" t="s">
        <v>310</v>
      </c>
      <c r="B16" s="144">
        <v>0</v>
      </c>
      <c r="C16" s="608"/>
      <c r="D16" s="144">
        <v>40</v>
      </c>
      <c r="E16" s="608"/>
      <c r="F16" s="144">
        <v>103</v>
      </c>
      <c r="G16" s="609">
        <f t="shared" si="3"/>
        <v>143</v>
      </c>
      <c r="H16" s="398">
        <f t="shared" si="9"/>
        <v>49066789.200000003</v>
      </c>
      <c r="I16" s="144">
        <v>103</v>
      </c>
      <c r="J16" s="608"/>
      <c r="K16" s="144">
        <v>103</v>
      </c>
      <c r="L16" s="608"/>
      <c r="M16" s="144">
        <v>103</v>
      </c>
      <c r="N16" s="609">
        <f t="shared" si="4"/>
        <v>452</v>
      </c>
      <c r="O16" s="398">
        <f t="shared" si="10"/>
        <v>155092228.80000001</v>
      </c>
      <c r="P16" s="144">
        <v>103</v>
      </c>
      <c r="Q16" s="608"/>
      <c r="R16" s="145">
        <v>103</v>
      </c>
      <c r="S16" s="608"/>
      <c r="T16" s="145">
        <v>103</v>
      </c>
      <c r="U16" s="609">
        <f t="shared" si="5"/>
        <v>761</v>
      </c>
      <c r="V16" s="398">
        <f t="shared" si="11"/>
        <v>261117668.40000001</v>
      </c>
      <c r="W16" s="145">
        <v>103</v>
      </c>
      <c r="X16" s="608"/>
      <c r="Y16" s="145">
        <v>103</v>
      </c>
      <c r="Z16" s="608"/>
      <c r="AA16" s="145">
        <v>11</v>
      </c>
      <c r="AB16" s="609">
        <f t="shared" si="6"/>
        <v>978</v>
      </c>
      <c r="AC16" s="398">
        <f t="shared" si="12"/>
        <v>335575663.20000005</v>
      </c>
      <c r="AD16" s="176">
        <f t="shared" si="0"/>
        <v>978</v>
      </c>
      <c r="AE16" s="612">
        <f t="shared" si="7"/>
        <v>335575663.20000005</v>
      </c>
      <c r="AF16" s="175"/>
      <c r="AG16" s="175"/>
      <c r="AH16" s="175"/>
      <c r="AI16" s="175"/>
      <c r="AJ16" s="175"/>
      <c r="AK16" s="147"/>
      <c r="AL16" s="147"/>
      <c r="AM16" s="147"/>
      <c r="AN16" s="147"/>
      <c r="AO16" s="147"/>
      <c r="AP16" s="147"/>
      <c r="AQ16" s="147"/>
      <c r="AS16" s="144" t="s">
        <v>310</v>
      </c>
      <c r="AT16" s="144">
        <v>0</v>
      </c>
      <c r="AU16" s="613"/>
      <c r="AV16" s="144">
        <v>57</v>
      </c>
      <c r="AW16" s="608"/>
      <c r="AX16" s="144">
        <v>77</v>
      </c>
      <c r="AY16" s="609">
        <f t="shared" si="8"/>
        <v>134</v>
      </c>
      <c r="AZ16" s="529">
        <f t="shared" si="13"/>
        <v>45978669.600000001</v>
      </c>
      <c r="BA16" s="144">
        <v>16</v>
      </c>
      <c r="BB16" s="613"/>
      <c r="BC16" s="144"/>
      <c r="BD16" s="144"/>
      <c r="BE16" s="144"/>
      <c r="BF16" s="144"/>
      <c r="BG16" s="144"/>
      <c r="BH16" s="145"/>
      <c r="BI16" s="145"/>
      <c r="BJ16" s="145"/>
      <c r="BK16" s="145"/>
      <c r="BL16" s="145"/>
      <c r="BM16" s="145"/>
      <c r="BN16" s="145"/>
      <c r="BO16" s="145"/>
      <c r="BP16" s="145"/>
      <c r="BQ16" s="145"/>
      <c r="BR16" s="145"/>
      <c r="BS16" s="176">
        <f t="shared" si="1"/>
        <v>150</v>
      </c>
      <c r="BT16" s="152">
        <f t="shared" si="2"/>
        <v>45978669.600000001</v>
      </c>
      <c r="BU16" s="147"/>
      <c r="BV16" s="147"/>
      <c r="BW16" s="147"/>
      <c r="BX16" s="147"/>
      <c r="BY16" s="147"/>
      <c r="BZ16" s="147"/>
      <c r="CA16" s="147"/>
      <c r="CB16" s="147"/>
      <c r="CC16" s="147"/>
      <c r="CD16" s="147"/>
      <c r="CE16" s="147"/>
      <c r="CF16" s="147"/>
    </row>
    <row r="17" spans="1:84">
      <c r="A17" s="144" t="s">
        <v>311</v>
      </c>
      <c r="B17" s="144">
        <v>0</v>
      </c>
      <c r="C17" s="608"/>
      <c r="D17" s="144">
        <v>25</v>
      </c>
      <c r="E17" s="608"/>
      <c r="F17" s="144">
        <v>25</v>
      </c>
      <c r="G17" s="609">
        <f t="shared" si="3"/>
        <v>50</v>
      </c>
      <c r="H17" s="398">
        <f t="shared" si="9"/>
        <v>17156220</v>
      </c>
      <c r="I17" s="144">
        <v>25</v>
      </c>
      <c r="J17" s="608"/>
      <c r="K17" s="144">
        <v>25</v>
      </c>
      <c r="L17" s="608"/>
      <c r="M17" s="144">
        <v>25</v>
      </c>
      <c r="N17" s="609">
        <f t="shared" si="4"/>
        <v>125</v>
      </c>
      <c r="O17" s="398">
        <f t="shared" si="10"/>
        <v>42890550</v>
      </c>
      <c r="P17" s="144">
        <v>25</v>
      </c>
      <c r="Q17" s="608"/>
      <c r="R17" s="145">
        <v>25</v>
      </c>
      <c r="S17" s="608"/>
      <c r="T17" s="145">
        <v>25</v>
      </c>
      <c r="U17" s="609">
        <f t="shared" si="5"/>
        <v>200</v>
      </c>
      <c r="V17" s="398">
        <f t="shared" si="11"/>
        <v>68624880</v>
      </c>
      <c r="W17" s="145">
        <v>25</v>
      </c>
      <c r="X17" s="608"/>
      <c r="Y17" s="145">
        <v>25</v>
      </c>
      <c r="Z17" s="608"/>
      <c r="AA17" s="145">
        <v>10</v>
      </c>
      <c r="AB17" s="609">
        <f t="shared" si="6"/>
        <v>260</v>
      </c>
      <c r="AC17" s="398">
        <f t="shared" si="12"/>
        <v>89212344</v>
      </c>
      <c r="AD17" s="176">
        <f t="shared" si="0"/>
        <v>260</v>
      </c>
      <c r="AE17" s="612">
        <f t="shared" si="7"/>
        <v>89212344</v>
      </c>
      <c r="AF17" s="175"/>
      <c r="AG17" s="175"/>
      <c r="AH17" s="175"/>
      <c r="AI17" s="175"/>
      <c r="AJ17" s="175"/>
      <c r="AK17" s="147"/>
      <c r="AL17" s="147"/>
      <c r="AM17" s="147"/>
      <c r="AN17" s="147"/>
      <c r="AO17" s="147"/>
      <c r="AP17" s="147"/>
      <c r="AQ17" s="147"/>
      <c r="AS17" s="144" t="s">
        <v>311</v>
      </c>
      <c r="AT17" s="144">
        <v>0</v>
      </c>
      <c r="AU17" s="613"/>
      <c r="AV17" s="144">
        <v>11</v>
      </c>
      <c r="AW17" s="608"/>
      <c r="AX17" s="144">
        <v>15</v>
      </c>
      <c r="AY17" s="609">
        <f t="shared" si="8"/>
        <v>26</v>
      </c>
      <c r="AZ17" s="529">
        <f t="shared" si="13"/>
        <v>8921234.4000000004</v>
      </c>
      <c r="BA17" s="144">
        <v>18</v>
      </c>
      <c r="BB17" s="613"/>
      <c r="BC17" s="144"/>
      <c r="BD17" s="144"/>
      <c r="BE17" s="144"/>
      <c r="BF17" s="144"/>
      <c r="BG17" s="144"/>
      <c r="BH17" s="145"/>
      <c r="BI17" s="145"/>
      <c r="BJ17" s="145"/>
      <c r="BK17" s="145"/>
      <c r="BL17" s="145"/>
      <c r="BM17" s="145"/>
      <c r="BN17" s="145"/>
      <c r="BO17" s="145"/>
      <c r="BP17" s="145"/>
      <c r="BQ17" s="145"/>
      <c r="BR17" s="145"/>
      <c r="BS17" s="176">
        <f t="shared" si="1"/>
        <v>44</v>
      </c>
      <c r="BT17" s="152">
        <f t="shared" si="2"/>
        <v>8921234.4000000004</v>
      </c>
      <c r="BU17" s="147"/>
      <c r="BV17" s="147"/>
      <c r="BW17" s="147"/>
      <c r="BX17" s="147"/>
      <c r="BY17" s="147"/>
      <c r="BZ17" s="147"/>
      <c r="CA17" s="147"/>
      <c r="CB17" s="147"/>
      <c r="CC17" s="147"/>
      <c r="CD17" s="147"/>
      <c r="CE17" s="147"/>
      <c r="CF17" s="147"/>
    </row>
    <row r="18" spans="1:84">
      <c r="A18" s="144" t="s">
        <v>312</v>
      </c>
      <c r="B18" s="144">
        <v>0</v>
      </c>
      <c r="C18" s="608"/>
      <c r="D18" s="144">
        <v>50</v>
      </c>
      <c r="E18" s="608"/>
      <c r="F18" s="144">
        <v>65</v>
      </c>
      <c r="G18" s="609">
        <f t="shared" si="3"/>
        <v>115</v>
      </c>
      <c r="H18" s="398">
        <f t="shared" si="9"/>
        <v>39459306</v>
      </c>
      <c r="I18" s="144">
        <v>65</v>
      </c>
      <c r="J18" s="608"/>
      <c r="K18" s="144">
        <v>65</v>
      </c>
      <c r="L18" s="608"/>
      <c r="M18" s="144">
        <v>65</v>
      </c>
      <c r="N18" s="609">
        <f t="shared" si="4"/>
        <v>310</v>
      </c>
      <c r="O18" s="398">
        <f t="shared" si="10"/>
        <v>106368564</v>
      </c>
      <c r="P18" s="144">
        <v>65</v>
      </c>
      <c r="Q18" s="608"/>
      <c r="R18" s="145">
        <v>65</v>
      </c>
      <c r="S18" s="608"/>
      <c r="T18" s="145">
        <v>65</v>
      </c>
      <c r="U18" s="609">
        <f t="shared" si="5"/>
        <v>505</v>
      </c>
      <c r="V18" s="398">
        <f t="shared" si="11"/>
        <v>173277822</v>
      </c>
      <c r="W18" s="145">
        <v>65</v>
      </c>
      <c r="X18" s="608"/>
      <c r="Y18" s="145">
        <v>65</v>
      </c>
      <c r="Z18" s="608"/>
      <c r="AA18" s="145">
        <v>11</v>
      </c>
      <c r="AB18" s="609">
        <f t="shared" si="6"/>
        <v>646</v>
      </c>
      <c r="AC18" s="398">
        <f t="shared" si="12"/>
        <v>221658362.40000001</v>
      </c>
      <c r="AD18" s="176">
        <f t="shared" si="0"/>
        <v>646</v>
      </c>
      <c r="AE18" s="612">
        <f t="shared" si="7"/>
        <v>221658362.40000001</v>
      </c>
      <c r="AF18" s="175"/>
      <c r="AG18" s="175"/>
      <c r="AH18" s="175"/>
      <c r="AI18" s="175"/>
      <c r="AJ18" s="175"/>
      <c r="AK18" s="147"/>
      <c r="AL18" s="147"/>
      <c r="AM18" s="147"/>
      <c r="AN18" s="147"/>
      <c r="AO18" s="147"/>
      <c r="AP18" s="147"/>
      <c r="AQ18" s="147"/>
      <c r="AS18" s="144" t="s">
        <v>312</v>
      </c>
      <c r="AT18" s="144">
        <v>0</v>
      </c>
      <c r="AU18" s="613"/>
      <c r="AV18" s="144">
        <v>111</v>
      </c>
      <c r="AW18" s="608"/>
      <c r="AX18" s="144">
        <v>118</v>
      </c>
      <c r="AY18" s="609">
        <f t="shared" si="8"/>
        <v>229</v>
      </c>
      <c r="AZ18" s="529">
        <f t="shared" si="13"/>
        <v>78575487.600000009</v>
      </c>
      <c r="BA18" s="144">
        <v>19</v>
      </c>
      <c r="BB18" s="613"/>
      <c r="BC18" s="144"/>
      <c r="BD18" s="144"/>
      <c r="BE18" s="144"/>
      <c r="BF18" s="144"/>
      <c r="BG18" s="144"/>
      <c r="BH18" s="145"/>
      <c r="BI18" s="145"/>
      <c r="BJ18" s="145"/>
      <c r="BK18" s="145"/>
      <c r="BL18" s="145"/>
      <c r="BM18" s="145"/>
      <c r="BN18" s="145"/>
      <c r="BO18" s="145"/>
      <c r="BP18" s="145"/>
      <c r="BQ18" s="145"/>
      <c r="BR18" s="145"/>
      <c r="BS18" s="176">
        <f t="shared" si="1"/>
        <v>248</v>
      </c>
      <c r="BT18" s="152">
        <f t="shared" si="2"/>
        <v>78575487.600000009</v>
      </c>
      <c r="BU18" s="147"/>
      <c r="BV18" s="147"/>
      <c r="BW18" s="147"/>
      <c r="BX18" s="147"/>
      <c r="BY18" s="147"/>
      <c r="BZ18" s="147"/>
      <c r="CA18" s="147"/>
      <c r="CB18" s="147"/>
      <c r="CC18" s="147"/>
      <c r="CD18" s="147"/>
      <c r="CE18" s="147"/>
      <c r="CF18" s="147"/>
    </row>
    <row r="19" spans="1:84">
      <c r="A19" s="144" t="s">
        <v>313</v>
      </c>
      <c r="B19" s="144">
        <v>0</v>
      </c>
      <c r="C19" s="608"/>
      <c r="D19" s="144">
        <v>50</v>
      </c>
      <c r="E19" s="608"/>
      <c r="F19" s="144">
        <v>70</v>
      </c>
      <c r="G19" s="609">
        <f t="shared" si="3"/>
        <v>120</v>
      </c>
      <c r="H19" s="398">
        <f t="shared" si="9"/>
        <v>41174928</v>
      </c>
      <c r="I19" s="144">
        <v>70</v>
      </c>
      <c r="J19" s="608"/>
      <c r="K19" s="144">
        <v>70</v>
      </c>
      <c r="L19" s="608"/>
      <c r="M19" s="144">
        <v>70</v>
      </c>
      <c r="N19" s="609">
        <f t="shared" si="4"/>
        <v>330</v>
      </c>
      <c r="O19" s="398">
        <f t="shared" si="10"/>
        <v>113231052.00000001</v>
      </c>
      <c r="P19" s="144">
        <v>70</v>
      </c>
      <c r="Q19" s="608"/>
      <c r="R19" s="145">
        <v>70</v>
      </c>
      <c r="S19" s="608"/>
      <c r="T19" s="145">
        <v>70</v>
      </c>
      <c r="U19" s="609">
        <f t="shared" si="5"/>
        <v>540</v>
      </c>
      <c r="V19" s="398">
        <f t="shared" si="11"/>
        <v>185287176</v>
      </c>
      <c r="W19" s="145">
        <v>70</v>
      </c>
      <c r="X19" s="608"/>
      <c r="Y19" s="145">
        <v>70</v>
      </c>
      <c r="Z19" s="608"/>
      <c r="AA19" s="145">
        <v>11</v>
      </c>
      <c r="AB19" s="609">
        <f t="shared" si="6"/>
        <v>691</v>
      </c>
      <c r="AC19" s="398">
        <f t="shared" si="12"/>
        <v>237098960.40000001</v>
      </c>
      <c r="AD19" s="176">
        <f t="shared" si="0"/>
        <v>691</v>
      </c>
      <c r="AE19" s="612">
        <f t="shared" si="7"/>
        <v>237098960.40000001</v>
      </c>
      <c r="AF19" s="175"/>
      <c r="AG19" s="175"/>
      <c r="AH19" s="175"/>
      <c r="AI19" s="175"/>
      <c r="AJ19" s="175"/>
      <c r="AK19" s="147"/>
      <c r="AL19" s="147"/>
      <c r="AM19" s="147"/>
      <c r="AN19" s="147"/>
      <c r="AO19" s="147"/>
      <c r="AP19" s="147"/>
      <c r="AQ19" s="147"/>
      <c r="AS19" s="144" t="s">
        <v>313</v>
      </c>
      <c r="AT19" s="144">
        <v>0</v>
      </c>
      <c r="AU19" s="613"/>
      <c r="AV19" s="144">
        <v>44</v>
      </c>
      <c r="AW19" s="608"/>
      <c r="AX19" s="144">
        <v>73</v>
      </c>
      <c r="AY19" s="609">
        <f t="shared" si="8"/>
        <v>117</v>
      </c>
      <c r="AZ19" s="529">
        <f t="shared" si="13"/>
        <v>40145554.800000004</v>
      </c>
      <c r="BA19" s="144">
        <v>144</v>
      </c>
      <c r="BB19" s="613"/>
      <c r="BC19" s="144"/>
      <c r="BD19" s="144"/>
      <c r="BE19" s="144"/>
      <c r="BF19" s="144"/>
      <c r="BG19" s="144"/>
      <c r="BH19" s="145"/>
      <c r="BI19" s="145"/>
      <c r="BJ19" s="145"/>
      <c r="BK19" s="145"/>
      <c r="BL19" s="145"/>
      <c r="BM19" s="145"/>
      <c r="BN19" s="145"/>
      <c r="BO19" s="145"/>
      <c r="BP19" s="145"/>
      <c r="BQ19" s="145"/>
      <c r="BR19" s="145"/>
      <c r="BS19" s="176">
        <f t="shared" si="1"/>
        <v>261</v>
      </c>
      <c r="BT19" s="152">
        <f t="shared" si="2"/>
        <v>40145554.800000004</v>
      </c>
      <c r="BU19" s="147"/>
      <c r="BV19" s="147"/>
      <c r="BW19" s="147"/>
      <c r="BX19" s="147"/>
      <c r="BY19" s="147"/>
      <c r="BZ19" s="147"/>
      <c r="CA19" s="147"/>
      <c r="CB19" s="147"/>
      <c r="CC19" s="147"/>
      <c r="CD19" s="147"/>
      <c r="CE19" s="147"/>
      <c r="CF19" s="147"/>
    </row>
    <row r="20" spans="1:84">
      <c r="A20" s="144" t="s">
        <v>314</v>
      </c>
      <c r="B20" s="144">
        <v>0</v>
      </c>
      <c r="C20" s="608"/>
      <c r="D20" s="144">
        <v>25</v>
      </c>
      <c r="E20" s="608"/>
      <c r="F20" s="144">
        <v>25</v>
      </c>
      <c r="G20" s="609">
        <f t="shared" si="3"/>
        <v>50</v>
      </c>
      <c r="H20" s="398">
        <f t="shared" si="9"/>
        <v>17156220</v>
      </c>
      <c r="I20" s="144">
        <v>25</v>
      </c>
      <c r="J20" s="608"/>
      <c r="K20" s="144">
        <v>25</v>
      </c>
      <c r="L20" s="608"/>
      <c r="M20" s="144">
        <v>25</v>
      </c>
      <c r="N20" s="609">
        <f t="shared" si="4"/>
        <v>125</v>
      </c>
      <c r="O20" s="398">
        <f t="shared" si="10"/>
        <v>42890550</v>
      </c>
      <c r="P20" s="144">
        <v>25</v>
      </c>
      <c r="Q20" s="608"/>
      <c r="R20" s="145">
        <v>25</v>
      </c>
      <c r="S20" s="608"/>
      <c r="T20" s="145">
        <v>25</v>
      </c>
      <c r="U20" s="609">
        <f t="shared" si="5"/>
        <v>200</v>
      </c>
      <c r="V20" s="398">
        <f t="shared" si="11"/>
        <v>68624880</v>
      </c>
      <c r="W20" s="145">
        <v>25</v>
      </c>
      <c r="X20" s="608"/>
      <c r="Y20" s="145">
        <v>25</v>
      </c>
      <c r="Z20" s="608"/>
      <c r="AA20" s="145">
        <v>10</v>
      </c>
      <c r="AB20" s="609">
        <f t="shared" si="6"/>
        <v>260</v>
      </c>
      <c r="AC20" s="398">
        <f t="shared" si="12"/>
        <v>89212344</v>
      </c>
      <c r="AD20" s="176">
        <f t="shared" si="0"/>
        <v>260</v>
      </c>
      <c r="AE20" s="612">
        <f t="shared" si="7"/>
        <v>89212344</v>
      </c>
      <c r="AF20" s="175"/>
      <c r="AG20" s="175"/>
      <c r="AH20" s="175"/>
      <c r="AI20" s="175"/>
      <c r="AJ20" s="175"/>
      <c r="AK20" s="147"/>
      <c r="AL20" s="147"/>
      <c r="AM20" s="147"/>
      <c r="AN20" s="147"/>
      <c r="AO20" s="147"/>
      <c r="AP20" s="147"/>
      <c r="AQ20" s="147"/>
      <c r="AS20" s="144" t="s">
        <v>314</v>
      </c>
      <c r="AT20" s="144">
        <v>0</v>
      </c>
      <c r="AU20" s="613"/>
      <c r="AV20" s="144">
        <v>11</v>
      </c>
      <c r="AW20" s="608"/>
      <c r="AX20" s="144">
        <v>65</v>
      </c>
      <c r="AY20" s="609">
        <f t="shared" si="8"/>
        <v>76</v>
      </c>
      <c r="AZ20" s="529">
        <f t="shared" si="13"/>
        <v>26077454.400000002</v>
      </c>
      <c r="BA20" s="144">
        <v>46</v>
      </c>
      <c r="BB20" s="613"/>
      <c r="BC20" s="144"/>
      <c r="BD20" s="144"/>
      <c r="BE20" s="144"/>
      <c r="BF20" s="144"/>
      <c r="BG20" s="144"/>
      <c r="BH20" s="145"/>
      <c r="BI20" s="145"/>
      <c r="BJ20" s="145"/>
      <c r="BK20" s="145"/>
      <c r="BL20" s="145"/>
      <c r="BM20" s="145"/>
      <c r="BN20" s="145"/>
      <c r="BO20" s="145"/>
      <c r="BP20" s="145"/>
      <c r="BQ20" s="145"/>
      <c r="BR20" s="145"/>
      <c r="BS20" s="176">
        <f t="shared" si="1"/>
        <v>122</v>
      </c>
      <c r="BT20" s="152">
        <f t="shared" si="2"/>
        <v>26077454.400000002</v>
      </c>
      <c r="BU20" s="147"/>
      <c r="BV20" s="147"/>
      <c r="BW20" s="147"/>
      <c r="BX20" s="147"/>
      <c r="BY20" s="147"/>
      <c r="BZ20" s="147"/>
      <c r="CA20" s="147"/>
      <c r="CB20" s="147"/>
      <c r="CC20" s="147"/>
      <c r="CD20" s="147"/>
      <c r="CE20" s="147"/>
      <c r="CF20" s="147"/>
    </row>
    <row r="21" spans="1:84">
      <c r="A21" s="144" t="s">
        <v>315</v>
      </c>
      <c r="B21" s="144">
        <v>0</v>
      </c>
      <c r="C21" s="608"/>
      <c r="D21" s="144">
        <v>50</v>
      </c>
      <c r="E21" s="608"/>
      <c r="F21" s="144">
        <v>60</v>
      </c>
      <c r="G21" s="609">
        <f t="shared" si="3"/>
        <v>110</v>
      </c>
      <c r="H21" s="398">
        <f t="shared" si="9"/>
        <v>37743684</v>
      </c>
      <c r="I21" s="144">
        <v>60</v>
      </c>
      <c r="J21" s="608"/>
      <c r="K21" s="144">
        <v>60</v>
      </c>
      <c r="L21" s="608"/>
      <c r="M21" s="144">
        <v>60</v>
      </c>
      <c r="N21" s="609">
        <f t="shared" si="4"/>
        <v>290</v>
      </c>
      <c r="O21" s="398">
        <f t="shared" si="10"/>
        <v>99506076</v>
      </c>
      <c r="P21" s="144">
        <v>60</v>
      </c>
      <c r="Q21" s="608"/>
      <c r="R21" s="145">
        <v>60</v>
      </c>
      <c r="S21" s="608"/>
      <c r="T21" s="145">
        <v>60</v>
      </c>
      <c r="U21" s="609">
        <f t="shared" si="5"/>
        <v>470</v>
      </c>
      <c r="V21" s="398">
        <f t="shared" si="11"/>
        <v>161268468</v>
      </c>
      <c r="W21" s="145">
        <v>60</v>
      </c>
      <c r="X21" s="608"/>
      <c r="Y21" s="145">
        <v>60</v>
      </c>
      <c r="Z21" s="608"/>
      <c r="AA21" s="145">
        <v>11</v>
      </c>
      <c r="AB21" s="609">
        <f t="shared" si="6"/>
        <v>601</v>
      </c>
      <c r="AC21" s="398">
        <f t="shared" si="12"/>
        <v>206217764.40000001</v>
      </c>
      <c r="AD21" s="176">
        <f t="shared" si="0"/>
        <v>601</v>
      </c>
      <c r="AE21" s="612">
        <f t="shared" si="7"/>
        <v>206217764.40000001</v>
      </c>
      <c r="AF21" s="175"/>
      <c r="AG21" s="175"/>
      <c r="AH21" s="175"/>
      <c r="AI21" s="175"/>
      <c r="AJ21" s="175"/>
      <c r="AK21" s="147"/>
      <c r="AL21" s="147"/>
      <c r="AM21" s="147"/>
      <c r="AN21" s="147"/>
      <c r="AO21" s="147"/>
      <c r="AP21" s="147"/>
      <c r="AQ21" s="147"/>
      <c r="AS21" s="144" t="s">
        <v>315</v>
      </c>
      <c r="AT21" s="144">
        <v>0</v>
      </c>
      <c r="AU21" s="613"/>
      <c r="AV21" s="144">
        <v>24</v>
      </c>
      <c r="AW21" s="608"/>
      <c r="AX21" s="144">
        <v>47</v>
      </c>
      <c r="AY21" s="609">
        <f t="shared" si="8"/>
        <v>71</v>
      </c>
      <c r="AZ21" s="529">
        <f t="shared" si="13"/>
        <v>24361832.400000002</v>
      </c>
      <c r="BA21" s="144">
        <v>82</v>
      </c>
      <c r="BB21" s="613"/>
      <c r="BC21" s="144"/>
      <c r="BD21" s="144"/>
      <c r="BE21" s="144"/>
      <c r="BF21" s="144"/>
      <c r="BG21" s="144"/>
      <c r="BH21" s="145"/>
      <c r="BI21" s="145"/>
      <c r="BJ21" s="145"/>
      <c r="BK21" s="145"/>
      <c r="BL21" s="145"/>
      <c r="BM21" s="145"/>
      <c r="BN21" s="145"/>
      <c r="BO21" s="145"/>
      <c r="BP21" s="145"/>
      <c r="BQ21" s="145"/>
      <c r="BR21" s="145"/>
      <c r="BS21" s="176">
        <f t="shared" si="1"/>
        <v>153</v>
      </c>
      <c r="BT21" s="152">
        <f t="shared" si="2"/>
        <v>24361832.400000002</v>
      </c>
      <c r="BU21" s="147"/>
      <c r="BV21" s="147"/>
      <c r="BW21" s="147"/>
      <c r="BX21" s="147"/>
      <c r="BY21" s="147"/>
      <c r="BZ21" s="147"/>
      <c r="CA21" s="147"/>
      <c r="CB21" s="147"/>
      <c r="CC21" s="147"/>
      <c r="CD21" s="147"/>
      <c r="CE21" s="147"/>
      <c r="CF21" s="147"/>
    </row>
    <row r="22" spans="1:84">
      <c r="A22" s="144" t="s">
        <v>316</v>
      </c>
      <c r="B22" s="144">
        <v>0</v>
      </c>
      <c r="C22" s="608"/>
      <c r="D22" s="144">
        <v>50</v>
      </c>
      <c r="E22" s="608"/>
      <c r="F22" s="144">
        <v>70</v>
      </c>
      <c r="G22" s="609">
        <f t="shared" si="3"/>
        <v>120</v>
      </c>
      <c r="H22" s="398">
        <f t="shared" si="9"/>
        <v>41174928</v>
      </c>
      <c r="I22" s="144">
        <v>70</v>
      </c>
      <c r="J22" s="608"/>
      <c r="K22" s="144">
        <v>70</v>
      </c>
      <c r="L22" s="608"/>
      <c r="M22" s="144">
        <v>70</v>
      </c>
      <c r="N22" s="609">
        <f t="shared" si="4"/>
        <v>330</v>
      </c>
      <c r="O22" s="398">
        <f t="shared" si="10"/>
        <v>113231052.00000001</v>
      </c>
      <c r="P22" s="144">
        <v>70</v>
      </c>
      <c r="Q22" s="608"/>
      <c r="R22" s="145">
        <v>70</v>
      </c>
      <c r="S22" s="608"/>
      <c r="T22" s="145">
        <v>70</v>
      </c>
      <c r="U22" s="609">
        <f t="shared" si="5"/>
        <v>540</v>
      </c>
      <c r="V22" s="398">
        <f t="shared" si="11"/>
        <v>185287176</v>
      </c>
      <c r="W22" s="145">
        <v>70</v>
      </c>
      <c r="X22" s="608"/>
      <c r="Y22" s="145">
        <v>70</v>
      </c>
      <c r="Z22" s="608"/>
      <c r="AA22" s="145">
        <v>11</v>
      </c>
      <c r="AB22" s="609">
        <f t="shared" si="6"/>
        <v>691</v>
      </c>
      <c r="AC22" s="398">
        <f t="shared" si="12"/>
        <v>237098960.40000001</v>
      </c>
      <c r="AD22" s="176">
        <f t="shared" si="0"/>
        <v>691</v>
      </c>
      <c r="AE22" s="612">
        <f t="shared" si="7"/>
        <v>237098960.40000001</v>
      </c>
      <c r="AF22" s="175"/>
      <c r="AG22" s="175"/>
      <c r="AH22" s="175"/>
      <c r="AI22" s="175"/>
      <c r="AJ22" s="175"/>
      <c r="AK22" s="147"/>
      <c r="AL22" s="147"/>
      <c r="AM22" s="147"/>
      <c r="AN22" s="147"/>
      <c r="AO22" s="147"/>
      <c r="AP22" s="147"/>
      <c r="AQ22" s="147"/>
      <c r="AS22" s="144" t="s">
        <v>316</v>
      </c>
      <c r="AT22" s="144">
        <v>0</v>
      </c>
      <c r="AU22" s="613"/>
      <c r="AV22" s="144">
        <v>94</v>
      </c>
      <c r="AW22" s="608"/>
      <c r="AX22" s="144">
        <v>103</v>
      </c>
      <c r="AY22" s="609">
        <f t="shared" si="8"/>
        <v>197</v>
      </c>
      <c r="AZ22" s="529">
        <f t="shared" si="13"/>
        <v>67595506.800000012</v>
      </c>
      <c r="BA22" s="144">
        <v>158</v>
      </c>
      <c r="BB22" s="613"/>
      <c r="BC22" s="144"/>
      <c r="BD22" s="144"/>
      <c r="BE22" s="144"/>
      <c r="BF22" s="144"/>
      <c r="BG22" s="144"/>
      <c r="BH22" s="145"/>
      <c r="BI22" s="145"/>
      <c r="BJ22" s="145"/>
      <c r="BK22" s="145"/>
      <c r="BL22" s="145"/>
      <c r="BM22" s="145"/>
      <c r="BN22" s="145"/>
      <c r="BO22" s="145"/>
      <c r="BP22" s="145"/>
      <c r="BQ22" s="145"/>
      <c r="BR22" s="145"/>
      <c r="BS22" s="176">
        <f t="shared" si="1"/>
        <v>355</v>
      </c>
      <c r="BT22" s="152">
        <f t="shared" si="2"/>
        <v>67595506.800000012</v>
      </c>
      <c r="BU22" s="147"/>
      <c r="BV22" s="147"/>
      <c r="BW22" s="147"/>
      <c r="BX22" s="147"/>
      <c r="BY22" s="147"/>
      <c r="BZ22" s="147"/>
      <c r="CA22" s="147"/>
      <c r="CB22" s="147"/>
      <c r="CC22" s="147"/>
      <c r="CD22" s="147"/>
      <c r="CE22" s="147"/>
      <c r="CF22" s="147"/>
    </row>
    <row r="23" spans="1:84">
      <c r="A23" s="144" t="s">
        <v>317</v>
      </c>
      <c r="B23" s="144">
        <v>0</v>
      </c>
      <c r="C23" s="608"/>
      <c r="D23" s="144">
        <v>10</v>
      </c>
      <c r="E23" s="608"/>
      <c r="F23" s="144">
        <v>10</v>
      </c>
      <c r="G23" s="609">
        <f t="shared" si="3"/>
        <v>20</v>
      </c>
      <c r="H23" s="398">
        <f t="shared" si="9"/>
        <v>6862488</v>
      </c>
      <c r="I23" s="144">
        <v>10</v>
      </c>
      <c r="J23" s="608"/>
      <c r="K23" s="144">
        <v>10</v>
      </c>
      <c r="L23" s="608"/>
      <c r="M23" s="144">
        <v>10</v>
      </c>
      <c r="N23" s="609">
        <f t="shared" si="4"/>
        <v>50</v>
      </c>
      <c r="O23" s="398">
        <f t="shared" si="10"/>
        <v>17156220</v>
      </c>
      <c r="P23" s="144">
        <v>10</v>
      </c>
      <c r="Q23" s="608"/>
      <c r="R23" s="145">
        <v>10</v>
      </c>
      <c r="S23" s="608"/>
      <c r="T23" s="145">
        <v>10</v>
      </c>
      <c r="U23" s="609">
        <f t="shared" si="5"/>
        <v>80</v>
      </c>
      <c r="V23" s="398">
        <f t="shared" si="11"/>
        <v>27449952</v>
      </c>
      <c r="W23" s="145">
        <v>10</v>
      </c>
      <c r="X23" s="608"/>
      <c r="Y23" s="145">
        <v>10</v>
      </c>
      <c r="Z23" s="608"/>
      <c r="AA23" s="145">
        <v>10</v>
      </c>
      <c r="AB23" s="609">
        <f t="shared" si="6"/>
        <v>110</v>
      </c>
      <c r="AC23" s="398">
        <f t="shared" si="12"/>
        <v>37743684</v>
      </c>
      <c r="AD23" s="176">
        <f t="shared" si="0"/>
        <v>110</v>
      </c>
      <c r="AE23" s="612">
        <f t="shared" si="7"/>
        <v>37743684</v>
      </c>
      <c r="AF23" s="175"/>
      <c r="AG23" s="175"/>
      <c r="AH23" s="175"/>
      <c r="AI23" s="175"/>
      <c r="AJ23" s="175"/>
      <c r="AK23" s="147"/>
      <c r="AL23" s="147"/>
      <c r="AM23" s="147"/>
      <c r="AN23" s="147"/>
      <c r="AO23" s="147"/>
      <c r="AP23" s="147"/>
      <c r="AQ23" s="147"/>
      <c r="AS23" s="144" t="s">
        <v>317</v>
      </c>
      <c r="AT23" s="144">
        <v>0</v>
      </c>
      <c r="AU23" s="613"/>
      <c r="AV23" s="144">
        <v>8</v>
      </c>
      <c r="AW23" s="608"/>
      <c r="AX23" s="144">
        <v>16</v>
      </c>
      <c r="AY23" s="609">
        <f t="shared" si="8"/>
        <v>24</v>
      </c>
      <c r="AZ23" s="529">
        <f t="shared" si="13"/>
        <v>8234985.6000000006</v>
      </c>
      <c r="BA23" s="144">
        <v>4</v>
      </c>
      <c r="BB23" s="613"/>
      <c r="BC23" s="144"/>
      <c r="BD23" s="144"/>
      <c r="BE23" s="144"/>
      <c r="BF23" s="144"/>
      <c r="BG23" s="144"/>
      <c r="BH23" s="145"/>
      <c r="BI23" s="145"/>
      <c r="BJ23" s="145"/>
      <c r="BK23" s="145"/>
      <c r="BL23" s="145"/>
      <c r="BM23" s="145"/>
      <c r="BN23" s="145"/>
      <c r="BO23" s="145"/>
      <c r="BP23" s="145"/>
      <c r="BQ23" s="145"/>
      <c r="BR23" s="145"/>
      <c r="BS23" s="176">
        <f t="shared" si="1"/>
        <v>28</v>
      </c>
      <c r="BT23" s="152">
        <f t="shared" si="2"/>
        <v>8234985.6000000006</v>
      </c>
      <c r="BU23" s="147"/>
      <c r="BV23" s="147"/>
      <c r="BW23" s="147"/>
      <c r="BX23" s="147"/>
      <c r="BY23" s="147"/>
      <c r="BZ23" s="147"/>
      <c r="CA23" s="147"/>
      <c r="CB23" s="147"/>
      <c r="CC23" s="147"/>
      <c r="CD23" s="147"/>
      <c r="CE23" s="147"/>
      <c r="CF23" s="147"/>
    </row>
    <row r="24" spans="1:84">
      <c r="A24" s="144" t="s">
        <v>318</v>
      </c>
      <c r="B24" s="144">
        <v>0</v>
      </c>
      <c r="C24" s="608"/>
      <c r="D24" s="144">
        <v>10</v>
      </c>
      <c r="E24" s="608"/>
      <c r="F24" s="144">
        <v>10</v>
      </c>
      <c r="G24" s="609">
        <f t="shared" si="3"/>
        <v>20</v>
      </c>
      <c r="H24" s="398">
        <f t="shared" si="9"/>
        <v>6862488</v>
      </c>
      <c r="I24" s="144">
        <v>10</v>
      </c>
      <c r="J24" s="608"/>
      <c r="K24" s="144">
        <v>10</v>
      </c>
      <c r="L24" s="608"/>
      <c r="M24" s="144">
        <v>10</v>
      </c>
      <c r="N24" s="609">
        <f t="shared" si="4"/>
        <v>50</v>
      </c>
      <c r="O24" s="398">
        <f t="shared" si="10"/>
        <v>17156220</v>
      </c>
      <c r="P24" s="144">
        <v>10</v>
      </c>
      <c r="Q24" s="608"/>
      <c r="R24" s="145">
        <v>10</v>
      </c>
      <c r="S24" s="608"/>
      <c r="T24" s="145">
        <v>10</v>
      </c>
      <c r="U24" s="609">
        <f t="shared" si="5"/>
        <v>80</v>
      </c>
      <c r="V24" s="398">
        <f t="shared" si="11"/>
        <v>27449952</v>
      </c>
      <c r="W24" s="145">
        <v>10</v>
      </c>
      <c r="X24" s="608"/>
      <c r="Y24" s="145">
        <v>10</v>
      </c>
      <c r="Z24" s="608"/>
      <c r="AA24" s="145">
        <v>10</v>
      </c>
      <c r="AB24" s="609">
        <f t="shared" si="6"/>
        <v>110</v>
      </c>
      <c r="AC24" s="398">
        <f t="shared" si="12"/>
        <v>37743684</v>
      </c>
      <c r="AD24" s="176">
        <f t="shared" si="0"/>
        <v>110</v>
      </c>
      <c r="AE24" s="612">
        <f t="shared" si="7"/>
        <v>37743684</v>
      </c>
      <c r="AF24" s="175"/>
      <c r="AG24" s="175"/>
      <c r="AH24" s="175"/>
      <c r="AI24" s="175"/>
      <c r="AJ24" s="175"/>
      <c r="AK24" s="147"/>
      <c r="AL24" s="147"/>
      <c r="AM24" s="147"/>
      <c r="AN24" s="147"/>
      <c r="AO24" s="147"/>
      <c r="AP24" s="147"/>
      <c r="AQ24" s="147"/>
      <c r="AS24" s="144" t="s">
        <v>318</v>
      </c>
      <c r="AT24" s="144">
        <v>0</v>
      </c>
      <c r="AU24" s="613"/>
      <c r="AV24" s="144">
        <v>15</v>
      </c>
      <c r="AW24" s="608"/>
      <c r="AX24" s="144">
        <v>10</v>
      </c>
      <c r="AY24" s="609">
        <f t="shared" si="8"/>
        <v>25</v>
      </c>
      <c r="AZ24" s="529">
        <f t="shared" si="13"/>
        <v>8578110</v>
      </c>
      <c r="BA24" s="144">
        <v>7</v>
      </c>
      <c r="BB24" s="613"/>
      <c r="BC24" s="144"/>
      <c r="BD24" s="144"/>
      <c r="BE24" s="144"/>
      <c r="BF24" s="144"/>
      <c r="BG24" s="144"/>
      <c r="BH24" s="145"/>
      <c r="BI24" s="145"/>
      <c r="BJ24" s="145"/>
      <c r="BK24" s="145"/>
      <c r="BL24" s="145"/>
      <c r="BM24" s="145"/>
      <c r="BN24" s="145"/>
      <c r="BO24" s="145"/>
      <c r="BP24" s="145"/>
      <c r="BQ24" s="145"/>
      <c r="BR24" s="145"/>
      <c r="BS24" s="176">
        <f t="shared" si="1"/>
        <v>32</v>
      </c>
      <c r="BT24" s="152">
        <f t="shared" si="2"/>
        <v>8578110</v>
      </c>
      <c r="BU24" s="147"/>
      <c r="BV24" s="147"/>
      <c r="BW24" s="147"/>
      <c r="BX24" s="147"/>
      <c r="BY24" s="147"/>
      <c r="BZ24" s="147"/>
      <c r="CA24" s="147"/>
      <c r="CB24" s="147"/>
      <c r="CC24" s="147"/>
      <c r="CD24" s="147"/>
      <c r="CE24" s="147"/>
      <c r="CF24" s="147"/>
    </row>
    <row r="25" spans="1:84">
      <c r="A25" s="144" t="s">
        <v>319</v>
      </c>
      <c r="B25" s="144">
        <v>0</v>
      </c>
      <c r="C25" s="608"/>
      <c r="D25" s="144">
        <v>10</v>
      </c>
      <c r="E25" s="608"/>
      <c r="F25" s="144">
        <v>10</v>
      </c>
      <c r="G25" s="609">
        <f t="shared" si="3"/>
        <v>20</v>
      </c>
      <c r="H25" s="398">
        <f t="shared" si="9"/>
        <v>6862488</v>
      </c>
      <c r="I25" s="144">
        <v>10</v>
      </c>
      <c r="J25" s="608"/>
      <c r="K25" s="144">
        <v>10</v>
      </c>
      <c r="L25" s="608"/>
      <c r="M25" s="144">
        <v>10</v>
      </c>
      <c r="N25" s="609">
        <f t="shared" si="4"/>
        <v>50</v>
      </c>
      <c r="O25" s="398">
        <f t="shared" si="10"/>
        <v>17156220</v>
      </c>
      <c r="P25" s="144">
        <v>10</v>
      </c>
      <c r="Q25" s="608"/>
      <c r="R25" s="145">
        <v>10</v>
      </c>
      <c r="S25" s="608"/>
      <c r="T25" s="145">
        <v>10</v>
      </c>
      <c r="U25" s="609">
        <f t="shared" si="5"/>
        <v>80</v>
      </c>
      <c r="V25" s="398">
        <f t="shared" si="11"/>
        <v>27449952</v>
      </c>
      <c r="W25" s="145">
        <v>10</v>
      </c>
      <c r="X25" s="608"/>
      <c r="Y25" s="145">
        <v>10</v>
      </c>
      <c r="Z25" s="608"/>
      <c r="AA25" s="145">
        <v>10</v>
      </c>
      <c r="AB25" s="609">
        <f t="shared" si="6"/>
        <v>110</v>
      </c>
      <c r="AC25" s="398">
        <f t="shared" si="12"/>
        <v>37743684</v>
      </c>
      <c r="AD25" s="176">
        <f t="shared" si="0"/>
        <v>110</v>
      </c>
      <c r="AE25" s="612">
        <f t="shared" si="7"/>
        <v>37743684</v>
      </c>
      <c r="AF25" s="175"/>
      <c r="AG25" s="175"/>
      <c r="AH25" s="175"/>
      <c r="AI25" s="175"/>
      <c r="AJ25" s="175"/>
      <c r="AK25" s="147"/>
      <c r="AL25" s="147"/>
      <c r="AM25" s="147"/>
      <c r="AN25" s="147"/>
      <c r="AO25" s="147"/>
      <c r="AP25" s="147"/>
      <c r="AQ25" s="147"/>
      <c r="AS25" s="144" t="s">
        <v>319</v>
      </c>
      <c r="AT25" s="144">
        <v>0</v>
      </c>
      <c r="AU25" s="613"/>
      <c r="AV25" s="144">
        <v>9</v>
      </c>
      <c r="AW25" s="608"/>
      <c r="AX25" s="144">
        <v>6</v>
      </c>
      <c r="AY25" s="609">
        <f t="shared" si="8"/>
        <v>15</v>
      </c>
      <c r="AZ25" s="529">
        <f t="shared" si="13"/>
        <v>5146866</v>
      </c>
      <c r="BA25" s="144">
        <v>16</v>
      </c>
      <c r="BB25" s="613"/>
      <c r="BC25" s="144"/>
      <c r="BD25" s="144"/>
      <c r="BE25" s="144"/>
      <c r="BF25" s="144"/>
      <c r="BG25" s="144"/>
      <c r="BH25" s="145"/>
      <c r="BI25" s="145"/>
      <c r="BJ25" s="145"/>
      <c r="BK25" s="145"/>
      <c r="BL25" s="145"/>
      <c r="BM25" s="145"/>
      <c r="BN25" s="145"/>
      <c r="BO25" s="145"/>
      <c r="BP25" s="145"/>
      <c r="BQ25" s="145"/>
      <c r="BR25" s="145"/>
      <c r="BS25" s="176">
        <f t="shared" si="1"/>
        <v>31</v>
      </c>
      <c r="BT25" s="152">
        <f t="shared" si="2"/>
        <v>5146866</v>
      </c>
      <c r="BU25" s="147"/>
      <c r="BV25" s="147"/>
      <c r="BW25" s="147"/>
      <c r="BX25" s="147"/>
      <c r="BY25" s="147"/>
      <c r="BZ25" s="147"/>
      <c r="CA25" s="147"/>
      <c r="CB25" s="147"/>
      <c r="CC25" s="147"/>
      <c r="CD25" s="147"/>
      <c r="CE25" s="147"/>
      <c r="CF25" s="147"/>
    </row>
    <row r="26" spans="1:84">
      <c r="A26" s="144" t="s">
        <v>320</v>
      </c>
      <c r="B26" s="144">
        <v>0</v>
      </c>
      <c r="C26" s="608"/>
      <c r="D26" s="144">
        <v>5</v>
      </c>
      <c r="E26" s="608"/>
      <c r="F26" s="144">
        <v>5</v>
      </c>
      <c r="G26" s="609">
        <f t="shared" si="3"/>
        <v>10</v>
      </c>
      <c r="H26" s="398">
        <f t="shared" si="9"/>
        <v>3431244</v>
      </c>
      <c r="I26" s="144">
        <v>5</v>
      </c>
      <c r="J26" s="608"/>
      <c r="K26" s="144">
        <v>5</v>
      </c>
      <c r="L26" s="608"/>
      <c r="M26" s="144">
        <v>5</v>
      </c>
      <c r="N26" s="609">
        <f t="shared" si="4"/>
        <v>25</v>
      </c>
      <c r="O26" s="398">
        <f t="shared" si="10"/>
        <v>8578110</v>
      </c>
      <c r="P26" s="144">
        <v>5</v>
      </c>
      <c r="Q26" s="608"/>
      <c r="R26" s="145">
        <v>5</v>
      </c>
      <c r="S26" s="608"/>
      <c r="T26" s="145">
        <v>5</v>
      </c>
      <c r="U26" s="609">
        <f t="shared" si="5"/>
        <v>40</v>
      </c>
      <c r="V26" s="398">
        <f t="shared" si="11"/>
        <v>13724976</v>
      </c>
      <c r="W26" s="145">
        <v>5</v>
      </c>
      <c r="X26" s="608"/>
      <c r="Y26" s="145">
        <v>5</v>
      </c>
      <c r="Z26" s="608"/>
      <c r="AA26" s="145">
        <v>10</v>
      </c>
      <c r="AB26" s="609">
        <f t="shared" si="6"/>
        <v>60</v>
      </c>
      <c r="AC26" s="398">
        <f t="shared" si="12"/>
        <v>20587464</v>
      </c>
      <c r="AD26" s="176">
        <f t="shared" si="0"/>
        <v>60</v>
      </c>
      <c r="AE26" s="612">
        <f t="shared" si="7"/>
        <v>20587464</v>
      </c>
      <c r="AF26" s="175"/>
      <c r="AG26" s="175"/>
      <c r="AH26" s="175"/>
      <c r="AI26" s="175"/>
      <c r="AJ26" s="175"/>
      <c r="AK26" s="147"/>
      <c r="AL26" s="147"/>
      <c r="AM26" s="147"/>
      <c r="AN26" s="147"/>
      <c r="AO26" s="147"/>
      <c r="AP26" s="147"/>
      <c r="AQ26" s="147"/>
      <c r="AS26" s="144" t="s">
        <v>320</v>
      </c>
      <c r="AT26" s="144">
        <v>0</v>
      </c>
      <c r="AU26" s="613"/>
      <c r="AV26" s="144">
        <v>9</v>
      </c>
      <c r="AW26" s="608"/>
      <c r="AX26" s="144">
        <v>4</v>
      </c>
      <c r="AY26" s="609">
        <f t="shared" si="8"/>
        <v>13</v>
      </c>
      <c r="AZ26" s="529">
        <f t="shared" si="13"/>
        <v>4460617.2</v>
      </c>
      <c r="BA26" s="144">
        <v>5</v>
      </c>
      <c r="BB26" s="613"/>
      <c r="BC26" s="144"/>
      <c r="BD26" s="144"/>
      <c r="BE26" s="144"/>
      <c r="BF26" s="144"/>
      <c r="BG26" s="144"/>
      <c r="BH26" s="145"/>
      <c r="BI26" s="145"/>
      <c r="BJ26" s="145"/>
      <c r="BK26" s="145"/>
      <c r="BL26" s="145"/>
      <c r="BM26" s="145"/>
      <c r="BN26" s="145"/>
      <c r="BO26" s="145"/>
      <c r="BP26" s="145"/>
      <c r="BQ26" s="145"/>
      <c r="BR26" s="145"/>
      <c r="BS26" s="176">
        <f t="shared" si="1"/>
        <v>18</v>
      </c>
      <c r="BT26" s="152">
        <f t="shared" si="2"/>
        <v>4460617.2</v>
      </c>
      <c r="BU26" s="147"/>
      <c r="BV26" s="147"/>
      <c r="BW26" s="147"/>
      <c r="BX26" s="147"/>
      <c r="BY26" s="147"/>
      <c r="BZ26" s="147"/>
      <c r="CA26" s="147"/>
      <c r="CB26" s="147"/>
      <c r="CC26" s="147"/>
      <c r="CD26" s="147"/>
      <c r="CE26" s="147"/>
      <c r="CF26" s="147"/>
    </row>
    <row r="27" spans="1:84">
      <c r="A27" s="144" t="s">
        <v>321</v>
      </c>
      <c r="B27" s="144">
        <v>0</v>
      </c>
      <c r="C27" s="608"/>
      <c r="D27" s="144">
        <v>15</v>
      </c>
      <c r="E27" s="608"/>
      <c r="F27" s="144">
        <v>15</v>
      </c>
      <c r="G27" s="609">
        <f t="shared" si="3"/>
        <v>30</v>
      </c>
      <c r="H27" s="398">
        <f t="shared" si="9"/>
        <v>10293732</v>
      </c>
      <c r="I27" s="144">
        <v>15</v>
      </c>
      <c r="J27" s="608"/>
      <c r="K27" s="144">
        <v>15</v>
      </c>
      <c r="L27" s="608"/>
      <c r="M27" s="144">
        <v>15</v>
      </c>
      <c r="N27" s="609">
        <f t="shared" si="4"/>
        <v>75</v>
      </c>
      <c r="O27" s="398">
        <f t="shared" si="10"/>
        <v>25734330</v>
      </c>
      <c r="P27" s="144">
        <v>15</v>
      </c>
      <c r="Q27" s="608"/>
      <c r="R27" s="145">
        <v>15</v>
      </c>
      <c r="S27" s="608"/>
      <c r="T27" s="145">
        <v>15</v>
      </c>
      <c r="U27" s="609">
        <f t="shared" si="5"/>
        <v>120</v>
      </c>
      <c r="V27" s="398">
        <f t="shared" si="11"/>
        <v>41174928</v>
      </c>
      <c r="W27" s="145">
        <v>15</v>
      </c>
      <c r="X27" s="608"/>
      <c r="Y27" s="145">
        <v>15</v>
      </c>
      <c r="Z27" s="608"/>
      <c r="AA27" s="145">
        <v>10</v>
      </c>
      <c r="AB27" s="609">
        <f t="shared" si="6"/>
        <v>160</v>
      </c>
      <c r="AC27" s="398">
        <f t="shared" si="12"/>
        <v>54899904</v>
      </c>
      <c r="AD27" s="176">
        <f t="shared" si="0"/>
        <v>160</v>
      </c>
      <c r="AE27" s="612">
        <f t="shared" si="7"/>
        <v>54899904</v>
      </c>
      <c r="AF27" s="175"/>
      <c r="AG27" s="175"/>
      <c r="AH27" s="175"/>
      <c r="AI27" s="175"/>
      <c r="AJ27" s="175"/>
      <c r="AK27" s="147"/>
      <c r="AL27" s="147"/>
      <c r="AM27" s="147"/>
      <c r="AN27" s="147"/>
      <c r="AO27" s="147"/>
      <c r="AP27" s="147"/>
      <c r="AQ27" s="147"/>
      <c r="AS27" s="144" t="s">
        <v>321</v>
      </c>
      <c r="AT27" s="144">
        <v>0</v>
      </c>
      <c r="AU27" s="613"/>
      <c r="AV27" s="144">
        <v>5</v>
      </c>
      <c r="AW27" s="608"/>
      <c r="AX27" s="144">
        <v>34</v>
      </c>
      <c r="AY27" s="609">
        <f t="shared" si="8"/>
        <v>39</v>
      </c>
      <c r="AZ27" s="529">
        <f t="shared" si="13"/>
        <v>13381851.600000001</v>
      </c>
      <c r="BA27" s="144">
        <v>25</v>
      </c>
      <c r="BB27" s="613"/>
      <c r="BC27" s="144"/>
      <c r="BD27" s="144"/>
      <c r="BE27" s="144"/>
      <c r="BF27" s="144"/>
      <c r="BG27" s="144"/>
      <c r="BH27" s="145"/>
      <c r="BI27" s="145"/>
      <c r="BJ27" s="145"/>
      <c r="BK27" s="145"/>
      <c r="BL27" s="145"/>
      <c r="BM27" s="145"/>
      <c r="BN27" s="145"/>
      <c r="BO27" s="145"/>
      <c r="BP27" s="145"/>
      <c r="BQ27" s="145"/>
      <c r="BR27" s="145"/>
      <c r="BS27" s="176">
        <f t="shared" si="1"/>
        <v>64</v>
      </c>
      <c r="BT27" s="152">
        <f t="shared" si="2"/>
        <v>13381851.600000001</v>
      </c>
      <c r="BU27" s="147"/>
      <c r="BV27" s="147"/>
      <c r="BW27" s="147"/>
      <c r="BX27" s="147"/>
      <c r="BY27" s="147"/>
      <c r="BZ27" s="147"/>
      <c r="CA27" s="147"/>
      <c r="CB27" s="147"/>
      <c r="CC27" s="147"/>
      <c r="CD27" s="147"/>
      <c r="CE27" s="147"/>
      <c r="CF27" s="147"/>
    </row>
    <row r="28" spans="1:84">
      <c r="A28" s="144" t="s">
        <v>322</v>
      </c>
      <c r="B28" s="144">
        <v>0</v>
      </c>
      <c r="C28" s="608"/>
      <c r="D28" s="144">
        <v>5</v>
      </c>
      <c r="E28" s="608"/>
      <c r="F28" s="144">
        <v>5</v>
      </c>
      <c r="G28" s="609">
        <f t="shared" si="3"/>
        <v>10</v>
      </c>
      <c r="H28" s="398">
        <f t="shared" si="9"/>
        <v>3431244</v>
      </c>
      <c r="I28" s="144">
        <v>5</v>
      </c>
      <c r="J28" s="608"/>
      <c r="K28" s="144">
        <v>5</v>
      </c>
      <c r="L28" s="608"/>
      <c r="M28" s="144">
        <v>5</v>
      </c>
      <c r="N28" s="609">
        <f t="shared" si="4"/>
        <v>25</v>
      </c>
      <c r="O28" s="398">
        <f t="shared" si="10"/>
        <v>8578110</v>
      </c>
      <c r="P28" s="144">
        <v>5</v>
      </c>
      <c r="Q28" s="608"/>
      <c r="R28" s="145">
        <v>5</v>
      </c>
      <c r="S28" s="608"/>
      <c r="T28" s="145">
        <v>5</v>
      </c>
      <c r="U28" s="609">
        <f t="shared" si="5"/>
        <v>40</v>
      </c>
      <c r="V28" s="398">
        <f t="shared" si="11"/>
        <v>13724976</v>
      </c>
      <c r="W28" s="145">
        <v>5</v>
      </c>
      <c r="X28" s="608"/>
      <c r="Y28" s="145">
        <v>5</v>
      </c>
      <c r="Z28" s="608"/>
      <c r="AA28" s="145">
        <v>10</v>
      </c>
      <c r="AB28" s="609">
        <f t="shared" si="6"/>
        <v>60</v>
      </c>
      <c r="AC28" s="398">
        <f t="shared" si="12"/>
        <v>20587464</v>
      </c>
      <c r="AD28" s="176">
        <f t="shared" si="0"/>
        <v>60</v>
      </c>
      <c r="AE28" s="612">
        <f t="shared" si="7"/>
        <v>20587464</v>
      </c>
      <c r="AF28" s="175"/>
      <c r="AG28" s="175"/>
      <c r="AH28" s="175"/>
      <c r="AI28" s="175"/>
      <c r="AJ28" s="175"/>
      <c r="AK28" s="147"/>
      <c r="AL28" s="147"/>
      <c r="AM28" s="147"/>
      <c r="AN28" s="147"/>
      <c r="AO28" s="147"/>
      <c r="AP28" s="147"/>
      <c r="AQ28" s="147"/>
      <c r="AS28" s="144" t="s">
        <v>322</v>
      </c>
      <c r="AT28" s="144">
        <v>0</v>
      </c>
      <c r="AU28" s="613"/>
      <c r="AV28" s="144">
        <v>1</v>
      </c>
      <c r="AW28" s="608"/>
      <c r="AX28" s="144">
        <v>17</v>
      </c>
      <c r="AY28" s="609">
        <f t="shared" si="8"/>
        <v>18</v>
      </c>
      <c r="AZ28" s="529">
        <f t="shared" si="13"/>
        <v>6176239.2000000002</v>
      </c>
      <c r="BA28" s="144">
        <v>1</v>
      </c>
      <c r="BB28" s="613"/>
      <c r="BC28" s="144"/>
      <c r="BD28" s="144"/>
      <c r="BE28" s="144"/>
      <c r="BF28" s="144"/>
      <c r="BG28" s="144"/>
      <c r="BH28" s="145"/>
      <c r="BI28" s="145"/>
      <c r="BJ28" s="145"/>
      <c r="BK28" s="145"/>
      <c r="BL28" s="145"/>
      <c r="BM28" s="145"/>
      <c r="BN28" s="145"/>
      <c r="BO28" s="145"/>
      <c r="BP28" s="145"/>
      <c r="BQ28" s="145"/>
      <c r="BR28" s="145"/>
      <c r="BS28" s="176">
        <f t="shared" si="1"/>
        <v>19</v>
      </c>
      <c r="BT28" s="152">
        <f t="shared" si="2"/>
        <v>6176239.2000000002</v>
      </c>
      <c r="BU28" s="147"/>
      <c r="BV28" s="147"/>
      <c r="BW28" s="147"/>
      <c r="BX28" s="147"/>
      <c r="BY28" s="147"/>
      <c r="BZ28" s="147"/>
      <c r="CA28" s="147"/>
      <c r="CB28" s="147"/>
      <c r="CC28" s="147"/>
      <c r="CD28" s="147"/>
      <c r="CE28" s="147"/>
      <c r="CF28" s="147"/>
    </row>
    <row r="29" spans="1:84">
      <c r="A29" s="144" t="s">
        <v>323</v>
      </c>
      <c r="B29" s="144">
        <v>0</v>
      </c>
      <c r="C29" s="608"/>
      <c r="D29" s="144">
        <v>30</v>
      </c>
      <c r="E29" s="608"/>
      <c r="F29" s="144">
        <v>55</v>
      </c>
      <c r="G29" s="609">
        <f t="shared" si="3"/>
        <v>85</v>
      </c>
      <c r="H29" s="398">
        <f t="shared" si="9"/>
        <v>29165574.000000004</v>
      </c>
      <c r="I29" s="144">
        <v>55</v>
      </c>
      <c r="J29" s="608"/>
      <c r="K29" s="144">
        <v>55</v>
      </c>
      <c r="L29" s="608"/>
      <c r="M29" s="144">
        <v>55</v>
      </c>
      <c r="N29" s="609">
        <f t="shared" si="4"/>
        <v>250</v>
      </c>
      <c r="O29" s="398">
        <f t="shared" si="10"/>
        <v>85781100</v>
      </c>
      <c r="P29" s="144">
        <v>55</v>
      </c>
      <c r="Q29" s="608"/>
      <c r="R29" s="145">
        <v>55</v>
      </c>
      <c r="S29" s="608"/>
      <c r="T29" s="145">
        <v>55</v>
      </c>
      <c r="U29" s="609">
        <f t="shared" si="5"/>
        <v>415</v>
      </c>
      <c r="V29" s="398">
        <f t="shared" si="11"/>
        <v>142396626</v>
      </c>
      <c r="W29" s="145">
        <v>55</v>
      </c>
      <c r="X29" s="608"/>
      <c r="Y29" s="145">
        <v>55</v>
      </c>
      <c r="Z29" s="608"/>
      <c r="AA29" s="145">
        <v>11</v>
      </c>
      <c r="AB29" s="609">
        <f t="shared" si="6"/>
        <v>536</v>
      </c>
      <c r="AC29" s="398">
        <f t="shared" si="12"/>
        <v>183914678.40000001</v>
      </c>
      <c r="AD29" s="176">
        <f t="shared" si="0"/>
        <v>536</v>
      </c>
      <c r="AE29" s="612">
        <f t="shared" si="7"/>
        <v>183914678.40000001</v>
      </c>
      <c r="AF29" s="175"/>
      <c r="AG29" s="175"/>
      <c r="AH29" s="175"/>
      <c r="AI29" s="175"/>
      <c r="AJ29" s="175"/>
      <c r="AK29" s="147"/>
      <c r="AL29" s="147"/>
      <c r="AM29" s="147"/>
      <c r="AN29" s="147"/>
      <c r="AO29" s="147"/>
      <c r="AP29" s="147"/>
      <c r="AQ29" s="147"/>
      <c r="AS29" s="144" t="s">
        <v>323</v>
      </c>
      <c r="AT29" s="144">
        <v>0</v>
      </c>
      <c r="AU29" s="613"/>
      <c r="AV29" s="144">
        <v>11</v>
      </c>
      <c r="AW29" s="608"/>
      <c r="AX29" s="144">
        <v>89</v>
      </c>
      <c r="AY29" s="609">
        <f t="shared" si="8"/>
        <v>100</v>
      </c>
      <c r="AZ29" s="529">
        <f t="shared" si="13"/>
        <v>34312440</v>
      </c>
      <c r="BA29" s="144">
        <v>26</v>
      </c>
      <c r="BB29" s="613"/>
      <c r="BC29" s="144"/>
      <c r="BD29" s="144"/>
      <c r="BE29" s="144"/>
      <c r="BF29" s="144"/>
      <c r="BG29" s="144"/>
      <c r="BH29" s="145"/>
      <c r="BI29" s="145"/>
      <c r="BJ29" s="145"/>
      <c r="BK29" s="145"/>
      <c r="BL29" s="145"/>
      <c r="BM29" s="145"/>
      <c r="BN29" s="145"/>
      <c r="BO29" s="145"/>
      <c r="BP29" s="145"/>
      <c r="BQ29" s="145"/>
      <c r="BR29" s="145"/>
      <c r="BS29" s="176">
        <f t="shared" si="1"/>
        <v>126</v>
      </c>
      <c r="BT29" s="152">
        <f t="shared" si="2"/>
        <v>34312440</v>
      </c>
      <c r="BU29" s="147"/>
      <c r="BV29" s="147"/>
      <c r="BW29" s="147"/>
      <c r="BX29" s="147"/>
      <c r="BY29" s="147"/>
      <c r="BZ29" s="147"/>
      <c r="CA29" s="147"/>
      <c r="CB29" s="147"/>
      <c r="CC29" s="147"/>
      <c r="CD29" s="147"/>
      <c r="CE29" s="147"/>
      <c r="CF29" s="147"/>
    </row>
    <row r="30" spans="1:84">
      <c r="A30" s="144" t="s">
        <v>324</v>
      </c>
      <c r="B30" s="144">
        <v>0</v>
      </c>
      <c r="C30" s="608"/>
      <c r="D30" s="144">
        <v>30</v>
      </c>
      <c r="E30" s="608"/>
      <c r="F30" s="144">
        <v>55</v>
      </c>
      <c r="G30" s="609">
        <f t="shared" si="3"/>
        <v>85</v>
      </c>
      <c r="H30" s="398">
        <f t="shared" si="9"/>
        <v>29165574.000000004</v>
      </c>
      <c r="I30" s="144">
        <v>55</v>
      </c>
      <c r="J30" s="608"/>
      <c r="K30" s="144">
        <v>55</v>
      </c>
      <c r="L30" s="608"/>
      <c r="M30" s="144">
        <v>55</v>
      </c>
      <c r="N30" s="609">
        <f t="shared" si="4"/>
        <v>250</v>
      </c>
      <c r="O30" s="398">
        <f t="shared" si="10"/>
        <v>85781100</v>
      </c>
      <c r="P30" s="144">
        <v>55</v>
      </c>
      <c r="Q30" s="608"/>
      <c r="R30" s="145">
        <v>55</v>
      </c>
      <c r="S30" s="608"/>
      <c r="T30" s="145">
        <v>55</v>
      </c>
      <c r="U30" s="609">
        <f t="shared" si="5"/>
        <v>415</v>
      </c>
      <c r="V30" s="398">
        <f t="shared" si="11"/>
        <v>142396626</v>
      </c>
      <c r="W30" s="145">
        <v>55</v>
      </c>
      <c r="X30" s="608"/>
      <c r="Y30" s="145">
        <v>55</v>
      </c>
      <c r="Z30" s="608"/>
      <c r="AA30" s="145">
        <v>11</v>
      </c>
      <c r="AB30" s="609">
        <f t="shared" si="6"/>
        <v>536</v>
      </c>
      <c r="AC30" s="398">
        <f t="shared" si="12"/>
        <v>183914678.40000001</v>
      </c>
      <c r="AD30" s="176">
        <f t="shared" si="0"/>
        <v>536</v>
      </c>
      <c r="AE30" s="612">
        <f t="shared" si="7"/>
        <v>183914678.40000001</v>
      </c>
      <c r="AF30" s="175"/>
      <c r="AG30" s="175"/>
      <c r="AH30" s="175"/>
      <c r="AI30" s="175"/>
      <c r="AJ30" s="175"/>
      <c r="AK30" s="147"/>
      <c r="AL30" s="147"/>
      <c r="AM30" s="147"/>
      <c r="AN30" s="147"/>
      <c r="AO30" s="147"/>
      <c r="AP30" s="147"/>
      <c r="AQ30" s="147"/>
      <c r="AS30" s="144" t="s">
        <v>324</v>
      </c>
      <c r="AT30" s="144">
        <v>0</v>
      </c>
      <c r="AU30" s="613"/>
      <c r="AV30" s="144">
        <v>69</v>
      </c>
      <c r="AW30" s="608"/>
      <c r="AX30" s="144">
        <v>96</v>
      </c>
      <c r="AY30" s="609">
        <f t="shared" si="8"/>
        <v>165</v>
      </c>
      <c r="AZ30" s="529">
        <f t="shared" si="13"/>
        <v>56615526.000000007</v>
      </c>
      <c r="BA30" s="144">
        <v>136</v>
      </c>
      <c r="BB30" s="613"/>
      <c r="BC30" s="144"/>
      <c r="BD30" s="144"/>
      <c r="BE30" s="144"/>
      <c r="BF30" s="144"/>
      <c r="BG30" s="144"/>
      <c r="BH30" s="145"/>
      <c r="BI30" s="145"/>
      <c r="BJ30" s="145"/>
      <c r="BK30" s="145"/>
      <c r="BL30" s="145"/>
      <c r="BM30" s="145"/>
      <c r="BN30" s="145"/>
      <c r="BO30" s="145"/>
      <c r="BP30" s="145"/>
      <c r="BQ30" s="145"/>
      <c r="BR30" s="145"/>
      <c r="BS30" s="176">
        <f t="shared" si="1"/>
        <v>301</v>
      </c>
      <c r="BT30" s="152">
        <f t="shared" si="2"/>
        <v>56615526.000000007</v>
      </c>
      <c r="BU30" s="147"/>
      <c r="BV30" s="147"/>
      <c r="BW30" s="147"/>
      <c r="BX30" s="147"/>
      <c r="BY30" s="147"/>
      <c r="BZ30" s="147"/>
      <c r="CA30" s="147"/>
      <c r="CB30" s="147"/>
      <c r="CC30" s="147"/>
      <c r="CD30" s="147"/>
      <c r="CE30" s="147"/>
      <c r="CF30" s="147"/>
    </row>
    <row r="31" spans="1:84">
      <c r="A31" s="144" t="s">
        <v>325</v>
      </c>
      <c r="B31" s="144">
        <v>0</v>
      </c>
      <c r="C31" s="608"/>
      <c r="D31" s="144">
        <v>0</v>
      </c>
      <c r="E31" s="608"/>
      <c r="F31" s="144">
        <v>2</v>
      </c>
      <c r="G31" s="609">
        <f t="shared" si="3"/>
        <v>2</v>
      </c>
      <c r="H31" s="398">
        <f t="shared" si="9"/>
        <v>686248.8</v>
      </c>
      <c r="I31" s="144">
        <v>2</v>
      </c>
      <c r="J31" s="608"/>
      <c r="K31" s="144">
        <v>2</v>
      </c>
      <c r="L31" s="608"/>
      <c r="M31" s="144">
        <v>2</v>
      </c>
      <c r="N31" s="609">
        <f t="shared" si="4"/>
        <v>8</v>
      </c>
      <c r="O31" s="398">
        <f t="shared" si="10"/>
        <v>2744995.2</v>
      </c>
      <c r="P31" s="144">
        <v>2</v>
      </c>
      <c r="Q31" s="608"/>
      <c r="R31" s="145">
        <v>2</v>
      </c>
      <c r="S31" s="608"/>
      <c r="T31" s="145">
        <v>2</v>
      </c>
      <c r="U31" s="609">
        <f t="shared" si="5"/>
        <v>14</v>
      </c>
      <c r="V31" s="398">
        <f t="shared" si="11"/>
        <v>4803741.6000000006</v>
      </c>
      <c r="W31" s="145">
        <v>2</v>
      </c>
      <c r="X31" s="608"/>
      <c r="Y31" s="145">
        <v>2</v>
      </c>
      <c r="Z31" s="608"/>
      <c r="AA31" s="145">
        <v>2</v>
      </c>
      <c r="AB31" s="609">
        <f t="shared" si="6"/>
        <v>20</v>
      </c>
      <c r="AC31" s="398">
        <f t="shared" si="12"/>
        <v>6862488</v>
      </c>
      <c r="AD31" s="176">
        <f t="shared" si="0"/>
        <v>20</v>
      </c>
      <c r="AE31" s="612">
        <f t="shared" si="7"/>
        <v>6862488</v>
      </c>
      <c r="AF31" s="175"/>
      <c r="AG31" s="175"/>
      <c r="AH31" s="175"/>
      <c r="AI31" s="175"/>
      <c r="AJ31" s="175"/>
      <c r="AK31" s="147"/>
      <c r="AL31" s="147"/>
      <c r="AM31" s="147"/>
      <c r="AN31" s="147"/>
      <c r="AO31" s="147"/>
      <c r="AP31" s="147"/>
      <c r="AQ31" s="147"/>
      <c r="AS31" s="144" t="s">
        <v>325</v>
      </c>
      <c r="AT31" s="144">
        <v>0</v>
      </c>
      <c r="AU31" s="613"/>
      <c r="AV31" s="144">
        <v>1</v>
      </c>
      <c r="AW31" s="608"/>
      <c r="AX31" s="144">
        <v>2</v>
      </c>
      <c r="AY31" s="609">
        <f t="shared" si="8"/>
        <v>3</v>
      </c>
      <c r="AZ31" s="529">
        <f t="shared" si="13"/>
        <v>1029373.2000000001</v>
      </c>
      <c r="BA31" s="144">
        <v>3</v>
      </c>
      <c r="BB31" s="613"/>
      <c r="BC31" s="144"/>
      <c r="BD31" s="144"/>
      <c r="BE31" s="144"/>
      <c r="BF31" s="144"/>
      <c r="BG31" s="144"/>
      <c r="BH31" s="145"/>
      <c r="BI31" s="145"/>
      <c r="BJ31" s="145"/>
      <c r="BK31" s="145"/>
      <c r="BL31" s="145"/>
      <c r="BM31" s="145"/>
      <c r="BN31" s="145"/>
      <c r="BO31" s="145"/>
      <c r="BP31" s="145"/>
      <c r="BQ31" s="145"/>
      <c r="BR31" s="145"/>
      <c r="BS31" s="176">
        <f t="shared" si="1"/>
        <v>6</v>
      </c>
      <c r="BT31" s="152">
        <f t="shared" si="2"/>
        <v>1029373.2000000001</v>
      </c>
      <c r="BU31" s="147"/>
      <c r="BV31" s="147"/>
      <c r="BW31" s="147"/>
      <c r="BX31" s="147"/>
      <c r="BY31" s="147"/>
      <c r="BZ31" s="147"/>
      <c r="CA31" s="147"/>
      <c r="CB31" s="147"/>
      <c r="CC31" s="147"/>
      <c r="CD31" s="147"/>
      <c r="CE31" s="147"/>
      <c r="CF31" s="147"/>
    </row>
    <row r="32" spans="1:84">
      <c r="A32" s="149" t="s">
        <v>326</v>
      </c>
      <c r="B32" s="146">
        <f>SUM(B11:B31)</f>
        <v>0</v>
      </c>
      <c r="C32" s="146">
        <f t="shared" ref="C32:AQ32" si="14">SUM(C11:C31)</f>
        <v>0</v>
      </c>
      <c r="D32" s="146">
        <f t="shared" si="14"/>
        <v>500</v>
      </c>
      <c r="E32" s="399">
        <f t="shared" si="14"/>
        <v>0</v>
      </c>
      <c r="F32" s="146">
        <f t="shared" si="14"/>
        <v>700</v>
      </c>
      <c r="G32" s="614">
        <f t="shared" si="14"/>
        <v>1200</v>
      </c>
      <c r="H32" s="399">
        <f t="shared" si="14"/>
        <v>1396371000</v>
      </c>
      <c r="I32" s="146">
        <f t="shared" si="14"/>
        <v>700</v>
      </c>
      <c r="J32" s="399">
        <f t="shared" si="14"/>
        <v>0</v>
      </c>
      <c r="K32" s="146">
        <f t="shared" si="14"/>
        <v>700</v>
      </c>
      <c r="L32" s="399">
        <f t="shared" si="14"/>
        <v>0</v>
      </c>
      <c r="M32" s="146">
        <f t="shared" si="14"/>
        <v>700</v>
      </c>
      <c r="N32" s="614">
        <f t="shared" si="14"/>
        <v>3300</v>
      </c>
      <c r="O32" s="399">
        <f t="shared" si="14"/>
        <v>2048343535.1599996</v>
      </c>
      <c r="P32" s="146">
        <f t="shared" si="14"/>
        <v>700</v>
      </c>
      <c r="Q32" s="399">
        <f t="shared" si="14"/>
        <v>0</v>
      </c>
      <c r="R32" s="146">
        <f t="shared" si="14"/>
        <v>700</v>
      </c>
      <c r="S32" s="399">
        <f t="shared" si="14"/>
        <v>0</v>
      </c>
      <c r="T32" s="146">
        <f t="shared" si="14"/>
        <v>700</v>
      </c>
      <c r="U32" s="614">
        <f t="shared" si="14"/>
        <v>5400</v>
      </c>
      <c r="V32" s="399">
        <f t="shared" si="14"/>
        <v>2401870787.1599998</v>
      </c>
      <c r="W32" s="146">
        <f t="shared" si="14"/>
        <v>700</v>
      </c>
      <c r="X32" s="399">
        <f t="shared" si="14"/>
        <v>0</v>
      </c>
      <c r="Y32" s="146">
        <f t="shared" si="14"/>
        <v>700</v>
      </c>
      <c r="Z32" s="399">
        <f t="shared" si="14"/>
        <v>0</v>
      </c>
      <c r="AA32" s="146">
        <f t="shared" si="14"/>
        <v>200</v>
      </c>
      <c r="AB32" s="614">
        <f t="shared" si="14"/>
        <v>7000</v>
      </c>
      <c r="AC32" s="399">
        <f t="shared" si="14"/>
        <v>2401870787.1599998</v>
      </c>
      <c r="AD32" s="146">
        <f t="shared" si="14"/>
        <v>7000</v>
      </c>
      <c r="AE32" s="612">
        <f t="shared" si="14"/>
        <v>2401870787.1599998</v>
      </c>
      <c r="AF32" s="146">
        <f t="shared" si="14"/>
        <v>0</v>
      </c>
      <c r="AG32" s="146">
        <f t="shared" si="14"/>
        <v>0</v>
      </c>
      <c r="AH32" s="146">
        <f t="shared" si="14"/>
        <v>0</v>
      </c>
      <c r="AI32" s="146">
        <f t="shared" si="14"/>
        <v>0</v>
      </c>
      <c r="AJ32" s="146">
        <f t="shared" si="14"/>
        <v>0</v>
      </c>
      <c r="AK32" s="146">
        <f t="shared" si="14"/>
        <v>0</v>
      </c>
      <c r="AL32" s="146">
        <f t="shared" si="14"/>
        <v>0</v>
      </c>
      <c r="AM32" s="146">
        <f t="shared" si="14"/>
        <v>0</v>
      </c>
      <c r="AN32" s="146">
        <f t="shared" si="14"/>
        <v>0</v>
      </c>
      <c r="AO32" s="146">
        <f t="shared" si="14"/>
        <v>0</v>
      </c>
      <c r="AP32" s="146">
        <f t="shared" si="14"/>
        <v>0</v>
      </c>
      <c r="AQ32" s="146">
        <f t="shared" si="14"/>
        <v>0</v>
      </c>
      <c r="AS32" s="149" t="s">
        <v>326</v>
      </c>
      <c r="AT32" s="146">
        <f t="shared" ref="AT32:BG32" si="15">SUM(AT11:AT31)</f>
        <v>0</v>
      </c>
      <c r="AU32" s="146">
        <f t="shared" si="15"/>
        <v>0</v>
      </c>
      <c r="AV32" s="146">
        <f t="shared" si="15"/>
        <v>531</v>
      </c>
      <c r="AW32" s="482"/>
      <c r="AX32" s="146">
        <f t="shared" si="15"/>
        <v>950</v>
      </c>
      <c r="AY32" s="614">
        <f t="shared" si="15"/>
        <v>1481</v>
      </c>
      <c r="AZ32" s="399">
        <f t="shared" si="15"/>
        <v>1342336167</v>
      </c>
      <c r="BA32" s="146">
        <f t="shared" si="15"/>
        <v>740</v>
      </c>
      <c r="BB32" s="146">
        <f t="shared" si="15"/>
        <v>0</v>
      </c>
      <c r="BC32" s="146">
        <f t="shared" si="15"/>
        <v>0</v>
      </c>
      <c r="BD32" s="146">
        <f t="shared" si="15"/>
        <v>0</v>
      </c>
      <c r="BE32" s="146">
        <f t="shared" si="15"/>
        <v>0</v>
      </c>
      <c r="BF32" s="146">
        <f t="shared" si="15"/>
        <v>0</v>
      </c>
      <c r="BG32" s="146">
        <f t="shared" si="15"/>
        <v>0</v>
      </c>
      <c r="BH32" s="146">
        <f>SUM(BH11:BH31)</f>
        <v>0</v>
      </c>
      <c r="BI32" s="146">
        <f t="shared" ref="BI32:CF32" si="16">SUM(BI11:BI31)</f>
        <v>0</v>
      </c>
      <c r="BJ32" s="146">
        <f t="shared" si="16"/>
        <v>0</v>
      </c>
      <c r="BK32" s="146">
        <f t="shared" si="16"/>
        <v>0</v>
      </c>
      <c r="BL32" s="146">
        <f t="shared" si="16"/>
        <v>0</v>
      </c>
      <c r="BM32" s="146">
        <f t="shared" si="16"/>
        <v>0</v>
      </c>
      <c r="BN32" s="146">
        <f t="shared" si="16"/>
        <v>0</v>
      </c>
      <c r="BO32" s="146">
        <f t="shared" si="16"/>
        <v>0</v>
      </c>
      <c r="BP32" s="146">
        <f t="shared" si="16"/>
        <v>0</v>
      </c>
      <c r="BQ32" s="146">
        <f t="shared" si="16"/>
        <v>0</v>
      </c>
      <c r="BR32" s="146">
        <f t="shared" si="16"/>
        <v>0</v>
      </c>
      <c r="BS32" s="177">
        <f t="shared" si="16"/>
        <v>2221</v>
      </c>
      <c r="BT32" s="153">
        <f t="shared" si="16"/>
        <v>1342336167</v>
      </c>
      <c r="BU32" s="146">
        <f t="shared" si="16"/>
        <v>0</v>
      </c>
      <c r="BV32" s="146">
        <f t="shared" si="16"/>
        <v>0</v>
      </c>
      <c r="BW32" s="146">
        <f t="shared" si="16"/>
        <v>0</v>
      </c>
      <c r="BX32" s="146">
        <f t="shared" si="16"/>
        <v>0</v>
      </c>
      <c r="BY32" s="146">
        <f t="shared" si="16"/>
        <v>0</v>
      </c>
      <c r="BZ32" s="146">
        <f t="shared" si="16"/>
        <v>0</v>
      </c>
      <c r="CA32" s="146">
        <f t="shared" si="16"/>
        <v>0</v>
      </c>
      <c r="CB32" s="146">
        <f t="shared" si="16"/>
        <v>0</v>
      </c>
      <c r="CC32" s="146">
        <f t="shared" si="16"/>
        <v>0</v>
      </c>
      <c r="CD32" s="146">
        <f t="shared" si="16"/>
        <v>0</v>
      </c>
      <c r="CE32" s="146">
        <f t="shared" si="16"/>
        <v>0</v>
      </c>
      <c r="CF32" s="146">
        <f t="shared" si="16"/>
        <v>0</v>
      </c>
    </row>
    <row r="33" spans="1:84" ht="89.25" customHeight="1">
      <c r="A33" s="485"/>
      <c r="B33" s="486"/>
      <c r="C33" s="486"/>
      <c r="D33" s="486"/>
      <c r="E33" s="615"/>
      <c r="F33" s="486"/>
      <c r="G33" s="486"/>
      <c r="H33" s="487"/>
      <c r="I33" s="486"/>
      <c r="J33" s="615"/>
      <c r="K33" s="486"/>
      <c r="L33" s="487"/>
      <c r="M33" s="486"/>
      <c r="N33" s="486"/>
      <c r="O33" s="487"/>
      <c r="P33" s="486"/>
      <c r="Q33" s="487"/>
      <c r="R33" s="486"/>
      <c r="S33" s="487"/>
      <c r="T33" s="486"/>
      <c r="U33" s="486"/>
      <c r="V33" s="487"/>
      <c r="W33" s="486"/>
      <c r="X33" s="487"/>
      <c r="Y33" s="486"/>
      <c r="Z33" s="487"/>
      <c r="AA33" s="486"/>
      <c r="AB33" s="486"/>
      <c r="AC33" s="487"/>
      <c r="AD33" s="486"/>
      <c r="AE33" s="488"/>
      <c r="AF33" s="486"/>
      <c r="AG33" s="486"/>
      <c r="AH33" s="486"/>
      <c r="AI33" s="486"/>
      <c r="AJ33" s="486"/>
      <c r="AK33" s="486"/>
      <c r="AL33" s="486"/>
      <c r="AM33" s="486"/>
      <c r="AN33" s="486"/>
      <c r="AO33" s="486"/>
      <c r="AP33" s="486"/>
      <c r="AQ33" s="486"/>
      <c r="AS33" s="485"/>
      <c r="AT33" s="486"/>
      <c r="AU33" s="486"/>
      <c r="AV33" s="486" t="s">
        <v>327</v>
      </c>
      <c r="AW33" s="494" t="s">
        <v>328</v>
      </c>
      <c r="AX33" s="486"/>
      <c r="AY33" s="486"/>
      <c r="AZ33" s="486"/>
      <c r="BA33" s="486" t="s">
        <v>327</v>
      </c>
      <c r="BB33" s="494" t="s">
        <v>328</v>
      </c>
      <c r="BC33" s="486"/>
      <c r="BD33" s="486"/>
      <c r="BE33" s="486"/>
      <c r="BF33" s="486"/>
      <c r="BG33" s="486"/>
      <c r="BH33" s="486"/>
      <c r="BI33" s="486"/>
      <c r="BJ33" s="486"/>
      <c r="BK33" s="486"/>
      <c r="BL33" s="486"/>
      <c r="BM33" s="486"/>
      <c r="BN33" s="486"/>
      <c r="BO33" s="486"/>
      <c r="BP33" s="486"/>
      <c r="BQ33" s="486"/>
      <c r="BR33" s="486"/>
      <c r="BS33" s="489"/>
      <c r="BT33" s="490"/>
      <c r="BU33" s="486"/>
      <c r="BV33" s="486"/>
      <c r="BW33" s="486"/>
      <c r="BX33" s="486"/>
      <c r="BY33" s="486"/>
      <c r="BZ33" s="486"/>
      <c r="CA33" s="486"/>
      <c r="CB33" s="486"/>
      <c r="CC33" s="486"/>
      <c r="CD33" s="486"/>
      <c r="CE33" s="486"/>
      <c r="CF33" s="486"/>
    </row>
    <row r="35" spans="1:84" ht="28.5">
      <c r="A35" s="150" t="s">
        <v>284</v>
      </c>
      <c r="B35" s="1073" t="s">
        <v>686</v>
      </c>
      <c r="C35" s="1073"/>
      <c r="D35" s="1073"/>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1073"/>
      <c r="AL35" s="1073"/>
      <c r="AM35" s="1073"/>
      <c r="AN35" s="1073"/>
      <c r="AO35" s="1073"/>
      <c r="AP35" s="1073"/>
      <c r="AQ35" s="1073"/>
      <c r="AR35" s="1073"/>
      <c r="AS35" s="1073"/>
      <c r="AT35" s="1073"/>
      <c r="AU35" s="1073"/>
      <c r="AV35" s="1073"/>
      <c r="AW35" s="1073"/>
      <c r="AX35" s="1073"/>
      <c r="AY35" s="1073"/>
      <c r="AZ35" s="1073"/>
      <c r="BA35" s="1073"/>
      <c r="BB35" s="1073"/>
      <c r="BC35" s="1073"/>
      <c r="BD35" s="1073"/>
      <c r="BE35" s="1073"/>
      <c r="BF35" s="1073"/>
      <c r="BG35" s="1073"/>
      <c r="BH35" s="1073"/>
      <c r="BI35" s="1073"/>
      <c r="BJ35" s="1073"/>
      <c r="BK35" s="1073"/>
      <c r="BL35" s="1073"/>
      <c r="BM35" s="1073"/>
      <c r="BN35" s="1073"/>
      <c r="BO35" s="1073"/>
      <c r="BP35" s="1073"/>
      <c r="BQ35" s="1073"/>
      <c r="BR35" s="1073"/>
      <c r="BS35" s="1073"/>
      <c r="BT35" s="1073"/>
      <c r="BU35" s="1073"/>
      <c r="BV35" s="1073"/>
      <c r="BW35" s="1073"/>
      <c r="BX35" s="1073"/>
      <c r="BY35" s="1073"/>
      <c r="BZ35" s="1073"/>
      <c r="CA35" s="1073"/>
    </row>
    <row r="36" spans="1:84" ht="29.1" customHeight="1">
      <c r="A36" s="151" t="s">
        <v>286</v>
      </c>
      <c r="B36" s="1076" t="s">
        <v>216</v>
      </c>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7"/>
      <c r="AN36" s="1077"/>
      <c r="AO36" s="1077"/>
      <c r="AP36" s="1077"/>
      <c r="AQ36" s="1077"/>
      <c r="AR36" s="1077"/>
      <c r="AS36" s="1077"/>
      <c r="AT36" s="1077"/>
      <c r="AU36" s="1077"/>
      <c r="AV36" s="1077"/>
      <c r="AW36" s="1077"/>
      <c r="AX36" s="1077"/>
      <c r="AY36" s="1077"/>
      <c r="AZ36" s="1077"/>
      <c r="BA36" s="1077"/>
      <c r="BB36" s="1077"/>
      <c r="BC36" s="1077"/>
      <c r="BD36" s="1077"/>
      <c r="BE36" s="1077"/>
      <c r="BF36" s="1077"/>
      <c r="BG36" s="1077"/>
      <c r="BH36" s="1077"/>
      <c r="BI36" s="1077"/>
      <c r="BJ36" s="1077"/>
      <c r="BK36" s="1077"/>
      <c r="BL36" s="1077"/>
      <c r="BM36" s="1077"/>
      <c r="BN36" s="1077"/>
      <c r="BO36" s="1077"/>
      <c r="BP36" s="1077"/>
      <c r="BQ36" s="1077"/>
      <c r="BR36" s="1077"/>
      <c r="BS36" s="1077"/>
      <c r="BT36" s="1077"/>
      <c r="BU36" s="1077"/>
      <c r="BV36" s="1077"/>
      <c r="BW36" s="1077"/>
      <c r="BX36" s="1077"/>
      <c r="BY36" s="1077"/>
      <c r="BZ36" s="1077"/>
      <c r="CA36" s="1078"/>
    </row>
    <row r="37" spans="1:84" ht="6" customHeigh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84" ht="30" customHeight="1">
      <c r="A38" s="1074" t="s">
        <v>287</v>
      </c>
      <c r="B38" s="1061" t="s">
        <v>30</v>
      </c>
      <c r="C38" s="1062"/>
      <c r="D38" s="1061" t="s">
        <v>31</v>
      </c>
      <c r="E38" s="1062"/>
      <c r="F38" s="1061" t="s">
        <v>8</v>
      </c>
      <c r="G38" s="1062"/>
      <c r="H38" s="1061" t="s">
        <v>32</v>
      </c>
      <c r="I38" s="1062"/>
      <c r="J38" s="1061" t="s">
        <v>33</v>
      </c>
      <c r="K38" s="1062"/>
      <c r="L38" s="1061" t="s">
        <v>34</v>
      </c>
      <c r="M38" s="1062"/>
      <c r="N38" s="1061" t="s">
        <v>35</v>
      </c>
      <c r="O38" s="1062"/>
      <c r="P38" s="1061" t="s">
        <v>36</v>
      </c>
      <c r="Q38" s="1062"/>
      <c r="R38" s="1061" t="s">
        <v>37</v>
      </c>
      <c r="S38" s="1062"/>
      <c r="T38" s="1061" t="s">
        <v>38</v>
      </c>
      <c r="U38" s="1062"/>
      <c r="V38" s="1061" t="s">
        <v>39</v>
      </c>
      <c r="W38" s="1062"/>
      <c r="X38" s="1061" t="s">
        <v>40</v>
      </c>
      <c r="Y38" s="1062"/>
      <c r="Z38" s="1061" t="s">
        <v>288</v>
      </c>
      <c r="AA38" s="1062"/>
      <c r="AB38" s="1061" t="s">
        <v>289</v>
      </c>
      <c r="AC38" s="1063"/>
      <c r="AD38" s="1063"/>
      <c r="AE38" s="1063"/>
      <c r="AF38" s="1063"/>
      <c r="AG38" s="1062"/>
      <c r="AH38" s="1061" t="s">
        <v>290</v>
      </c>
      <c r="AI38" s="1063"/>
      <c r="AJ38" s="1063"/>
      <c r="AK38" s="1063"/>
      <c r="AL38" s="1063"/>
      <c r="AM38" s="1062"/>
      <c r="AO38" s="1074" t="s">
        <v>287</v>
      </c>
      <c r="AP38" s="1061" t="s">
        <v>30</v>
      </c>
      <c r="AQ38" s="1062"/>
      <c r="AR38" s="1061" t="s">
        <v>31</v>
      </c>
      <c r="AS38" s="1062"/>
      <c r="AT38" s="1061" t="s">
        <v>8</v>
      </c>
      <c r="AU38" s="1062"/>
      <c r="AV38" s="1061" t="s">
        <v>32</v>
      </c>
      <c r="AW38" s="1062"/>
      <c r="AX38" s="1061" t="s">
        <v>33</v>
      </c>
      <c r="AY38" s="1062"/>
      <c r="AZ38" s="1061" t="s">
        <v>34</v>
      </c>
      <c r="BA38" s="1062"/>
      <c r="BB38" s="1061" t="s">
        <v>35</v>
      </c>
      <c r="BC38" s="1062"/>
      <c r="BD38" s="1061" t="s">
        <v>36</v>
      </c>
      <c r="BE38" s="1062"/>
      <c r="BF38" s="1061" t="s">
        <v>37</v>
      </c>
      <c r="BG38" s="1062"/>
      <c r="BH38" s="1061" t="s">
        <v>38</v>
      </c>
      <c r="BI38" s="1062"/>
      <c r="BJ38" s="1061" t="s">
        <v>39</v>
      </c>
      <c r="BK38" s="1062"/>
      <c r="BL38" s="1061" t="s">
        <v>40</v>
      </c>
      <c r="BM38" s="1062"/>
      <c r="BN38" s="1061" t="s">
        <v>288</v>
      </c>
      <c r="BO38" s="1062"/>
      <c r="BP38" s="1061" t="s">
        <v>289</v>
      </c>
      <c r="BQ38" s="1063"/>
      <c r="BR38" s="1063"/>
      <c r="BS38" s="1063"/>
      <c r="BT38" s="1063"/>
      <c r="BU38" s="1062"/>
      <c r="BV38" s="1061" t="s">
        <v>290</v>
      </c>
      <c r="BW38" s="1063"/>
      <c r="BX38" s="1063"/>
      <c r="BY38" s="1063"/>
      <c r="BZ38" s="1063"/>
      <c r="CA38" s="1062"/>
    </row>
    <row r="39" spans="1:84" ht="51.95" customHeight="1">
      <c r="A39" s="1075"/>
      <c r="B39" s="418" t="s">
        <v>291</v>
      </c>
      <c r="C39" s="418" t="s">
        <v>292</v>
      </c>
      <c r="D39" s="418" t="s">
        <v>291</v>
      </c>
      <c r="E39" s="418" t="s">
        <v>292</v>
      </c>
      <c r="F39" s="418" t="s">
        <v>291</v>
      </c>
      <c r="G39" s="418" t="s">
        <v>292</v>
      </c>
      <c r="H39" s="418" t="s">
        <v>291</v>
      </c>
      <c r="I39" s="418" t="s">
        <v>292</v>
      </c>
      <c r="J39" s="418" t="s">
        <v>291</v>
      </c>
      <c r="K39" s="418" t="s">
        <v>292</v>
      </c>
      <c r="L39" s="418" t="s">
        <v>291</v>
      </c>
      <c r="M39" s="418" t="s">
        <v>292</v>
      </c>
      <c r="N39" s="418" t="s">
        <v>291</v>
      </c>
      <c r="O39" s="418" t="s">
        <v>292</v>
      </c>
      <c r="P39" s="418" t="s">
        <v>291</v>
      </c>
      <c r="Q39" s="418" t="s">
        <v>292</v>
      </c>
      <c r="R39" s="418" t="s">
        <v>291</v>
      </c>
      <c r="S39" s="418" t="s">
        <v>292</v>
      </c>
      <c r="T39" s="418" t="s">
        <v>291</v>
      </c>
      <c r="U39" s="418" t="s">
        <v>292</v>
      </c>
      <c r="V39" s="418" t="s">
        <v>291</v>
      </c>
      <c r="W39" s="418" t="s">
        <v>292</v>
      </c>
      <c r="X39" s="418" t="s">
        <v>291</v>
      </c>
      <c r="Y39" s="418" t="s">
        <v>292</v>
      </c>
      <c r="Z39" s="418" t="s">
        <v>291</v>
      </c>
      <c r="AA39" s="418" t="s">
        <v>292</v>
      </c>
      <c r="AB39" s="173" t="s">
        <v>293</v>
      </c>
      <c r="AC39" s="173" t="s">
        <v>294</v>
      </c>
      <c r="AD39" s="173" t="s">
        <v>295</v>
      </c>
      <c r="AE39" s="173" t="s">
        <v>296</v>
      </c>
      <c r="AF39" s="174" t="s">
        <v>297</v>
      </c>
      <c r="AG39" s="173" t="s">
        <v>298</v>
      </c>
      <c r="AH39" s="418" t="s">
        <v>299</v>
      </c>
      <c r="AI39" s="143" t="s">
        <v>300</v>
      </c>
      <c r="AJ39" s="418" t="s">
        <v>301</v>
      </c>
      <c r="AK39" s="418" t="s">
        <v>302</v>
      </c>
      <c r="AL39" s="418" t="s">
        <v>303</v>
      </c>
      <c r="AM39" s="418" t="s">
        <v>304</v>
      </c>
      <c r="AO39" s="1075"/>
      <c r="AP39" s="418" t="s">
        <v>291</v>
      </c>
      <c r="AQ39" s="418" t="s">
        <v>292</v>
      </c>
      <c r="AR39" s="418" t="s">
        <v>291</v>
      </c>
      <c r="AS39" s="418" t="s">
        <v>292</v>
      </c>
      <c r="AT39" s="418" t="s">
        <v>291</v>
      </c>
      <c r="AU39" s="418" t="s">
        <v>292</v>
      </c>
      <c r="AV39" s="418" t="s">
        <v>291</v>
      </c>
      <c r="AW39" s="418" t="s">
        <v>292</v>
      </c>
      <c r="AX39" s="418" t="s">
        <v>291</v>
      </c>
      <c r="AY39" s="418" t="s">
        <v>292</v>
      </c>
      <c r="AZ39" s="418" t="s">
        <v>291</v>
      </c>
      <c r="BA39" s="418" t="s">
        <v>292</v>
      </c>
      <c r="BB39" s="418" t="s">
        <v>291</v>
      </c>
      <c r="BC39" s="418" t="s">
        <v>292</v>
      </c>
      <c r="BD39" s="418" t="s">
        <v>291</v>
      </c>
      <c r="BE39" s="418" t="s">
        <v>292</v>
      </c>
      <c r="BF39" s="418" t="s">
        <v>291</v>
      </c>
      <c r="BG39" s="418" t="s">
        <v>292</v>
      </c>
      <c r="BH39" s="418" t="s">
        <v>291</v>
      </c>
      <c r="BI39" s="418" t="s">
        <v>292</v>
      </c>
      <c r="BJ39" s="418" t="s">
        <v>291</v>
      </c>
      <c r="BK39" s="418" t="s">
        <v>292</v>
      </c>
      <c r="BL39" s="418" t="s">
        <v>291</v>
      </c>
      <c r="BM39" s="418" t="s">
        <v>292</v>
      </c>
      <c r="BN39" s="418" t="s">
        <v>291</v>
      </c>
      <c r="BO39" s="418" t="s">
        <v>292</v>
      </c>
      <c r="BP39" s="173" t="s">
        <v>293</v>
      </c>
      <c r="BQ39" s="173" t="s">
        <v>294</v>
      </c>
      <c r="BR39" s="173" t="s">
        <v>295</v>
      </c>
      <c r="BS39" s="173" t="s">
        <v>296</v>
      </c>
      <c r="BT39" s="174" t="s">
        <v>297</v>
      </c>
      <c r="BU39" s="173" t="s">
        <v>298</v>
      </c>
      <c r="BV39" s="418" t="s">
        <v>299</v>
      </c>
      <c r="BW39" s="143" t="s">
        <v>300</v>
      </c>
      <c r="BX39" s="418" t="s">
        <v>301</v>
      </c>
      <c r="BY39" s="418" t="s">
        <v>302</v>
      </c>
      <c r="BZ39" s="418" t="s">
        <v>303</v>
      </c>
      <c r="CA39" s="418" t="s">
        <v>304</v>
      </c>
    </row>
    <row r="40" spans="1:84">
      <c r="A40" s="144" t="s">
        <v>305</v>
      </c>
      <c r="B40" s="144">
        <v>0</v>
      </c>
      <c r="C40" s="398">
        <v>20050667</v>
      </c>
      <c r="D40" s="144">
        <v>0</v>
      </c>
      <c r="E40" s="398">
        <v>54590000</v>
      </c>
      <c r="F40" s="144">
        <v>1.0400000000000003E-2</v>
      </c>
      <c r="G40" s="398">
        <v>54590000</v>
      </c>
      <c r="H40" s="144">
        <v>2.0000000000000004E-2</v>
      </c>
      <c r="I40" s="398">
        <v>54590000</v>
      </c>
      <c r="J40" s="144">
        <v>2.0000000000000004E-2</v>
      </c>
      <c r="K40" s="398">
        <v>54590000</v>
      </c>
      <c r="L40" s="144">
        <v>2.0000000000000004E-2</v>
      </c>
      <c r="M40" s="398">
        <v>54590000</v>
      </c>
      <c r="N40" s="144">
        <v>2.0000000000000004E-2</v>
      </c>
      <c r="O40" s="397">
        <v>54590000</v>
      </c>
      <c r="P40" s="144">
        <v>2.0000000000000004E-2</v>
      </c>
      <c r="Q40" s="397">
        <v>54590000</v>
      </c>
      <c r="R40" s="144">
        <v>2.0000000000000004E-2</v>
      </c>
      <c r="S40" s="397">
        <v>54590000</v>
      </c>
      <c r="T40" s="144">
        <v>2.0000000000000004E-2</v>
      </c>
      <c r="U40" s="397">
        <v>54590000</v>
      </c>
      <c r="V40" s="144">
        <v>2.0000000000000004E-2</v>
      </c>
      <c r="W40" s="397">
        <v>54590000</v>
      </c>
      <c r="X40" s="144">
        <v>2.0000000000000004E-2</v>
      </c>
      <c r="Y40" s="397">
        <v>34539333</v>
      </c>
      <c r="Z40" s="420">
        <f>B40+D40+F40+H40+J40+L40+N40+P40+R40+T40+V40+X40</f>
        <v>0.19040000000000007</v>
      </c>
      <c r="AA40" s="152">
        <f t="shared" ref="Z40:AA60" si="17">C40+E40+G40+I40+K40+M40+O40+Q40+S40+U40+W40+Y40</f>
        <v>600490000</v>
      </c>
      <c r="AB40" s="147"/>
      <c r="AC40" s="147"/>
      <c r="AD40" s="147"/>
      <c r="AE40" s="147"/>
      <c r="AF40" s="147"/>
      <c r="AG40" s="147"/>
      <c r="AH40" s="147"/>
      <c r="AI40" s="147"/>
      <c r="AJ40" s="147"/>
      <c r="AK40" s="147"/>
      <c r="AL40" s="147"/>
      <c r="AM40" s="148"/>
      <c r="AO40" s="144" t="s">
        <v>305</v>
      </c>
      <c r="AP40" s="421">
        <f>'Meta 3'!D35</f>
        <v>0</v>
      </c>
      <c r="AQ40" s="398">
        <v>0</v>
      </c>
      <c r="AR40" s="421">
        <f>'Meta 3'!E35</f>
        <v>1.0480000000000003E-2</v>
      </c>
      <c r="AS40" s="398">
        <v>19535667</v>
      </c>
      <c r="AT40" s="421">
        <f>'Meta 3'!F35</f>
        <v>1.9440000000000006E-2</v>
      </c>
      <c r="AU40" s="398">
        <v>54590000</v>
      </c>
      <c r="AV40" s="421">
        <f>'Meta 3'!G35</f>
        <v>1.7280000000000007E-2</v>
      </c>
      <c r="AW40" s="398">
        <v>54590000</v>
      </c>
      <c r="AX40" s="421">
        <v>0</v>
      </c>
      <c r="AY40" s="144"/>
      <c r="AZ40" s="421">
        <v>0</v>
      </c>
      <c r="BA40" s="144"/>
      <c r="BB40" s="421">
        <v>0</v>
      </c>
      <c r="BC40" s="145"/>
      <c r="BD40" s="421">
        <v>0</v>
      </c>
      <c r="BE40" s="145"/>
      <c r="BF40" s="421">
        <v>0</v>
      </c>
      <c r="BG40" s="145"/>
      <c r="BH40" s="421">
        <v>0</v>
      </c>
      <c r="BI40" s="145"/>
      <c r="BJ40" s="421">
        <v>0</v>
      </c>
      <c r="BK40" s="145"/>
      <c r="BL40" s="421">
        <v>0</v>
      </c>
      <c r="BM40" s="145"/>
      <c r="BN40" s="422">
        <f>AP40+AR40+AT40+AV40+AX40+AZ40+BB40+BD40+BF40+BH40+BJ40+BL40</f>
        <v>4.720000000000002E-2</v>
      </c>
      <c r="BO40" s="152">
        <f>AQ40+AS40+AU40+AW40+AY40+BA40+BC40+BE40+BG40+BI40+BK40+BM40</f>
        <v>128715667</v>
      </c>
      <c r="BP40" s="175"/>
      <c r="BQ40" s="175"/>
      <c r="BR40" s="175"/>
      <c r="BS40" s="175"/>
      <c r="BT40" s="147"/>
      <c r="BU40" s="147"/>
      <c r="BV40" s="147"/>
      <c r="BW40" s="147"/>
      <c r="BX40" s="147"/>
      <c r="BY40" s="147"/>
      <c r="BZ40" s="147"/>
      <c r="CA40" s="148"/>
    </row>
    <row r="41" spans="1:84">
      <c r="A41" s="144" t="s">
        <v>306</v>
      </c>
      <c r="B41" s="144"/>
      <c r="D41" s="144"/>
      <c r="F41" s="144"/>
      <c r="H41" s="144"/>
      <c r="J41" s="144"/>
      <c r="L41" s="144"/>
      <c r="N41" s="144"/>
      <c r="P41" s="145"/>
      <c r="R41" s="145"/>
      <c r="T41" s="145"/>
      <c r="V41" s="145"/>
      <c r="X41" s="145"/>
      <c r="Z41" s="176">
        <f t="shared" si="17"/>
        <v>0</v>
      </c>
      <c r="AA41" s="152">
        <f t="shared" si="17"/>
        <v>0</v>
      </c>
      <c r="AB41" s="147"/>
      <c r="AC41" s="147"/>
      <c r="AD41" s="147"/>
      <c r="AE41" s="147"/>
      <c r="AF41" s="147"/>
      <c r="AG41" s="147"/>
      <c r="AH41" s="147"/>
      <c r="AI41" s="147"/>
      <c r="AJ41" s="147"/>
      <c r="AK41" s="147"/>
      <c r="AL41" s="147"/>
      <c r="AM41" s="147"/>
      <c r="AO41" s="144" t="s">
        <v>306</v>
      </c>
      <c r="AP41" s="144"/>
      <c r="AQ41" s="144"/>
      <c r="AR41" s="144"/>
      <c r="AS41" s="144"/>
      <c r="AT41" s="144"/>
      <c r="AU41" s="398"/>
      <c r="AV41" s="144"/>
      <c r="AW41" s="144"/>
      <c r="AX41" s="144"/>
      <c r="AY41" s="144"/>
      <c r="AZ41" s="144"/>
      <c r="BA41" s="144"/>
      <c r="BB41" s="144"/>
      <c r="BC41" s="145"/>
      <c r="BD41" s="145"/>
      <c r="BE41" s="145"/>
      <c r="BF41" s="145"/>
      <c r="BG41" s="145"/>
      <c r="BH41" s="145"/>
      <c r="BI41" s="145"/>
      <c r="BJ41" s="145"/>
      <c r="BK41" s="145"/>
      <c r="BL41" s="145"/>
      <c r="BM41" s="145"/>
      <c r="BN41" s="176">
        <f t="shared" ref="BN41:BO60" si="18">AP41+AR41+AT41+AV41+AX41+AZ41+BB41+BD41+BF41+BH41+BJ41+BL41</f>
        <v>0</v>
      </c>
      <c r="BO41" s="152">
        <f t="shared" si="18"/>
        <v>0</v>
      </c>
      <c r="BP41" s="175"/>
      <c r="BQ41" s="175"/>
      <c r="BR41" s="175"/>
      <c r="BS41" s="175"/>
      <c r="BT41" s="147"/>
      <c r="BU41" s="147"/>
      <c r="BV41" s="147"/>
      <c r="BW41" s="147"/>
      <c r="BX41" s="147"/>
      <c r="BY41" s="147"/>
      <c r="BZ41" s="147"/>
      <c r="CA41" s="147"/>
    </row>
    <row r="42" spans="1:84">
      <c r="A42" s="144" t="s">
        <v>307</v>
      </c>
      <c r="B42" s="144"/>
      <c r="C42" s="144"/>
      <c r="D42" s="144"/>
      <c r="E42" s="144"/>
      <c r="F42" s="144"/>
      <c r="G42" s="144"/>
      <c r="H42" s="144"/>
      <c r="I42" s="144"/>
      <c r="J42" s="144"/>
      <c r="K42" s="144"/>
      <c r="L42" s="144"/>
      <c r="M42" s="144"/>
      <c r="N42" s="144"/>
      <c r="O42" s="145"/>
      <c r="P42" s="145"/>
      <c r="Q42" s="145"/>
      <c r="R42" s="145"/>
      <c r="S42" s="145"/>
      <c r="T42" s="145"/>
      <c r="U42" s="145"/>
      <c r="V42" s="145"/>
      <c r="W42" s="145"/>
      <c r="X42" s="145"/>
      <c r="Y42" s="145"/>
      <c r="Z42" s="176">
        <f t="shared" si="17"/>
        <v>0</v>
      </c>
      <c r="AA42" s="152">
        <f t="shared" si="17"/>
        <v>0</v>
      </c>
      <c r="AB42" s="147"/>
      <c r="AC42" s="147"/>
      <c r="AD42" s="147"/>
      <c r="AE42" s="147"/>
      <c r="AF42" s="147"/>
      <c r="AG42" s="147"/>
      <c r="AH42" s="147"/>
      <c r="AI42" s="147"/>
      <c r="AJ42" s="147"/>
      <c r="AK42" s="147"/>
      <c r="AL42" s="147"/>
      <c r="AM42" s="147"/>
      <c r="AO42" s="144" t="s">
        <v>307</v>
      </c>
      <c r="AP42" s="144"/>
      <c r="AQ42" s="144"/>
      <c r="AR42" s="144"/>
      <c r="AS42" s="144"/>
      <c r="AT42" s="144"/>
      <c r="AU42" s="144"/>
      <c r="AV42" s="144"/>
      <c r="AW42" s="144"/>
      <c r="AX42" s="144"/>
      <c r="AY42" s="144"/>
      <c r="AZ42" s="144"/>
      <c r="BA42" s="144"/>
      <c r="BB42" s="144"/>
      <c r="BC42" s="145"/>
      <c r="BD42" s="145"/>
      <c r="BE42" s="145"/>
      <c r="BF42" s="145"/>
      <c r="BG42" s="145"/>
      <c r="BH42" s="145"/>
      <c r="BI42" s="145"/>
      <c r="BJ42" s="145"/>
      <c r="BK42" s="145"/>
      <c r="BL42" s="145"/>
      <c r="BM42" s="145"/>
      <c r="BN42" s="176">
        <f t="shared" si="18"/>
        <v>0</v>
      </c>
      <c r="BO42" s="152">
        <f t="shared" si="18"/>
        <v>0</v>
      </c>
      <c r="BP42" s="175"/>
      <c r="BQ42" s="175"/>
      <c r="BR42" s="175"/>
      <c r="BS42" s="175"/>
      <c r="BT42" s="147"/>
      <c r="BU42" s="147"/>
      <c r="BV42" s="147"/>
      <c r="BW42" s="147"/>
      <c r="BX42" s="147"/>
      <c r="BY42" s="147"/>
      <c r="BZ42" s="147"/>
      <c r="CA42" s="147"/>
    </row>
    <row r="43" spans="1:84">
      <c r="A43" s="144" t="s">
        <v>308</v>
      </c>
      <c r="B43" s="144"/>
      <c r="C43" s="144"/>
      <c r="D43" s="144"/>
      <c r="E43" s="144"/>
      <c r="F43" s="144"/>
      <c r="G43" s="144"/>
      <c r="H43" s="144"/>
      <c r="I43" s="144"/>
      <c r="J43" s="144"/>
      <c r="K43" s="144"/>
      <c r="L43" s="144"/>
      <c r="M43" s="144"/>
      <c r="N43" s="144"/>
      <c r="O43" s="145"/>
      <c r="P43" s="145"/>
      <c r="Q43" s="145"/>
      <c r="R43" s="145"/>
      <c r="S43" s="145"/>
      <c r="T43" s="145"/>
      <c r="U43" s="145"/>
      <c r="V43" s="145"/>
      <c r="W43" s="145"/>
      <c r="X43" s="145"/>
      <c r="Y43" s="145"/>
      <c r="Z43" s="176">
        <f t="shared" si="17"/>
        <v>0</v>
      </c>
      <c r="AA43" s="152">
        <f t="shared" si="17"/>
        <v>0</v>
      </c>
      <c r="AB43" s="147"/>
      <c r="AC43" s="147"/>
      <c r="AD43" s="147"/>
      <c r="AE43" s="147"/>
      <c r="AF43" s="147"/>
      <c r="AG43" s="147"/>
      <c r="AH43" s="147"/>
      <c r="AI43" s="147"/>
      <c r="AJ43" s="147"/>
      <c r="AK43" s="147"/>
      <c r="AL43" s="147"/>
      <c r="AM43" s="147"/>
      <c r="AO43" s="144" t="s">
        <v>308</v>
      </c>
      <c r="AP43" s="144"/>
      <c r="AQ43" s="144"/>
      <c r="AR43" s="144"/>
      <c r="AS43" s="144"/>
      <c r="AT43" s="144"/>
      <c r="AU43" s="144"/>
      <c r="AV43" s="144"/>
      <c r="AW43" s="144"/>
      <c r="AX43" s="144"/>
      <c r="AY43" s="144"/>
      <c r="AZ43" s="144"/>
      <c r="BA43" s="144"/>
      <c r="BB43" s="144"/>
      <c r="BC43" s="145"/>
      <c r="BD43" s="145"/>
      <c r="BE43" s="145"/>
      <c r="BF43" s="145"/>
      <c r="BG43" s="145"/>
      <c r="BH43" s="145"/>
      <c r="BI43" s="145"/>
      <c r="BJ43" s="145"/>
      <c r="BK43" s="145"/>
      <c r="BL43" s="145"/>
      <c r="BM43" s="145"/>
      <c r="BN43" s="176">
        <f t="shared" si="18"/>
        <v>0</v>
      </c>
      <c r="BO43" s="152">
        <f t="shared" si="18"/>
        <v>0</v>
      </c>
      <c r="BP43" s="175"/>
      <c r="BQ43" s="175"/>
      <c r="BR43" s="175"/>
      <c r="BS43" s="175"/>
      <c r="BT43" s="147"/>
      <c r="BU43" s="147"/>
      <c r="BV43" s="147"/>
      <c r="BW43" s="147"/>
      <c r="BX43" s="147"/>
      <c r="BY43" s="147"/>
      <c r="BZ43" s="147"/>
      <c r="CA43" s="147"/>
    </row>
    <row r="44" spans="1:84">
      <c r="A44" s="144" t="s">
        <v>309</v>
      </c>
      <c r="B44" s="144"/>
      <c r="C44" s="144"/>
      <c r="D44" s="144"/>
      <c r="E44" s="144"/>
      <c r="F44" s="144"/>
      <c r="G44" s="144"/>
      <c r="H44" s="144"/>
      <c r="I44" s="144"/>
      <c r="J44" s="144"/>
      <c r="K44" s="144"/>
      <c r="L44" s="144"/>
      <c r="M44" s="144"/>
      <c r="N44" s="144"/>
      <c r="O44" s="145"/>
      <c r="P44" s="145"/>
      <c r="Q44" s="145"/>
      <c r="R44" s="145"/>
      <c r="S44" s="145"/>
      <c r="T44" s="145"/>
      <c r="U44" s="145"/>
      <c r="V44" s="145"/>
      <c r="W44" s="145"/>
      <c r="X44" s="145"/>
      <c r="Y44" s="145"/>
      <c r="Z44" s="176">
        <f t="shared" si="17"/>
        <v>0</v>
      </c>
      <c r="AA44" s="152">
        <f t="shared" si="17"/>
        <v>0</v>
      </c>
      <c r="AB44" s="147"/>
      <c r="AC44" s="147"/>
      <c r="AD44" s="147"/>
      <c r="AE44" s="147"/>
      <c r="AF44" s="147"/>
      <c r="AG44" s="147"/>
      <c r="AH44" s="147"/>
      <c r="AI44" s="147"/>
      <c r="AJ44" s="147"/>
      <c r="AK44" s="147"/>
      <c r="AL44" s="147"/>
      <c r="AM44" s="147"/>
      <c r="AO44" s="144" t="s">
        <v>309</v>
      </c>
      <c r="AP44" s="144"/>
      <c r="AQ44" s="144"/>
      <c r="AR44" s="144"/>
      <c r="AS44" s="144"/>
      <c r="AT44" s="144"/>
      <c r="AU44" s="144"/>
      <c r="AV44" s="144"/>
      <c r="AW44" s="144"/>
      <c r="AX44" s="144"/>
      <c r="AY44" s="144"/>
      <c r="AZ44" s="144"/>
      <c r="BA44" s="144"/>
      <c r="BB44" s="144"/>
      <c r="BC44" s="145"/>
      <c r="BD44" s="145"/>
      <c r="BE44" s="145"/>
      <c r="BF44" s="145"/>
      <c r="BG44" s="145"/>
      <c r="BH44" s="145"/>
      <c r="BI44" s="145"/>
      <c r="BJ44" s="145"/>
      <c r="BK44" s="145"/>
      <c r="BL44" s="145"/>
      <c r="BM44" s="145"/>
      <c r="BN44" s="176">
        <f t="shared" si="18"/>
        <v>0</v>
      </c>
      <c r="BO44" s="152">
        <f t="shared" si="18"/>
        <v>0</v>
      </c>
      <c r="BP44" s="175"/>
      <c r="BQ44" s="175"/>
      <c r="BR44" s="175"/>
      <c r="BS44" s="175"/>
      <c r="BT44" s="147"/>
      <c r="BU44" s="147"/>
      <c r="BV44" s="147"/>
      <c r="BW44" s="147"/>
      <c r="BX44" s="147"/>
      <c r="BY44" s="147"/>
      <c r="BZ44" s="147"/>
      <c r="CA44" s="147"/>
    </row>
    <row r="45" spans="1:84">
      <c r="A45" s="144" t="s">
        <v>310</v>
      </c>
      <c r="B45" s="144"/>
      <c r="C45" s="144"/>
      <c r="D45" s="144"/>
      <c r="E45" s="144"/>
      <c r="F45" s="144"/>
      <c r="G45" s="144"/>
      <c r="H45" s="144"/>
      <c r="I45" s="144"/>
      <c r="J45" s="144"/>
      <c r="K45" s="144"/>
      <c r="L45" s="144"/>
      <c r="M45" s="144"/>
      <c r="N45" s="144"/>
      <c r="O45" s="145"/>
      <c r="P45" s="145"/>
      <c r="Q45" s="145"/>
      <c r="R45" s="145"/>
      <c r="S45" s="145"/>
      <c r="T45" s="145"/>
      <c r="U45" s="145"/>
      <c r="V45" s="145"/>
      <c r="W45" s="145"/>
      <c r="X45" s="145"/>
      <c r="Y45" s="145"/>
      <c r="Z45" s="176">
        <f t="shared" si="17"/>
        <v>0</v>
      </c>
      <c r="AA45" s="152">
        <f t="shared" si="17"/>
        <v>0</v>
      </c>
      <c r="AB45" s="147"/>
      <c r="AC45" s="147"/>
      <c r="AD45" s="147"/>
      <c r="AE45" s="147"/>
      <c r="AF45" s="147"/>
      <c r="AG45" s="147"/>
      <c r="AH45" s="147"/>
      <c r="AI45" s="147"/>
      <c r="AJ45" s="147"/>
      <c r="AK45" s="147"/>
      <c r="AL45" s="147"/>
      <c r="AM45" s="147"/>
      <c r="AO45" s="144" t="s">
        <v>310</v>
      </c>
      <c r="AP45" s="144"/>
      <c r="AQ45" s="144"/>
      <c r="AR45" s="144"/>
      <c r="AS45" s="144"/>
      <c r="AT45" s="144"/>
      <c r="AU45" s="144"/>
      <c r="AV45" s="144"/>
      <c r="AW45" s="144"/>
      <c r="AX45" s="144"/>
      <c r="AY45" s="144"/>
      <c r="AZ45" s="144"/>
      <c r="BA45" s="144"/>
      <c r="BB45" s="144"/>
      <c r="BC45" s="145"/>
      <c r="BD45" s="145"/>
      <c r="BE45" s="145"/>
      <c r="BF45" s="145"/>
      <c r="BG45" s="145"/>
      <c r="BH45" s="145"/>
      <c r="BI45" s="145"/>
      <c r="BJ45" s="145"/>
      <c r="BK45" s="145"/>
      <c r="BL45" s="145"/>
      <c r="BM45" s="145"/>
      <c r="BN45" s="176">
        <f t="shared" si="18"/>
        <v>0</v>
      </c>
      <c r="BO45" s="152">
        <f t="shared" si="18"/>
        <v>0</v>
      </c>
      <c r="BP45" s="175"/>
      <c r="BQ45" s="175"/>
      <c r="BR45" s="175"/>
      <c r="BS45" s="175"/>
      <c r="BT45" s="147"/>
      <c r="BU45" s="147"/>
      <c r="BV45" s="147"/>
      <c r="BW45" s="147"/>
      <c r="BX45" s="147"/>
      <c r="BY45" s="147"/>
      <c r="BZ45" s="147"/>
      <c r="CA45" s="147"/>
    </row>
    <row r="46" spans="1:84">
      <c r="A46" s="144" t="s">
        <v>311</v>
      </c>
      <c r="B46" s="144"/>
      <c r="C46" s="144"/>
      <c r="D46" s="144"/>
      <c r="E46" s="144"/>
      <c r="F46" s="144"/>
      <c r="G46" s="144"/>
      <c r="H46" s="144"/>
      <c r="I46" s="144"/>
      <c r="J46" s="144"/>
      <c r="K46" s="144"/>
      <c r="L46" s="144"/>
      <c r="M46" s="144"/>
      <c r="N46" s="144"/>
      <c r="O46" s="145"/>
      <c r="P46" s="145"/>
      <c r="Q46" s="145"/>
      <c r="R46" s="145"/>
      <c r="S46" s="145"/>
      <c r="T46" s="145"/>
      <c r="U46" s="145"/>
      <c r="V46" s="145"/>
      <c r="W46" s="145"/>
      <c r="X46" s="145"/>
      <c r="Y46" s="145"/>
      <c r="Z46" s="176">
        <f t="shared" si="17"/>
        <v>0</v>
      </c>
      <c r="AA46" s="152">
        <f t="shared" si="17"/>
        <v>0</v>
      </c>
      <c r="AB46" s="147"/>
      <c r="AC46" s="147"/>
      <c r="AD46" s="147"/>
      <c r="AE46" s="147"/>
      <c r="AF46" s="147"/>
      <c r="AG46" s="147"/>
      <c r="AH46" s="147"/>
      <c r="AI46" s="147"/>
      <c r="AJ46" s="147"/>
      <c r="AK46" s="147"/>
      <c r="AL46" s="147"/>
      <c r="AM46" s="147"/>
      <c r="AO46" s="144" t="s">
        <v>311</v>
      </c>
      <c r="AP46" s="144"/>
      <c r="AQ46" s="144"/>
      <c r="AR46" s="144"/>
      <c r="AS46" s="144"/>
      <c r="AT46" s="144"/>
      <c r="AU46" s="144"/>
      <c r="AV46" s="144"/>
      <c r="AW46" s="144"/>
      <c r="AX46" s="144"/>
      <c r="AY46" s="144"/>
      <c r="AZ46" s="144"/>
      <c r="BA46" s="144"/>
      <c r="BB46" s="144"/>
      <c r="BC46" s="145"/>
      <c r="BD46" s="145"/>
      <c r="BE46" s="145"/>
      <c r="BF46" s="145"/>
      <c r="BG46" s="145"/>
      <c r="BH46" s="145"/>
      <c r="BI46" s="145"/>
      <c r="BJ46" s="145"/>
      <c r="BK46" s="145"/>
      <c r="BL46" s="145"/>
      <c r="BM46" s="145"/>
      <c r="BN46" s="176">
        <f t="shared" si="18"/>
        <v>0</v>
      </c>
      <c r="BO46" s="152">
        <f t="shared" si="18"/>
        <v>0</v>
      </c>
      <c r="BP46" s="175"/>
      <c r="BQ46" s="175"/>
      <c r="BR46" s="175"/>
      <c r="BS46" s="175"/>
      <c r="BT46" s="147"/>
      <c r="BU46" s="147"/>
      <c r="BV46" s="147"/>
      <c r="BW46" s="147"/>
      <c r="BX46" s="147"/>
      <c r="BY46" s="147"/>
      <c r="BZ46" s="147"/>
      <c r="CA46" s="147"/>
    </row>
    <row r="47" spans="1:84">
      <c r="A47" s="144" t="s">
        <v>312</v>
      </c>
      <c r="B47" s="144"/>
      <c r="C47" s="144"/>
      <c r="D47" s="144"/>
      <c r="E47" s="144"/>
      <c r="F47" s="144"/>
      <c r="G47" s="144"/>
      <c r="H47" s="144"/>
      <c r="I47" s="144"/>
      <c r="J47" s="144"/>
      <c r="K47" s="144"/>
      <c r="L47" s="144"/>
      <c r="M47" s="144"/>
      <c r="N47" s="144"/>
      <c r="O47" s="145"/>
      <c r="P47" s="145"/>
      <c r="Q47" s="145"/>
      <c r="R47" s="145"/>
      <c r="S47" s="145"/>
      <c r="T47" s="145"/>
      <c r="U47" s="145"/>
      <c r="V47" s="145"/>
      <c r="W47" s="145"/>
      <c r="X47" s="145"/>
      <c r="Y47" s="145"/>
      <c r="Z47" s="176">
        <f t="shared" si="17"/>
        <v>0</v>
      </c>
      <c r="AA47" s="152">
        <f t="shared" si="17"/>
        <v>0</v>
      </c>
      <c r="AB47" s="147"/>
      <c r="AC47" s="147"/>
      <c r="AD47" s="147"/>
      <c r="AE47" s="147"/>
      <c r="AF47" s="147"/>
      <c r="AG47" s="147"/>
      <c r="AH47" s="147"/>
      <c r="AI47" s="147"/>
      <c r="AJ47" s="147"/>
      <c r="AK47" s="147"/>
      <c r="AL47" s="147"/>
      <c r="AM47" s="147"/>
      <c r="AO47" s="144" t="s">
        <v>312</v>
      </c>
      <c r="AP47" s="144"/>
      <c r="AQ47" s="144"/>
      <c r="AR47" s="144"/>
      <c r="AS47" s="144"/>
      <c r="AT47" s="144"/>
      <c r="AU47" s="144"/>
      <c r="AV47" s="144"/>
      <c r="AW47" s="144"/>
      <c r="AX47" s="144"/>
      <c r="AY47" s="144"/>
      <c r="AZ47" s="144"/>
      <c r="BA47" s="144"/>
      <c r="BB47" s="144"/>
      <c r="BC47" s="145"/>
      <c r="BD47" s="145"/>
      <c r="BE47" s="145"/>
      <c r="BF47" s="145"/>
      <c r="BG47" s="145"/>
      <c r="BH47" s="145"/>
      <c r="BI47" s="145"/>
      <c r="BJ47" s="145"/>
      <c r="BK47" s="145"/>
      <c r="BL47" s="145"/>
      <c r="BM47" s="145"/>
      <c r="BN47" s="176">
        <f t="shared" si="18"/>
        <v>0</v>
      </c>
      <c r="BO47" s="152">
        <f t="shared" si="18"/>
        <v>0</v>
      </c>
      <c r="BP47" s="175"/>
      <c r="BQ47" s="175"/>
      <c r="BR47" s="175"/>
      <c r="BS47" s="175"/>
      <c r="BT47" s="147"/>
      <c r="BU47" s="147"/>
      <c r="BV47" s="147"/>
      <c r="BW47" s="147"/>
      <c r="BX47" s="147"/>
      <c r="BY47" s="147"/>
      <c r="BZ47" s="147"/>
      <c r="CA47" s="147"/>
    </row>
    <row r="48" spans="1:84">
      <c r="A48" s="144" t="s">
        <v>313</v>
      </c>
      <c r="B48" s="144"/>
      <c r="C48" s="144"/>
      <c r="D48" s="144"/>
      <c r="E48" s="144"/>
      <c r="F48" s="144"/>
      <c r="G48" s="144"/>
      <c r="H48" s="144"/>
      <c r="I48" s="144"/>
      <c r="J48" s="144"/>
      <c r="K48" s="144"/>
      <c r="L48" s="144"/>
      <c r="M48" s="144"/>
      <c r="N48" s="144"/>
      <c r="O48" s="145"/>
      <c r="P48" s="145"/>
      <c r="Q48" s="145"/>
      <c r="R48" s="145"/>
      <c r="S48" s="145"/>
      <c r="T48" s="145"/>
      <c r="U48" s="145"/>
      <c r="V48" s="145"/>
      <c r="W48" s="145"/>
      <c r="X48" s="145"/>
      <c r="Y48" s="145"/>
      <c r="Z48" s="176">
        <f t="shared" si="17"/>
        <v>0</v>
      </c>
      <c r="AA48" s="152">
        <f t="shared" si="17"/>
        <v>0</v>
      </c>
      <c r="AB48" s="147"/>
      <c r="AC48" s="147"/>
      <c r="AD48" s="147"/>
      <c r="AE48" s="147"/>
      <c r="AF48" s="147"/>
      <c r="AG48" s="147"/>
      <c r="AH48" s="147"/>
      <c r="AI48" s="147"/>
      <c r="AJ48" s="147"/>
      <c r="AK48" s="147"/>
      <c r="AL48" s="147"/>
      <c r="AM48" s="147"/>
      <c r="AO48" s="144" t="s">
        <v>313</v>
      </c>
      <c r="AP48" s="144"/>
      <c r="AQ48" s="144"/>
      <c r="AR48" s="144"/>
      <c r="AS48" s="144"/>
      <c r="AT48" s="144"/>
      <c r="AU48" s="144"/>
      <c r="AV48" s="144"/>
      <c r="AW48" s="144"/>
      <c r="AX48" s="144"/>
      <c r="AY48" s="144"/>
      <c r="AZ48" s="144"/>
      <c r="BA48" s="144"/>
      <c r="BB48" s="144"/>
      <c r="BC48" s="145"/>
      <c r="BD48" s="145"/>
      <c r="BE48" s="145"/>
      <c r="BF48" s="145"/>
      <c r="BG48" s="145"/>
      <c r="BH48" s="145"/>
      <c r="BI48" s="145"/>
      <c r="BJ48" s="145"/>
      <c r="BK48" s="145"/>
      <c r="BL48" s="145"/>
      <c r="BM48" s="145"/>
      <c r="BN48" s="176">
        <f t="shared" si="18"/>
        <v>0</v>
      </c>
      <c r="BO48" s="152">
        <f t="shared" si="18"/>
        <v>0</v>
      </c>
      <c r="BP48" s="175"/>
      <c r="BQ48" s="175"/>
      <c r="BR48" s="175"/>
      <c r="BS48" s="175"/>
      <c r="BT48" s="147"/>
      <c r="BU48" s="147"/>
      <c r="BV48" s="147"/>
      <c r="BW48" s="147"/>
      <c r="BX48" s="147"/>
      <c r="BY48" s="147"/>
      <c r="BZ48" s="147"/>
      <c r="CA48" s="147"/>
    </row>
    <row r="49" spans="1:79">
      <c r="A49" s="144" t="s">
        <v>314</v>
      </c>
      <c r="B49" s="144"/>
      <c r="C49" s="144"/>
      <c r="D49" s="144"/>
      <c r="E49" s="144"/>
      <c r="F49" s="144"/>
      <c r="G49" s="144"/>
      <c r="H49" s="144"/>
      <c r="I49" s="144"/>
      <c r="J49" s="144"/>
      <c r="K49" s="144"/>
      <c r="L49" s="144"/>
      <c r="M49" s="144"/>
      <c r="N49" s="144"/>
      <c r="O49" s="145"/>
      <c r="P49" s="145"/>
      <c r="Q49" s="145"/>
      <c r="R49" s="145"/>
      <c r="S49" s="145"/>
      <c r="T49" s="145"/>
      <c r="U49" s="145"/>
      <c r="V49" s="145"/>
      <c r="W49" s="145"/>
      <c r="X49" s="145"/>
      <c r="Y49" s="145"/>
      <c r="Z49" s="176">
        <f t="shared" si="17"/>
        <v>0</v>
      </c>
      <c r="AA49" s="152">
        <f t="shared" si="17"/>
        <v>0</v>
      </c>
      <c r="AB49" s="147"/>
      <c r="AC49" s="147"/>
      <c r="AD49" s="147"/>
      <c r="AE49" s="147"/>
      <c r="AF49" s="147"/>
      <c r="AG49" s="147"/>
      <c r="AH49" s="147"/>
      <c r="AI49" s="147"/>
      <c r="AJ49" s="147"/>
      <c r="AK49" s="147"/>
      <c r="AL49" s="147"/>
      <c r="AM49" s="147"/>
      <c r="AO49" s="144" t="s">
        <v>314</v>
      </c>
      <c r="AP49" s="144"/>
      <c r="AQ49" s="144"/>
      <c r="AR49" s="144"/>
      <c r="AS49" s="144"/>
      <c r="AT49" s="144"/>
      <c r="AU49" s="144"/>
      <c r="AV49" s="144"/>
      <c r="AW49" s="144"/>
      <c r="AX49" s="144"/>
      <c r="AY49" s="144"/>
      <c r="AZ49" s="144"/>
      <c r="BA49" s="144"/>
      <c r="BB49" s="144"/>
      <c r="BC49" s="145"/>
      <c r="BD49" s="145"/>
      <c r="BE49" s="145"/>
      <c r="BF49" s="145"/>
      <c r="BG49" s="145"/>
      <c r="BH49" s="145"/>
      <c r="BI49" s="145"/>
      <c r="BJ49" s="145"/>
      <c r="BK49" s="145"/>
      <c r="BL49" s="145"/>
      <c r="BM49" s="145"/>
      <c r="BN49" s="176">
        <f t="shared" si="18"/>
        <v>0</v>
      </c>
      <c r="BO49" s="152">
        <f t="shared" si="18"/>
        <v>0</v>
      </c>
      <c r="BP49" s="175"/>
      <c r="BQ49" s="175"/>
      <c r="BR49" s="175"/>
      <c r="BS49" s="175"/>
      <c r="BT49" s="147"/>
      <c r="BU49" s="147"/>
      <c r="BV49" s="147"/>
      <c r="BW49" s="147"/>
      <c r="BX49" s="147"/>
      <c r="BY49" s="147"/>
      <c r="BZ49" s="147"/>
      <c r="CA49" s="147"/>
    </row>
    <row r="50" spans="1:79">
      <c r="A50" s="144" t="s">
        <v>315</v>
      </c>
      <c r="B50" s="144"/>
      <c r="C50" s="144"/>
      <c r="D50" s="144"/>
      <c r="E50" s="144"/>
      <c r="F50" s="144"/>
      <c r="G50" s="144"/>
      <c r="H50" s="144"/>
      <c r="I50" s="144"/>
      <c r="J50" s="144"/>
      <c r="K50" s="144"/>
      <c r="L50" s="144"/>
      <c r="M50" s="144"/>
      <c r="N50" s="144"/>
      <c r="O50" s="145"/>
      <c r="P50" s="145"/>
      <c r="Q50" s="145"/>
      <c r="R50" s="145"/>
      <c r="S50" s="145"/>
      <c r="T50" s="145"/>
      <c r="U50" s="145"/>
      <c r="V50" s="145"/>
      <c r="W50" s="145"/>
      <c r="X50" s="145"/>
      <c r="Y50" s="145"/>
      <c r="Z50" s="176">
        <f t="shared" si="17"/>
        <v>0</v>
      </c>
      <c r="AA50" s="152">
        <f t="shared" si="17"/>
        <v>0</v>
      </c>
      <c r="AB50" s="147"/>
      <c r="AC50" s="147"/>
      <c r="AD50" s="147"/>
      <c r="AE50" s="147"/>
      <c r="AF50" s="147"/>
      <c r="AG50" s="147"/>
      <c r="AH50" s="147"/>
      <c r="AI50" s="147"/>
      <c r="AJ50" s="147"/>
      <c r="AK50" s="147"/>
      <c r="AL50" s="147"/>
      <c r="AM50" s="147"/>
      <c r="AO50" s="144" t="s">
        <v>315</v>
      </c>
      <c r="AP50" s="144"/>
      <c r="AQ50" s="144"/>
      <c r="AR50" s="144"/>
      <c r="AS50" s="144"/>
      <c r="AT50" s="144"/>
      <c r="AU50" s="144"/>
      <c r="AV50" s="144"/>
      <c r="AW50" s="144"/>
      <c r="AX50" s="144"/>
      <c r="AY50" s="144"/>
      <c r="AZ50" s="144"/>
      <c r="BA50" s="144"/>
      <c r="BB50" s="144"/>
      <c r="BC50" s="145"/>
      <c r="BD50" s="145"/>
      <c r="BE50" s="145"/>
      <c r="BF50" s="145"/>
      <c r="BG50" s="145"/>
      <c r="BH50" s="145"/>
      <c r="BI50" s="145"/>
      <c r="BJ50" s="145"/>
      <c r="BK50" s="145"/>
      <c r="BL50" s="145"/>
      <c r="BM50" s="145"/>
      <c r="BN50" s="176">
        <f t="shared" si="18"/>
        <v>0</v>
      </c>
      <c r="BO50" s="152">
        <f t="shared" si="18"/>
        <v>0</v>
      </c>
      <c r="BP50" s="175"/>
      <c r="BQ50" s="175"/>
      <c r="BR50" s="175"/>
      <c r="BS50" s="175"/>
      <c r="BT50" s="147"/>
      <c r="BU50" s="147"/>
      <c r="BV50" s="147"/>
      <c r="BW50" s="147"/>
      <c r="BX50" s="147"/>
      <c r="BY50" s="147"/>
      <c r="BZ50" s="147"/>
      <c r="CA50" s="147"/>
    </row>
    <row r="51" spans="1:79">
      <c r="A51" s="144" t="s">
        <v>316</v>
      </c>
      <c r="B51" s="144"/>
      <c r="C51" s="144"/>
      <c r="D51" s="144"/>
      <c r="E51" s="144"/>
      <c r="F51" s="144"/>
      <c r="G51" s="144"/>
      <c r="H51" s="144"/>
      <c r="I51" s="144"/>
      <c r="J51" s="144"/>
      <c r="K51" s="144"/>
      <c r="L51" s="144"/>
      <c r="M51" s="144"/>
      <c r="N51" s="144"/>
      <c r="O51" s="145"/>
      <c r="P51" s="145"/>
      <c r="Q51" s="145"/>
      <c r="R51" s="145"/>
      <c r="S51" s="145"/>
      <c r="T51" s="145"/>
      <c r="U51" s="145"/>
      <c r="V51" s="145"/>
      <c r="W51" s="145"/>
      <c r="X51" s="145"/>
      <c r="Y51" s="145"/>
      <c r="Z51" s="176">
        <f t="shared" si="17"/>
        <v>0</v>
      </c>
      <c r="AA51" s="152">
        <f t="shared" si="17"/>
        <v>0</v>
      </c>
      <c r="AB51" s="147"/>
      <c r="AC51" s="147"/>
      <c r="AD51" s="147"/>
      <c r="AE51" s="147"/>
      <c r="AF51" s="147"/>
      <c r="AG51" s="147"/>
      <c r="AH51" s="147"/>
      <c r="AI51" s="147"/>
      <c r="AJ51" s="147"/>
      <c r="AK51" s="147"/>
      <c r="AL51" s="147"/>
      <c r="AM51" s="147"/>
      <c r="AO51" s="144" t="s">
        <v>316</v>
      </c>
      <c r="AP51" s="144"/>
      <c r="AQ51" s="144"/>
      <c r="AR51" s="144"/>
      <c r="AS51" s="144"/>
      <c r="AT51" s="144"/>
      <c r="AU51" s="144"/>
      <c r="AV51" s="144"/>
      <c r="AW51" s="144"/>
      <c r="AX51" s="144"/>
      <c r="AY51" s="144"/>
      <c r="AZ51" s="144"/>
      <c r="BA51" s="144"/>
      <c r="BB51" s="144"/>
      <c r="BC51" s="145"/>
      <c r="BD51" s="145"/>
      <c r="BE51" s="145"/>
      <c r="BF51" s="145"/>
      <c r="BG51" s="145"/>
      <c r="BH51" s="145"/>
      <c r="BI51" s="145"/>
      <c r="BJ51" s="145"/>
      <c r="BK51" s="145"/>
      <c r="BL51" s="145"/>
      <c r="BM51" s="145"/>
      <c r="BN51" s="176">
        <f t="shared" si="18"/>
        <v>0</v>
      </c>
      <c r="BO51" s="152">
        <f t="shared" si="18"/>
        <v>0</v>
      </c>
      <c r="BP51" s="175"/>
      <c r="BQ51" s="175"/>
      <c r="BR51" s="175"/>
      <c r="BS51" s="175"/>
      <c r="BT51" s="147"/>
      <c r="BU51" s="147"/>
      <c r="BV51" s="147"/>
      <c r="BW51" s="147"/>
      <c r="BX51" s="147"/>
      <c r="BY51" s="147"/>
      <c r="BZ51" s="147"/>
      <c r="CA51" s="147"/>
    </row>
    <row r="52" spans="1:79">
      <c r="A52" s="144" t="s">
        <v>317</v>
      </c>
      <c r="B52" s="144"/>
      <c r="C52" s="144"/>
      <c r="D52" s="144"/>
      <c r="E52" s="144"/>
      <c r="F52" s="144"/>
      <c r="G52" s="144"/>
      <c r="H52" s="144"/>
      <c r="I52" s="144"/>
      <c r="J52" s="144"/>
      <c r="K52" s="144"/>
      <c r="L52" s="144"/>
      <c r="M52" s="144"/>
      <c r="N52" s="144"/>
      <c r="O52" s="145"/>
      <c r="P52" s="145"/>
      <c r="Q52" s="145"/>
      <c r="R52" s="145"/>
      <c r="S52" s="145"/>
      <c r="T52" s="145"/>
      <c r="U52" s="145"/>
      <c r="V52" s="145"/>
      <c r="W52" s="145"/>
      <c r="X52" s="145"/>
      <c r="Y52" s="145"/>
      <c r="Z52" s="176">
        <f t="shared" si="17"/>
        <v>0</v>
      </c>
      <c r="AA52" s="152">
        <f t="shared" si="17"/>
        <v>0</v>
      </c>
      <c r="AB52" s="147"/>
      <c r="AC52" s="147"/>
      <c r="AD52" s="147"/>
      <c r="AE52" s="147"/>
      <c r="AF52" s="147"/>
      <c r="AG52" s="147"/>
      <c r="AH52" s="147"/>
      <c r="AI52" s="147"/>
      <c r="AJ52" s="147"/>
      <c r="AK52" s="147"/>
      <c r="AL52" s="147"/>
      <c r="AM52" s="147"/>
      <c r="AO52" s="144" t="s">
        <v>317</v>
      </c>
      <c r="AP52" s="144"/>
      <c r="AQ52" s="144"/>
      <c r="AR52" s="144"/>
      <c r="AS52" s="144"/>
      <c r="AT52" s="144"/>
      <c r="AU52" s="144"/>
      <c r="AV52" s="144"/>
      <c r="AW52" s="144"/>
      <c r="AX52" s="144"/>
      <c r="AY52" s="144"/>
      <c r="AZ52" s="144"/>
      <c r="BA52" s="144"/>
      <c r="BB52" s="144"/>
      <c r="BC52" s="145"/>
      <c r="BD52" s="145"/>
      <c r="BE52" s="145"/>
      <c r="BF52" s="145"/>
      <c r="BG52" s="145"/>
      <c r="BH52" s="145"/>
      <c r="BI52" s="145"/>
      <c r="BJ52" s="145"/>
      <c r="BK52" s="145"/>
      <c r="BL52" s="145"/>
      <c r="BM52" s="145"/>
      <c r="BN52" s="176">
        <f t="shared" si="18"/>
        <v>0</v>
      </c>
      <c r="BO52" s="152">
        <f t="shared" si="18"/>
        <v>0</v>
      </c>
      <c r="BP52" s="175"/>
      <c r="BQ52" s="175"/>
      <c r="BR52" s="175"/>
      <c r="BS52" s="175"/>
      <c r="BT52" s="147"/>
      <c r="BU52" s="147"/>
      <c r="BV52" s="147"/>
      <c r="BW52" s="147"/>
      <c r="BX52" s="147"/>
      <c r="BY52" s="147"/>
      <c r="BZ52" s="147"/>
      <c r="CA52" s="147"/>
    </row>
    <row r="53" spans="1:79">
      <c r="A53" s="144" t="s">
        <v>318</v>
      </c>
      <c r="B53" s="144"/>
      <c r="C53" s="144"/>
      <c r="D53" s="144"/>
      <c r="E53" s="144"/>
      <c r="F53" s="144"/>
      <c r="G53" s="144"/>
      <c r="H53" s="144"/>
      <c r="I53" s="144"/>
      <c r="J53" s="144"/>
      <c r="K53" s="144"/>
      <c r="L53" s="144"/>
      <c r="M53" s="144"/>
      <c r="N53" s="144"/>
      <c r="O53" s="145"/>
      <c r="P53" s="145"/>
      <c r="Q53" s="145"/>
      <c r="R53" s="145"/>
      <c r="S53" s="145"/>
      <c r="T53" s="145"/>
      <c r="U53" s="145"/>
      <c r="V53" s="145"/>
      <c r="W53" s="145"/>
      <c r="X53" s="145"/>
      <c r="Y53" s="145"/>
      <c r="Z53" s="176">
        <f t="shared" si="17"/>
        <v>0</v>
      </c>
      <c r="AA53" s="152">
        <f t="shared" si="17"/>
        <v>0</v>
      </c>
      <c r="AB53" s="147"/>
      <c r="AC53" s="147"/>
      <c r="AD53" s="147"/>
      <c r="AE53" s="147"/>
      <c r="AF53" s="147"/>
      <c r="AG53" s="147"/>
      <c r="AH53" s="147"/>
      <c r="AI53" s="147"/>
      <c r="AJ53" s="147"/>
      <c r="AK53" s="147"/>
      <c r="AL53" s="147"/>
      <c r="AM53" s="147"/>
      <c r="AO53" s="144" t="s">
        <v>318</v>
      </c>
      <c r="AP53" s="144"/>
      <c r="AQ53" s="144"/>
      <c r="AR53" s="144"/>
      <c r="AS53" s="144"/>
      <c r="AT53" s="144"/>
      <c r="AU53" s="144"/>
      <c r="AV53" s="144"/>
      <c r="AW53" s="144"/>
      <c r="AX53" s="144"/>
      <c r="AY53" s="144"/>
      <c r="AZ53" s="144"/>
      <c r="BA53" s="144"/>
      <c r="BB53" s="144"/>
      <c r="BC53" s="145"/>
      <c r="BD53" s="145"/>
      <c r="BE53" s="145"/>
      <c r="BF53" s="145"/>
      <c r="BG53" s="145"/>
      <c r="BH53" s="145"/>
      <c r="BI53" s="145"/>
      <c r="BJ53" s="145"/>
      <c r="BK53" s="145"/>
      <c r="BL53" s="145"/>
      <c r="BM53" s="145"/>
      <c r="BN53" s="176">
        <f t="shared" si="18"/>
        <v>0</v>
      </c>
      <c r="BO53" s="152">
        <f t="shared" si="18"/>
        <v>0</v>
      </c>
      <c r="BP53" s="175"/>
      <c r="BQ53" s="175"/>
      <c r="BR53" s="175"/>
      <c r="BS53" s="175"/>
      <c r="BT53" s="147"/>
      <c r="BU53" s="147"/>
      <c r="BV53" s="147"/>
      <c r="BW53" s="147"/>
      <c r="BX53" s="147"/>
      <c r="BY53" s="147"/>
      <c r="BZ53" s="147"/>
      <c r="CA53" s="147"/>
    </row>
    <row r="54" spans="1:79">
      <c r="A54" s="144" t="s">
        <v>319</v>
      </c>
      <c r="B54" s="144"/>
      <c r="C54" s="144"/>
      <c r="D54" s="144"/>
      <c r="E54" s="144"/>
      <c r="F54" s="144"/>
      <c r="G54" s="144"/>
      <c r="H54" s="144"/>
      <c r="I54" s="144"/>
      <c r="J54" s="144"/>
      <c r="K54" s="144"/>
      <c r="L54" s="144"/>
      <c r="M54" s="144"/>
      <c r="N54" s="144"/>
      <c r="O54" s="145"/>
      <c r="P54" s="145"/>
      <c r="Q54" s="145"/>
      <c r="R54" s="145"/>
      <c r="S54" s="145"/>
      <c r="T54" s="145"/>
      <c r="U54" s="145"/>
      <c r="V54" s="145"/>
      <c r="W54" s="145"/>
      <c r="X54" s="145"/>
      <c r="Y54" s="145"/>
      <c r="Z54" s="176">
        <f t="shared" si="17"/>
        <v>0</v>
      </c>
      <c r="AA54" s="152">
        <f t="shared" si="17"/>
        <v>0</v>
      </c>
      <c r="AB54" s="147"/>
      <c r="AC54" s="147"/>
      <c r="AD54" s="147"/>
      <c r="AE54" s="147"/>
      <c r="AF54" s="147"/>
      <c r="AG54" s="147"/>
      <c r="AH54" s="147"/>
      <c r="AI54" s="147"/>
      <c r="AJ54" s="147"/>
      <c r="AK54" s="147"/>
      <c r="AL54" s="147"/>
      <c r="AM54" s="147"/>
      <c r="AO54" s="144" t="s">
        <v>319</v>
      </c>
      <c r="AP54" s="144"/>
      <c r="AQ54" s="144"/>
      <c r="AR54" s="144"/>
      <c r="AS54" s="144"/>
      <c r="AT54" s="144"/>
      <c r="AU54" s="144"/>
      <c r="AV54" s="144"/>
      <c r="AW54" s="144"/>
      <c r="AX54" s="144"/>
      <c r="AY54" s="144"/>
      <c r="AZ54" s="144"/>
      <c r="BA54" s="144"/>
      <c r="BB54" s="144"/>
      <c r="BC54" s="145"/>
      <c r="BD54" s="145"/>
      <c r="BE54" s="145"/>
      <c r="BF54" s="145"/>
      <c r="BG54" s="145"/>
      <c r="BH54" s="145"/>
      <c r="BI54" s="145"/>
      <c r="BJ54" s="145"/>
      <c r="BK54" s="145"/>
      <c r="BL54" s="145"/>
      <c r="BM54" s="145"/>
      <c r="BN54" s="176">
        <f t="shared" si="18"/>
        <v>0</v>
      </c>
      <c r="BO54" s="152">
        <f t="shared" si="18"/>
        <v>0</v>
      </c>
      <c r="BP54" s="175"/>
      <c r="BQ54" s="175"/>
      <c r="BR54" s="175"/>
      <c r="BS54" s="175"/>
      <c r="BT54" s="147"/>
      <c r="BU54" s="147"/>
      <c r="BV54" s="147"/>
      <c r="BW54" s="147"/>
      <c r="BX54" s="147"/>
      <c r="BY54" s="147"/>
      <c r="BZ54" s="147"/>
      <c r="CA54" s="147"/>
    </row>
    <row r="55" spans="1:79">
      <c r="A55" s="144" t="s">
        <v>320</v>
      </c>
      <c r="B55" s="144"/>
      <c r="C55" s="144"/>
      <c r="D55" s="144"/>
      <c r="E55" s="144"/>
      <c r="F55" s="144"/>
      <c r="G55" s="144"/>
      <c r="H55" s="144"/>
      <c r="I55" s="144"/>
      <c r="J55" s="144"/>
      <c r="K55" s="144"/>
      <c r="L55" s="144"/>
      <c r="M55" s="144"/>
      <c r="N55" s="144"/>
      <c r="O55" s="145"/>
      <c r="P55" s="145"/>
      <c r="Q55" s="145"/>
      <c r="R55" s="145"/>
      <c r="S55" s="145"/>
      <c r="T55" s="145"/>
      <c r="U55" s="145"/>
      <c r="V55" s="145"/>
      <c r="W55" s="145"/>
      <c r="X55" s="145"/>
      <c r="Y55" s="145"/>
      <c r="Z55" s="176">
        <f t="shared" si="17"/>
        <v>0</v>
      </c>
      <c r="AA55" s="152">
        <f t="shared" si="17"/>
        <v>0</v>
      </c>
      <c r="AB55" s="147"/>
      <c r="AC55" s="147"/>
      <c r="AD55" s="147"/>
      <c r="AE55" s="147"/>
      <c r="AF55" s="147"/>
      <c r="AG55" s="147"/>
      <c r="AH55" s="147"/>
      <c r="AI55" s="147"/>
      <c r="AJ55" s="147"/>
      <c r="AK55" s="147"/>
      <c r="AL55" s="147"/>
      <c r="AM55" s="147"/>
      <c r="AO55" s="144" t="s">
        <v>320</v>
      </c>
      <c r="AP55" s="144"/>
      <c r="AQ55" s="144"/>
      <c r="AR55" s="144"/>
      <c r="AS55" s="144"/>
      <c r="AT55" s="144"/>
      <c r="AU55" s="144"/>
      <c r="AV55" s="144"/>
      <c r="AW55" s="144"/>
      <c r="AX55" s="144"/>
      <c r="AY55" s="144"/>
      <c r="AZ55" s="144"/>
      <c r="BA55" s="144"/>
      <c r="BB55" s="144"/>
      <c r="BC55" s="145"/>
      <c r="BD55" s="145"/>
      <c r="BE55" s="145"/>
      <c r="BF55" s="145"/>
      <c r="BG55" s="145"/>
      <c r="BH55" s="145"/>
      <c r="BI55" s="145"/>
      <c r="BJ55" s="145"/>
      <c r="BK55" s="145"/>
      <c r="BL55" s="145"/>
      <c r="BM55" s="145"/>
      <c r="BN55" s="176">
        <f t="shared" si="18"/>
        <v>0</v>
      </c>
      <c r="BO55" s="152">
        <f t="shared" si="18"/>
        <v>0</v>
      </c>
      <c r="BP55" s="175"/>
      <c r="BQ55" s="175"/>
      <c r="BR55" s="175"/>
      <c r="BS55" s="175"/>
      <c r="BT55" s="147"/>
      <c r="BU55" s="147"/>
      <c r="BV55" s="147"/>
      <c r="BW55" s="147"/>
      <c r="BX55" s="147"/>
      <c r="BY55" s="147"/>
      <c r="BZ55" s="147"/>
      <c r="CA55" s="147"/>
    </row>
    <row r="56" spans="1:79">
      <c r="A56" s="144" t="s">
        <v>321</v>
      </c>
      <c r="B56" s="144"/>
      <c r="C56" s="144"/>
      <c r="D56" s="144"/>
      <c r="E56" s="144"/>
      <c r="F56" s="144"/>
      <c r="G56" s="144"/>
      <c r="H56" s="144"/>
      <c r="I56" s="144"/>
      <c r="J56" s="144"/>
      <c r="K56" s="144"/>
      <c r="L56" s="144"/>
      <c r="M56" s="144"/>
      <c r="N56" s="144"/>
      <c r="O56" s="145"/>
      <c r="P56" s="145"/>
      <c r="Q56" s="145"/>
      <c r="R56" s="145"/>
      <c r="S56" s="145"/>
      <c r="T56" s="145"/>
      <c r="U56" s="145"/>
      <c r="V56" s="145"/>
      <c r="W56" s="145"/>
      <c r="X56" s="145"/>
      <c r="Y56" s="145"/>
      <c r="Z56" s="176">
        <f t="shared" si="17"/>
        <v>0</v>
      </c>
      <c r="AA56" s="152">
        <f t="shared" si="17"/>
        <v>0</v>
      </c>
      <c r="AB56" s="147"/>
      <c r="AC56" s="147"/>
      <c r="AD56" s="147"/>
      <c r="AE56" s="147"/>
      <c r="AF56" s="147"/>
      <c r="AG56" s="147"/>
      <c r="AH56" s="147"/>
      <c r="AI56" s="147"/>
      <c r="AJ56" s="147"/>
      <c r="AK56" s="147"/>
      <c r="AL56" s="147"/>
      <c r="AM56" s="147"/>
      <c r="AO56" s="144" t="s">
        <v>321</v>
      </c>
      <c r="AP56" s="144"/>
      <c r="AQ56" s="144"/>
      <c r="AR56" s="144"/>
      <c r="AS56" s="144"/>
      <c r="AT56" s="144"/>
      <c r="AU56" s="144"/>
      <c r="AV56" s="144"/>
      <c r="AW56" s="144"/>
      <c r="AX56" s="144"/>
      <c r="AY56" s="144"/>
      <c r="AZ56" s="144"/>
      <c r="BA56" s="144"/>
      <c r="BB56" s="144"/>
      <c r="BC56" s="145"/>
      <c r="BD56" s="145"/>
      <c r="BE56" s="145"/>
      <c r="BF56" s="145"/>
      <c r="BG56" s="145"/>
      <c r="BH56" s="145"/>
      <c r="BI56" s="145"/>
      <c r="BJ56" s="145"/>
      <c r="BK56" s="145"/>
      <c r="BL56" s="145"/>
      <c r="BM56" s="145"/>
      <c r="BN56" s="176">
        <f t="shared" si="18"/>
        <v>0</v>
      </c>
      <c r="BO56" s="152">
        <f t="shared" si="18"/>
        <v>0</v>
      </c>
      <c r="BP56" s="175"/>
      <c r="BQ56" s="175"/>
      <c r="BR56" s="175"/>
      <c r="BS56" s="175"/>
      <c r="BT56" s="147"/>
      <c r="BU56" s="147"/>
      <c r="BV56" s="147"/>
      <c r="BW56" s="147"/>
      <c r="BX56" s="147"/>
      <c r="BY56" s="147"/>
      <c r="BZ56" s="147"/>
      <c r="CA56" s="147"/>
    </row>
    <row r="57" spans="1:79">
      <c r="A57" s="144" t="s">
        <v>322</v>
      </c>
      <c r="B57" s="144"/>
      <c r="C57" s="144"/>
      <c r="D57" s="144"/>
      <c r="E57" s="144"/>
      <c r="F57" s="144"/>
      <c r="G57" s="144"/>
      <c r="H57" s="144"/>
      <c r="I57" s="144"/>
      <c r="J57" s="144"/>
      <c r="K57" s="144"/>
      <c r="L57" s="144"/>
      <c r="M57" s="144"/>
      <c r="N57" s="144"/>
      <c r="O57" s="145"/>
      <c r="P57" s="145"/>
      <c r="Q57" s="145"/>
      <c r="R57" s="145"/>
      <c r="S57" s="145"/>
      <c r="T57" s="145"/>
      <c r="U57" s="145"/>
      <c r="V57" s="145"/>
      <c r="W57" s="145"/>
      <c r="X57" s="145"/>
      <c r="Y57" s="145"/>
      <c r="Z57" s="176">
        <f t="shared" si="17"/>
        <v>0</v>
      </c>
      <c r="AA57" s="152">
        <f t="shared" si="17"/>
        <v>0</v>
      </c>
      <c r="AB57" s="147"/>
      <c r="AC57" s="147"/>
      <c r="AD57" s="147"/>
      <c r="AE57" s="147"/>
      <c r="AF57" s="147"/>
      <c r="AG57" s="147"/>
      <c r="AH57" s="147"/>
      <c r="AI57" s="147"/>
      <c r="AJ57" s="147"/>
      <c r="AK57" s="147"/>
      <c r="AL57" s="147"/>
      <c r="AM57" s="147"/>
      <c r="AO57" s="144" t="s">
        <v>322</v>
      </c>
      <c r="AP57" s="144"/>
      <c r="AQ57" s="144"/>
      <c r="AR57" s="144"/>
      <c r="AS57" s="144"/>
      <c r="AT57" s="144"/>
      <c r="AU57" s="144"/>
      <c r="AV57" s="144"/>
      <c r="AW57" s="144"/>
      <c r="AX57" s="144"/>
      <c r="AY57" s="144"/>
      <c r="AZ57" s="144"/>
      <c r="BA57" s="144"/>
      <c r="BB57" s="144"/>
      <c r="BC57" s="145"/>
      <c r="BD57" s="145"/>
      <c r="BE57" s="145"/>
      <c r="BF57" s="145"/>
      <c r="BG57" s="145"/>
      <c r="BH57" s="145"/>
      <c r="BI57" s="145"/>
      <c r="BJ57" s="145"/>
      <c r="BK57" s="145"/>
      <c r="BL57" s="145"/>
      <c r="BM57" s="145"/>
      <c r="BN57" s="176">
        <f t="shared" si="18"/>
        <v>0</v>
      </c>
      <c r="BO57" s="152">
        <f t="shared" si="18"/>
        <v>0</v>
      </c>
      <c r="BP57" s="175"/>
      <c r="BQ57" s="175"/>
      <c r="BR57" s="175"/>
      <c r="BS57" s="175"/>
      <c r="BT57" s="147"/>
      <c r="BU57" s="147"/>
      <c r="BV57" s="147"/>
      <c r="BW57" s="147"/>
      <c r="BX57" s="147"/>
      <c r="BY57" s="147"/>
      <c r="BZ57" s="147"/>
      <c r="CA57" s="147"/>
    </row>
    <row r="58" spans="1:79">
      <c r="A58" s="144" t="s">
        <v>323</v>
      </c>
      <c r="B58" s="144"/>
      <c r="C58" s="144"/>
      <c r="D58" s="144"/>
      <c r="E58" s="144"/>
      <c r="F58" s="144"/>
      <c r="G58" s="144"/>
      <c r="H58" s="144"/>
      <c r="I58" s="144"/>
      <c r="J58" s="144"/>
      <c r="K58" s="144"/>
      <c r="L58" s="144"/>
      <c r="M58" s="144"/>
      <c r="N58" s="144"/>
      <c r="O58" s="145"/>
      <c r="P58" s="145"/>
      <c r="Q58" s="145"/>
      <c r="R58" s="145"/>
      <c r="S58" s="145"/>
      <c r="T58" s="145"/>
      <c r="U58" s="145"/>
      <c r="V58" s="145"/>
      <c r="W58" s="145"/>
      <c r="X58" s="145"/>
      <c r="Y58" s="145"/>
      <c r="Z58" s="176">
        <f t="shared" si="17"/>
        <v>0</v>
      </c>
      <c r="AA58" s="152">
        <f t="shared" si="17"/>
        <v>0</v>
      </c>
      <c r="AB58" s="147"/>
      <c r="AC58" s="147"/>
      <c r="AD58" s="147"/>
      <c r="AE58" s="147"/>
      <c r="AF58" s="147"/>
      <c r="AG58" s="147"/>
      <c r="AH58" s="147"/>
      <c r="AI58" s="147"/>
      <c r="AJ58" s="147"/>
      <c r="AK58" s="147"/>
      <c r="AL58" s="147"/>
      <c r="AM58" s="147"/>
      <c r="AO58" s="144" t="s">
        <v>323</v>
      </c>
      <c r="AP58" s="144"/>
      <c r="AQ58" s="144"/>
      <c r="AR58" s="144"/>
      <c r="AS58" s="144"/>
      <c r="AT58" s="144"/>
      <c r="AU58" s="144"/>
      <c r="AV58" s="144"/>
      <c r="AW58" s="144"/>
      <c r="AX58" s="144"/>
      <c r="AY58" s="144"/>
      <c r="AZ58" s="144"/>
      <c r="BA58" s="144"/>
      <c r="BB58" s="144"/>
      <c r="BC58" s="145"/>
      <c r="BD58" s="145"/>
      <c r="BE58" s="145"/>
      <c r="BF58" s="145"/>
      <c r="BG58" s="145"/>
      <c r="BH58" s="145"/>
      <c r="BI58" s="145"/>
      <c r="BJ58" s="145"/>
      <c r="BK58" s="145"/>
      <c r="BL58" s="145"/>
      <c r="BM58" s="145"/>
      <c r="BN58" s="176">
        <f t="shared" si="18"/>
        <v>0</v>
      </c>
      <c r="BO58" s="152">
        <f t="shared" si="18"/>
        <v>0</v>
      </c>
      <c r="BP58" s="175"/>
      <c r="BQ58" s="175"/>
      <c r="BR58" s="175"/>
      <c r="BS58" s="175"/>
      <c r="BT58" s="147"/>
      <c r="BU58" s="147"/>
      <c r="BV58" s="147"/>
      <c r="BW58" s="147"/>
      <c r="BX58" s="147"/>
      <c r="BY58" s="147"/>
      <c r="BZ58" s="147"/>
      <c r="CA58" s="147"/>
    </row>
    <row r="59" spans="1:79">
      <c r="A59" s="144" t="s">
        <v>324</v>
      </c>
      <c r="B59" s="144"/>
      <c r="C59" s="144"/>
      <c r="D59" s="144"/>
      <c r="E59" s="144"/>
      <c r="F59" s="144"/>
      <c r="G59" s="144"/>
      <c r="H59" s="144"/>
      <c r="I59" s="144"/>
      <c r="J59" s="144"/>
      <c r="K59" s="144"/>
      <c r="L59" s="144"/>
      <c r="M59" s="144"/>
      <c r="N59" s="144"/>
      <c r="O59" s="145"/>
      <c r="P59" s="145"/>
      <c r="Q59" s="145"/>
      <c r="R59" s="145"/>
      <c r="S59" s="145"/>
      <c r="T59" s="145"/>
      <c r="U59" s="145"/>
      <c r="V59" s="145"/>
      <c r="W59" s="145"/>
      <c r="X59" s="145"/>
      <c r="Y59" s="145"/>
      <c r="Z59" s="176">
        <f t="shared" si="17"/>
        <v>0</v>
      </c>
      <c r="AA59" s="152">
        <f t="shared" si="17"/>
        <v>0</v>
      </c>
      <c r="AB59" s="147"/>
      <c r="AC59" s="147"/>
      <c r="AD59" s="147"/>
      <c r="AE59" s="147"/>
      <c r="AF59" s="147"/>
      <c r="AG59" s="147"/>
      <c r="AH59" s="147"/>
      <c r="AI59" s="147"/>
      <c r="AJ59" s="147"/>
      <c r="AK59" s="147"/>
      <c r="AL59" s="147"/>
      <c r="AM59" s="147"/>
      <c r="AO59" s="144" t="s">
        <v>324</v>
      </c>
      <c r="AP59" s="144"/>
      <c r="AQ59" s="144"/>
      <c r="AR59" s="144"/>
      <c r="AS59" s="144"/>
      <c r="AT59" s="144"/>
      <c r="AU59" s="144"/>
      <c r="AV59" s="144"/>
      <c r="AW59" s="144"/>
      <c r="AX59" s="144"/>
      <c r="AY59" s="144"/>
      <c r="AZ59" s="144"/>
      <c r="BA59" s="144"/>
      <c r="BB59" s="144"/>
      <c r="BC59" s="145"/>
      <c r="BD59" s="145"/>
      <c r="BE59" s="145"/>
      <c r="BF59" s="145"/>
      <c r="BG59" s="145"/>
      <c r="BH59" s="145"/>
      <c r="BI59" s="145"/>
      <c r="BJ59" s="145"/>
      <c r="BK59" s="145"/>
      <c r="BL59" s="145"/>
      <c r="BM59" s="145"/>
      <c r="BN59" s="176">
        <f t="shared" si="18"/>
        <v>0</v>
      </c>
      <c r="BO59" s="152">
        <f t="shared" si="18"/>
        <v>0</v>
      </c>
      <c r="BP59" s="175"/>
      <c r="BQ59" s="175"/>
      <c r="BR59" s="175"/>
      <c r="BS59" s="175"/>
      <c r="BT59" s="147"/>
      <c r="BU59" s="147"/>
      <c r="BV59" s="147"/>
      <c r="BW59" s="147"/>
      <c r="BX59" s="147"/>
      <c r="BY59" s="147"/>
      <c r="BZ59" s="147"/>
      <c r="CA59" s="147"/>
    </row>
    <row r="60" spans="1:79">
      <c r="A60" s="144" t="s">
        <v>325</v>
      </c>
      <c r="B60" s="144"/>
      <c r="C60" s="144"/>
      <c r="D60" s="144"/>
      <c r="E60" s="144"/>
      <c r="F60" s="144"/>
      <c r="G60" s="144"/>
      <c r="H60" s="144"/>
      <c r="I60" s="144"/>
      <c r="J60" s="144"/>
      <c r="K60" s="144"/>
      <c r="L60" s="144"/>
      <c r="M60" s="144"/>
      <c r="N60" s="144"/>
      <c r="O60" s="145"/>
      <c r="P60" s="145"/>
      <c r="Q60" s="145"/>
      <c r="R60" s="145"/>
      <c r="S60" s="145"/>
      <c r="T60" s="145"/>
      <c r="U60" s="145"/>
      <c r="V60" s="145"/>
      <c r="W60" s="145"/>
      <c r="X60" s="145"/>
      <c r="Y60" s="145"/>
      <c r="Z60" s="176">
        <f t="shared" si="17"/>
        <v>0</v>
      </c>
      <c r="AA60" s="152">
        <f t="shared" si="17"/>
        <v>0</v>
      </c>
      <c r="AB60" s="147"/>
      <c r="AC60" s="147"/>
      <c r="AD60" s="147"/>
      <c r="AE60" s="147"/>
      <c r="AF60" s="147"/>
      <c r="AG60" s="147"/>
      <c r="AH60" s="147"/>
      <c r="AI60" s="147"/>
      <c r="AJ60" s="147"/>
      <c r="AK60" s="147"/>
      <c r="AL60" s="147"/>
      <c r="AM60" s="147"/>
      <c r="AO60" s="144" t="s">
        <v>325</v>
      </c>
      <c r="AP60" s="144"/>
      <c r="AQ60" s="144"/>
      <c r="AR60" s="144"/>
      <c r="AS60" s="144"/>
      <c r="AT60" s="144"/>
      <c r="AU60" s="144"/>
      <c r="AV60" s="144"/>
      <c r="AW60" s="144"/>
      <c r="AX60" s="144"/>
      <c r="AY60" s="144"/>
      <c r="AZ60" s="144"/>
      <c r="BA60" s="144"/>
      <c r="BB60" s="144"/>
      <c r="BC60" s="145"/>
      <c r="BD60" s="145"/>
      <c r="BE60" s="145"/>
      <c r="BF60" s="145"/>
      <c r="BG60" s="145"/>
      <c r="BH60" s="145"/>
      <c r="BI60" s="145"/>
      <c r="BJ60" s="145"/>
      <c r="BK60" s="145"/>
      <c r="BL60" s="145"/>
      <c r="BM60" s="145"/>
      <c r="BN60" s="176">
        <f t="shared" si="18"/>
        <v>0</v>
      </c>
      <c r="BO60" s="152">
        <f t="shared" si="18"/>
        <v>0</v>
      </c>
      <c r="BP60" s="175"/>
      <c r="BQ60" s="175"/>
      <c r="BR60" s="175"/>
      <c r="BS60" s="175"/>
      <c r="BT60" s="147"/>
      <c r="BU60" s="147"/>
      <c r="BV60" s="147"/>
      <c r="BW60" s="147"/>
      <c r="BX60" s="147"/>
      <c r="BY60" s="147"/>
      <c r="BZ60" s="147"/>
      <c r="CA60" s="147"/>
    </row>
    <row r="61" spans="1:79">
      <c r="A61" s="149" t="s">
        <v>326</v>
      </c>
      <c r="B61" s="146">
        <f t="shared" ref="B61:AM61" si="19">SUM(B40:B60)</f>
        <v>0</v>
      </c>
      <c r="C61" s="399">
        <f>SUM(C40:C60)</f>
        <v>20050667</v>
      </c>
      <c r="D61" s="146">
        <f t="shared" si="19"/>
        <v>0</v>
      </c>
      <c r="E61" s="399">
        <f>SUM(E40:E60)</f>
        <v>54590000</v>
      </c>
      <c r="F61" s="146">
        <f t="shared" si="19"/>
        <v>1.0400000000000003E-2</v>
      </c>
      <c r="G61" s="399">
        <f>SUM(G40:G60)</f>
        <v>54590000</v>
      </c>
      <c r="H61" s="146">
        <f t="shared" si="19"/>
        <v>2.0000000000000004E-2</v>
      </c>
      <c r="I61" s="399">
        <f>SUM(I40:I60)</f>
        <v>54590000</v>
      </c>
      <c r="J61" s="146">
        <f t="shared" si="19"/>
        <v>2.0000000000000004E-2</v>
      </c>
      <c r="K61" s="399">
        <f>SUM(K40:K60)</f>
        <v>54590000</v>
      </c>
      <c r="L61" s="146">
        <f t="shared" si="19"/>
        <v>2.0000000000000004E-2</v>
      </c>
      <c r="M61" s="399">
        <f>SUM(M40:M60)</f>
        <v>54590000</v>
      </c>
      <c r="N61" s="146">
        <f t="shared" si="19"/>
        <v>2.0000000000000004E-2</v>
      </c>
      <c r="O61" s="399">
        <f>SUM(O40:O60)</f>
        <v>54590000</v>
      </c>
      <c r="P61" s="146">
        <f t="shared" si="19"/>
        <v>2.0000000000000004E-2</v>
      </c>
      <c r="Q61" s="399">
        <f>SUM(Q40:Q60)</f>
        <v>54590000</v>
      </c>
      <c r="R61" s="146">
        <f t="shared" si="19"/>
        <v>2.0000000000000004E-2</v>
      </c>
      <c r="S61" s="399">
        <f>SUM(S40:S60)</f>
        <v>54590000</v>
      </c>
      <c r="T61" s="146">
        <f t="shared" si="19"/>
        <v>2.0000000000000004E-2</v>
      </c>
      <c r="U61" s="399">
        <f>SUM(U40:U60)</f>
        <v>54590000</v>
      </c>
      <c r="V61" s="146">
        <f t="shared" si="19"/>
        <v>2.0000000000000004E-2</v>
      </c>
      <c r="W61" s="399">
        <f>SUM(W40:W60)</f>
        <v>54590000</v>
      </c>
      <c r="X61" s="146">
        <f t="shared" si="19"/>
        <v>2.0000000000000004E-2</v>
      </c>
      <c r="Y61" s="399">
        <f>SUM(Y40:Y60)</f>
        <v>34539333</v>
      </c>
      <c r="Z61" s="423">
        <f t="shared" si="19"/>
        <v>0.19040000000000007</v>
      </c>
      <c r="AA61" s="152">
        <f t="shared" si="19"/>
        <v>600490000</v>
      </c>
      <c r="AB61" s="146">
        <f t="shared" si="19"/>
        <v>0</v>
      </c>
      <c r="AC61" s="146">
        <f t="shared" si="19"/>
        <v>0</v>
      </c>
      <c r="AD61" s="146">
        <f t="shared" si="19"/>
        <v>0</v>
      </c>
      <c r="AE61" s="146">
        <f t="shared" si="19"/>
        <v>0</v>
      </c>
      <c r="AF61" s="146">
        <f t="shared" si="19"/>
        <v>0</v>
      </c>
      <c r="AG61" s="146">
        <f t="shared" si="19"/>
        <v>0</v>
      </c>
      <c r="AH61" s="146">
        <f t="shared" si="19"/>
        <v>0</v>
      </c>
      <c r="AI61" s="146">
        <f t="shared" si="19"/>
        <v>0</v>
      </c>
      <c r="AJ61" s="146">
        <f t="shared" si="19"/>
        <v>0</v>
      </c>
      <c r="AK61" s="146">
        <f t="shared" si="19"/>
        <v>0</v>
      </c>
      <c r="AL61" s="146">
        <f t="shared" si="19"/>
        <v>0</v>
      </c>
      <c r="AM61" s="146">
        <f t="shared" si="19"/>
        <v>0</v>
      </c>
      <c r="AO61" s="149" t="s">
        <v>326</v>
      </c>
      <c r="AP61" s="146">
        <f t="shared" ref="AP61:BB61" si="20">SUM(AP40:AP60)</f>
        <v>0</v>
      </c>
      <c r="AQ61" s="146">
        <f t="shared" si="20"/>
        <v>0</v>
      </c>
      <c r="AR61" s="146">
        <f t="shared" si="20"/>
        <v>1.0480000000000003E-2</v>
      </c>
      <c r="AS61" s="146">
        <f t="shared" si="20"/>
        <v>19535667</v>
      </c>
      <c r="AT61" s="146">
        <f t="shared" si="20"/>
        <v>1.9440000000000006E-2</v>
      </c>
      <c r="AU61" s="146">
        <f t="shared" si="20"/>
        <v>54590000</v>
      </c>
      <c r="AV61" s="146">
        <f t="shared" si="20"/>
        <v>1.7280000000000007E-2</v>
      </c>
      <c r="AW61" s="146">
        <f t="shared" si="20"/>
        <v>54590000</v>
      </c>
      <c r="AX61" s="146">
        <f t="shared" si="20"/>
        <v>0</v>
      </c>
      <c r="AY61" s="146">
        <f t="shared" si="20"/>
        <v>0</v>
      </c>
      <c r="AZ61" s="146">
        <f t="shared" si="20"/>
        <v>0</v>
      </c>
      <c r="BA61" s="146">
        <f t="shared" si="20"/>
        <v>0</v>
      </c>
      <c r="BB61" s="146">
        <f t="shared" si="20"/>
        <v>0</v>
      </c>
      <c r="BC61" s="146">
        <f>SUM(BC40:BC60)</f>
        <v>0</v>
      </c>
      <c r="BD61" s="146">
        <f t="shared" ref="BD61:CA61" si="21">SUM(BD40:BD60)</f>
        <v>0</v>
      </c>
      <c r="BE61" s="146">
        <f t="shared" si="21"/>
        <v>0</v>
      </c>
      <c r="BF61" s="146">
        <f t="shared" si="21"/>
        <v>0</v>
      </c>
      <c r="BG61" s="146">
        <f t="shared" si="21"/>
        <v>0</v>
      </c>
      <c r="BH61" s="146">
        <f t="shared" si="21"/>
        <v>0</v>
      </c>
      <c r="BI61" s="146">
        <f t="shared" si="21"/>
        <v>0</v>
      </c>
      <c r="BJ61" s="146">
        <f t="shared" si="21"/>
        <v>0</v>
      </c>
      <c r="BK61" s="146">
        <f t="shared" si="21"/>
        <v>0</v>
      </c>
      <c r="BL61" s="146">
        <f t="shared" si="21"/>
        <v>0</v>
      </c>
      <c r="BM61" s="146">
        <f t="shared" si="21"/>
        <v>0</v>
      </c>
      <c r="BN61" s="177">
        <f t="shared" si="21"/>
        <v>4.720000000000002E-2</v>
      </c>
      <c r="BO61" s="153">
        <f t="shared" si="21"/>
        <v>128715667</v>
      </c>
      <c r="BP61" s="146">
        <f t="shared" si="21"/>
        <v>0</v>
      </c>
      <c r="BQ61" s="146">
        <f t="shared" si="21"/>
        <v>0</v>
      </c>
      <c r="BR61" s="146">
        <f t="shared" si="21"/>
        <v>0</v>
      </c>
      <c r="BS61" s="146">
        <f t="shared" si="21"/>
        <v>0</v>
      </c>
      <c r="BT61" s="146">
        <f t="shared" si="21"/>
        <v>0</v>
      </c>
      <c r="BU61" s="146">
        <f t="shared" si="21"/>
        <v>0</v>
      </c>
      <c r="BV61" s="146">
        <f>SUM(BV40:BV60)</f>
        <v>0</v>
      </c>
      <c r="BW61" s="146">
        <f t="shared" si="21"/>
        <v>0</v>
      </c>
      <c r="BX61" s="146">
        <f t="shared" si="21"/>
        <v>0</v>
      </c>
      <c r="BY61" s="146">
        <f t="shared" si="21"/>
        <v>0</v>
      </c>
      <c r="BZ61" s="146">
        <f t="shared" si="21"/>
        <v>0</v>
      </c>
      <c r="CA61" s="146">
        <f t="shared" si="21"/>
        <v>0</v>
      </c>
    </row>
    <row r="66" spans="1:45">
      <c r="D66" s="282"/>
      <c r="F66" s="282"/>
      <c r="G66" s="282"/>
      <c r="H66" s="282"/>
      <c r="I66" s="282"/>
      <c r="J66" s="282"/>
      <c r="K66" s="282"/>
      <c r="L66" s="282"/>
      <c r="M66" s="282"/>
      <c r="N66" s="282"/>
      <c r="O66" s="282"/>
      <c r="P66" s="282"/>
      <c r="Q66" s="282"/>
      <c r="R66" s="282"/>
      <c r="S66" s="282"/>
      <c r="T66" s="282"/>
      <c r="U66" s="282"/>
      <c r="V66" s="282"/>
      <c r="W66" s="282"/>
      <c r="X66" s="282"/>
      <c r="AS66" s="484">
        <v>1351177000</v>
      </c>
    </row>
    <row r="67" spans="1:45">
      <c r="AS67" s="108">
        <v>182216361</v>
      </c>
    </row>
    <row r="68" spans="1:45">
      <c r="AS68" s="484">
        <f>AS66-AS67</f>
        <v>1168960639</v>
      </c>
    </row>
    <row r="69" spans="1:45">
      <c r="E69" s="396"/>
      <c r="F69" s="396"/>
      <c r="G69" s="396"/>
      <c r="H69" s="396"/>
      <c r="I69" s="396"/>
      <c r="J69" s="396"/>
      <c r="K69" s="396"/>
      <c r="L69" s="396"/>
      <c r="M69" s="396"/>
      <c r="N69" s="396"/>
      <c r="O69" s="396"/>
      <c r="P69" s="396"/>
      <c r="Q69" s="396"/>
      <c r="R69" s="396"/>
      <c r="S69" s="396"/>
      <c r="T69" s="396"/>
      <c r="U69" s="396"/>
      <c r="V69" s="396"/>
      <c r="W69" s="396"/>
      <c r="X69" s="396"/>
      <c r="Y69" s="396"/>
      <c r="Z69" s="396"/>
      <c r="AA69" s="396"/>
    </row>
    <row r="79" spans="1:45">
      <c r="A79" s="533" t="s">
        <v>329</v>
      </c>
      <c r="B79" s="533" t="s">
        <v>330</v>
      </c>
      <c r="C79" s="533" t="s">
        <v>331</v>
      </c>
    </row>
    <row r="80" spans="1:45" ht="60">
      <c r="A80" s="530">
        <v>33990000</v>
      </c>
      <c r="B80" s="320" t="s">
        <v>332</v>
      </c>
      <c r="C80" s="531">
        <v>4429000</v>
      </c>
    </row>
    <row r="81" spans="1:3" ht="60">
      <c r="A81" s="530">
        <v>56650000</v>
      </c>
      <c r="B81" s="320" t="s">
        <v>333</v>
      </c>
      <c r="C81" s="531">
        <v>7381667</v>
      </c>
    </row>
    <row r="82" spans="1:3" ht="60">
      <c r="A82" s="530">
        <v>56650000</v>
      </c>
      <c r="B82" s="320" t="s">
        <v>334</v>
      </c>
      <c r="C82" s="531">
        <v>7038333</v>
      </c>
    </row>
    <row r="83" spans="1:3" ht="60">
      <c r="A83" s="530">
        <v>56650000</v>
      </c>
      <c r="B83" s="320" t="s">
        <v>335</v>
      </c>
      <c r="C83" s="531">
        <v>6866667</v>
      </c>
    </row>
    <row r="84" spans="1:3" ht="60">
      <c r="A84" s="530">
        <v>56650000</v>
      </c>
      <c r="B84" s="320" t="s">
        <v>336</v>
      </c>
      <c r="C84" s="531">
        <v>7381667</v>
      </c>
    </row>
    <row r="85" spans="1:3" ht="60">
      <c r="A85" s="530">
        <v>56650000</v>
      </c>
      <c r="B85" s="320" t="s">
        <v>337</v>
      </c>
      <c r="C85" s="531">
        <v>8068333</v>
      </c>
    </row>
    <row r="86" spans="1:3" ht="60">
      <c r="A86" s="530">
        <v>56650000</v>
      </c>
      <c r="B86" s="320" t="s">
        <v>338</v>
      </c>
      <c r="C86" s="531">
        <v>6351667</v>
      </c>
    </row>
    <row r="87" spans="1:3" ht="60">
      <c r="A87" s="530">
        <v>56650000</v>
      </c>
      <c r="B87" s="320" t="s">
        <v>339</v>
      </c>
      <c r="C87" s="531">
        <v>7038333</v>
      </c>
    </row>
    <row r="88" spans="1:3" ht="60">
      <c r="A88" s="530">
        <v>56650000</v>
      </c>
      <c r="B88" s="320" t="s">
        <v>340</v>
      </c>
      <c r="C88" s="531">
        <v>7210000</v>
      </c>
    </row>
    <row r="89" spans="1:3" ht="60">
      <c r="A89" s="530">
        <v>56650000</v>
      </c>
      <c r="B89" s="320" t="s">
        <v>341</v>
      </c>
      <c r="C89" s="531">
        <v>5150000</v>
      </c>
    </row>
    <row r="90" spans="1:3" ht="45">
      <c r="A90" s="530">
        <v>56650000</v>
      </c>
      <c r="B90" s="320" t="s">
        <v>342</v>
      </c>
      <c r="C90" s="531">
        <v>7210000</v>
      </c>
    </row>
    <row r="91" spans="1:3">
      <c r="A91" s="532">
        <f>SUM(A80:A90)</f>
        <v>600490000</v>
      </c>
      <c r="C91" s="532">
        <f>SUM(C80:C90)</f>
        <v>74125667</v>
      </c>
    </row>
    <row r="92" spans="1:3">
      <c r="B92" s="108" t="s">
        <v>343</v>
      </c>
      <c r="C92" s="532">
        <v>19535667</v>
      </c>
    </row>
    <row r="93" spans="1:3">
      <c r="B93" s="108" t="s">
        <v>344</v>
      </c>
      <c r="C93" s="532">
        <f>C91-C92</f>
        <v>54590000</v>
      </c>
    </row>
  </sheetData>
  <mergeCells count="78">
    <mergeCell ref="BP38:BU38"/>
    <mergeCell ref="BV38:CA38"/>
    <mergeCell ref="BD38:BE38"/>
    <mergeCell ref="BF38:BG38"/>
    <mergeCell ref="BH38:BI38"/>
    <mergeCell ref="BJ38:BK38"/>
    <mergeCell ref="BL38:BM38"/>
    <mergeCell ref="BN38:BO38"/>
    <mergeCell ref="T38:U38"/>
    <mergeCell ref="BB38:BC38"/>
    <mergeCell ref="X38:Y38"/>
    <mergeCell ref="Z38:AA38"/>
    <mergeCell ref="AB38:AG38"/>
    <mergeCell ref="AH38:AM38"/>
    <mergeCell ref="AO38:AO39"/>
    <mergeCell ref="AP38:AQ38"/>
    <mergeCell ref="AR38:AS38"/>
    <mergeCell ref="AT38:AU38"/>
    <mergeCell ref="AV38:AW38"/>
    <mergeCell ref="AX38:AY38"/>
    <mergeCell ref="AZ38:BA38"/>
    <mergeCell ref="BC9:BD9"/>
    <mergeCell ref="A38:A39"/>
    <mergeCell ref="B38:C38"/>
    <mergeCell ref="D38:E38"/>
    <mergeCell ref="F38:G38"/>
    <mergeCell ref="H38:I38"/>
    <mergeCell ref="V38:W38"/>
    <mergeCell ref="B35:CA35"/>
    <mergeCell ref="B36:CA36"/>
    <mergeCell ref="J38:K38"/>
    <mergeCell ref="AT9:AU9"/>
    <mergeCell ref="AV9:AW9"/>
    <mergeCell ref="L38:M38"/>
    <mergeCell ref="N38:O38"/>
    <mergeCell ref="P38:Q38"/>
    <mergeCell ref="R38:S38"/>
    <mergeCell ref="AF9:AK9"/>
    <mergeCell ref="AL9:AQ9"/>
    <mergeCell ref="AS9:AS10"/>
    <mergeCell ref="AX9:AZ9"/>
    <mergeCell ref="BA9:BB9"/>
    <mergeCell ref="A9:A10"/>
    <mergeCell ref="B9:C9"/>
    <mergeCell ref="D9:E9"/>
    <mergeCell ref="P9:Q9"/>
    <mergeCell ref="R9:S9"/>
    <mergeCell ref="F9:H9"/>
    <mergeCell ref="I9:J9"/>
    <mergeCell ref="K9:L9"/>
    <mergeCell ref="M9:O9"/>
    <mergeCell ref="B7:CA7"/>
    <mergeCell ref="A1:BX1"/>
    <mergeCell ref="BY1:CA1"/>
    <mergeCell ref="A2:BX2"/>
    <mergeCell ref="BY2:CA2"/>
    <mergeCell ref="A3:BX3"/>
    <mergeCell ref="BY3:CA3"/>
    <mergeCell ref="A4:BX4"/>
    <mergeCell ref="BY4:CA4"/>
    <mergeCell ref="A5:AM5"/>
    <mergeCell ref="AO5:CA5"/>
    <mergeCell ref="B6:CA6"/>
    <mergeCell ref="T9:V9"/>
    <mergeCell ref="W9:X9"/>
    <mergeCell ref="Y9:Z9"/>
    <mergeCell ref="AA9:AC9"/>
    <mergeCell ref="AD9:AE9"/>
    <mergeCell ref="BE9:BF9"/>
    <mergeCell ref="BG9:BH9"/>
    <mergeCell ref="BI9:BJ9"/>
    <mergeCell ref="BK9:BL9"/>
    <mergeCell ref="BM9:BN9"/>
    <mergeCell ref="BO9:BP9"/>
    <mergeCell ref="BQ9:BR9"/>
    <mergeCell ref="BS9:BT9"/>
    <mergeCell ref="BU9:BZ9"/>
    <mergeCell ref="CA9:CF9"/>
  </mergeCells>
  <printOptions horizontalCentered="1"/>
  <pageMargins left="0.19685039370078741" right="0.19685039370078741" top="0.19685039370078741" bottom="0.19685039370078741" header="0" footer="0"/>
  <pageSetup scale="14"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N10" sqref="N10"/>
    </sheetView>
  </sheetViews>
  <sheetFormatPr baseColWidth="10" defaultColWidth="11.42578125" defaultRowHeight="15"/>
  <cols>
    <col min="1" max="1" width="8.85546875" style="160" bestFit="1" customWidth="1"/>
    <col min="2" max="2" width="11.42578125" style="50"/>
    <col min="3" max="3" width="55.7109375" style="50" customWidth="1"/>
    <col min="4" max="4" width="13.7109375" style="50" hidden="1" customWidth="1"/>
    <col min="5" max="5" width="15.28515625" style="50" hidden="1" customWidth="1"/>
    <col min="6" max="6" width="21.140625" style="50" customWidth="1"/>
    <col min="7" max="8" width="15.28515625" style="50" hidden="1" customWidth="1"/>
    <col min="9" max="9" width="16.42578125" style="50" hidden="1" customWidth="1"/>
    <col min="10" max="10" width="13.5703125" style="160" customWidth="1"/>
    <col min="11" max="11" width="14.42578125" style="160" customWidth="1"/>
    <col min="12" max="16384" width="11.42578125" style="50"/>
  </cols>
  <sheetData>
    <row r="1" spans="1:11" ht="15.75" thickBot="1">
      <c r="A1" s="1079" t="s">
        <v>345</v>
      </c>
      <c r="B1" s="1080"/>
      <c r="C1" s="1080"/>
      <c r="D1" s="1080"/>
      <c r="E1" s="1080"/>
      <c r="F1" s="1080"/>
      <c r="G1" s="1080"/>
      <c r="H1" s="1080"/>
      <c r="I1" s="1081"/>
    </row>
    <row r="2" spans="1:11" ht="45">
      <c r="A2" s="183" t="s">
        <v>346</v>
      </c>
      <c r="B2" s="184" t="s">
        <v>347</v>
      </c>
      <c r="C2" s="184" t="s">
        <v>348</v>
      </c>
      <c r="D2" s="184">
        <v>2020</v>
      </c>
      <c r="E2" s="184">
        <v>2021</v>
      </c>
      <c r="F2" s="185">
        <v>2022</v>
      </c>
      <c r="G2" s="184">
        <v>2023</v>
      </c>
      <c r="H2" s="184">
        <v>2024</v>
      </c>
      <c r="I2" s="186" t="s">
        <v>349</v>
      </c>
      <c r="J2" s="159" t="s">
        <v>350</v>
      </c>
      <c r="K2" s="159" t="s">
        <v>351</v>
      </c>
    </row>
    <row r="3" spans="1:11" ht="30">
      <c r="A3" s="195">
        <v>7673</v>
      </c>
      <c r="B3" s="196">
        <v>1</v>
      </c>
      <c r="C3" s="320" t="s">
        <v>352</v>
      </c>
      <c r="D3" s="187">
        <v>104564466</v>
      </c>
      <c r="E3" s="187">
        <v>2363000000</v>
      </c>
      <c r="F3" s="319">
        <v>2401870787.1600008</v>
      </c>
      <c r="G3" s="187">
        <v>2491086000</v>
      </c>
      <c r="H3" s="187">
        <v>2219930000</v>
      </c>
      <c r="I3" s="197">
        <v>9680517466</v>
      </c>
      <c r="J3" s="194">
        <f>+F3/F7</f>
        <v>0.44272002261274546</v>
      </c>
      <c r="K3" s="200">
        <v>0.3</v>
      </c>
    </row>
    <row r="4" spans="1:11" ht="45">
      <c r="A4" s="195">
        <v>7673</v>
      </c>
      <c r="B4" s="196">
        <v>2</v>
      </c>
      <c r="C4" s="320" t="s">
        <v>353</v>
      </c>
      <c r="D4" s="187">
        <v>120000000</v>
      </c>
      <c r="E4" s="187">
        <v>727850000</v>
      </c>
      <c r="F4" s="319">
        <v>184761500</v>
      </c>
      <c r="G4" s="187">
        <v>700000000</v>
      </c>
      <c r="H4" s="187">
        <v>0</v>
      </c>
      <c r="I4" s="197">
        <v>1732612000</v>
      </c>
      <c r="J4" s="194">
        <f>+F4/F7</f>
        <v>3.4055793465344236E-2</v>
      </c>
      <c r="K4" s="200">
        <v>0.1</v>
      </c>
    </row>
    <row r="5" spans="1:11" ht="60">
      <c r="A5" s="195">
        <v>7673</v>
      </c>
      <c r="B5" s="196">
        <v>3</v>
      </c>
      <c r="C5" s="320" t="s">
        <v>354</v>
      </c>
      <c r="D5" s="187">
        <v>97776667</v>
      </c>
      <c r="E5" s="187">
        <v>900135000</v>
      </c>
      <c r="F5" s="319">
        <v>1608626712.8399997</v>
      </c>
      <c r="G5" s="187">
        <v>725114000</v>
      </c>
      <c r="H5" s="187">
        <v>746870000</v>
      </c>
      <c r="I5" s="197">
        <v>3978455667</v>
      </c>
      <c r="J5" s="194">
        <f>+F5/F7</f>
        <v>0.29650689724490564</v>
      </c>
      <c r="K5" s="200">
        <v>0.25</v>
      </c>
    </row>
    <row r="6" spans="1:11" ht="60">
      <c r="A6" s="195">
        <v>7673</v>
      </c>
      <c r="B6" s="196">
        <v>4</v>
      </c>
      <c r="C6" s="320" t="s">
        <v>355</v>
      </c>
      <c r="D6" s="187">
        <v>0</v>
      </c>
      <c r="E6" s="187">
        <v>0</v>
      </c>
      <c r="F6" s="319">
        <v>1230000000</v>
      </c>
      <c r="G6" s="187">
        <v>0</v>
      </c>
      <c r="H6" s="187"/>
      <c r="I6" s="197">
        <v>1230000000</v>
      </c>
      <c r="J6" s="194">
        <f>+F6/F7</f>
        <v>0.22671728667700472</v>
      </c>
      <c r="K6" s="200">
        <v>0.35</v>
      </c>
    </row>
    <row r="7" spans="1:11">
      <c r="A7" s="1082" t="s">
        <v>41</v>
      </c>
      <c r="B7" s="1083"/>
      <c r="C7" s="1083"/>
      <c r="D7" s="188">
        <v>322341133</v>
      </c>
      <c r="E7" s="188">
        <v>3990985000</v>
      </c>
      <c r="F7" s="188">
        <f>SUM(F3:F6)</f>
        <v>5425259000</v>
      </c>
      <c r="G7" s="188">
        <v>3916200000</v>
      </c>
      <c r="H7" s="188">
        <v>2966800000</v>
      </c>
      <c r="I7" s="189">
        <v>16621585133</v>
      </c>
      <c r="J7" s="201">
        <f>SUM(J3:J6)</f>
        <v>1</v>
      </c>
      <c r="K7" s="201">
        <f>SUM(K3:K6)</f>
        <v>1</v>
      </c>
    </row>
    <row r="8" spans="1:11">
      <c r="A8" s="1082" t="s">
        <v>356</v>
      </c>
      <c r="B8" s="1083"/>
      <c r="C8" s="1083"/>
      <c r="D8" s="190"/>
      <c r="E8" s="190"/>
      <c r="F8" s="188">
        <v>5425259000</v>
      </c>
      <c r="G8" s="190"/>
      <c r="H8" s="190"/>
      <c r="I8" s="198"/>
    </row>
    <row r="9" spans="1:11" ht="15.75" thickBot="1">
      <c r="A9" s="1084" t="s">
        <v>357</v>
      </c>
      <c r="B9" s="1085"/>
      <c r="C9" s="1085"/>
      <c r="D9" s="191"/>
      <c r="E9" s="191"/>
      <c r="F9" s="192">
        <v>0</v>
      </c>
      <c r="G9" s="191"/>
      <c r="H9" s="191"/>
      <c r="I9" s="199"/>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04"/>
  <sheetViews>
    <sheetView topLeftCell="AQ26" zoomScale="75" zoomScaleNormal="75" workbookViewId="0">
      <selection activeCell="AX75" sqref="AX75"/>
    </sheetView>
  </sheetViews>
  <sheetFormatPr baseColWidth="10" defaultColWidth="11.42578125" defaultRowHeight="15"/>
  <cols>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88" customWidth="1"/>
    <col min="35" max="38" width="16.85546875" style="288" bestFit="1" customWidth="1"/>
    <col min="39" max="39" width="16.42578125" style="288" bestFit="1" customWidth="1"/>
    <col min="40" max="41" width="16.85546875" style="288" bestFit="1" customWidth="1"/>
    <col min="42" max="42" width="16.42578125" style="288" bestFit="1" customWidth="1"/>
    <col min="43" max="44" width="16.85546875" style="288" bestFit="1" customWidth="1"/>
    <col min="45" max="46" width="17.140625" style="288" bestFit="1" customWidth="1"/>
    <col min="47" max="47" width="18.5703125" style="314" bestFit="1" customWidth="1"/>
    <col min="48" max="48" width="18.7109375" style="288" bestFit="1" customWidth="1"/>
    <col min="49" max="49" width="12" style="288" bestFit="1" customWidth="1"/>
    <col min="50" max="50" width="15.7109375" style="288" bestFit="1" customWidth="1"/>
    <col min="51" max="53" width="11.42578125" style="288"/>
    <col min="54" max="54" width="19" style="287" bestFit="1" customWidth="1"/>
  </cols>
  <sheetData>
    <row r="1" spans="1:54" ht="76.5">
      <c r="A1" s="221" t="s">
        <v>358</v>
      </c>
      <c r="B1" s="221" t="s">
        <v>359</v>
      </c>
      <c r="C1" s="221" t="s">
        <v>360</v>
      </c>
      <c r="D1" s="221" t="s">
        <v>361</v>
      </c>
      <c r="E1" s="222" t="s">
        <v>362</v>
      </c>
      <c r="F1" s="221" t="s">
        <v>363</v>
      </c>
      <c r="G1" s="221" t="s">
        <v>364</v>
      </c>
      <c r="H1" s="221" t="s">
        <v>365</v>
      </c>
      <c r="I1" s="221" t="s">
        <v>366</v>
      </c>
      <c r="J1" s="223" t="s">
        <v>184</v>
      </c>
      <c r="K1" s="223" t="s">
        <v>367</v>
      </c>
      <c r="L1" s="223" t="s">
        <v>368</v>
      </c>
      <c r="M1" s="223" t="s">
        <v>369</v>
      </c>
      <c r="N1" s="223" t="s">
        <v>370</v>
      </c>
      <c r="O1" s="223" t="s">
        <v>371</v>
      </c>
      <c r="P1" s="223" t="s">
        <v>372</v>
      </c>
      <c r="Q1" s="223" t="s">
        <v>373</v>
      </c>
      <c r="R1" s="223" t="s">
        <v>374</v>
      </c>
      <c r="S1" s="223" t="s">
        <v>375</v>
      </c>
      <c r="T1" s="223" t="s">
        <v>376</v>
      </c>
      <c r="U1" s="223" t="s">
        <v>377</v>
      </c>
      <c r="V1" s="223" t="s">
        <v>378</v>
      </c>
      <c r="W1" s="223" t="s">
        <v>379</v>
      </c>
      <c r="X1" s="224" t="s">
        <v>380</v>
      </c>
      <c r="Y1" s="223" t="s">
        <v>381</v>
      </c>
      <c r="Z1" s="223" t="s">
        <v>382</v>
      </c>
      <c r="AA1" s="225" t="s">
        <v>383</v>
      </c>
      <c r="AB1" s="225" t="s">
        <v>384</v>
      </c>
      <c r="AC1" s="226" t="s">
        <v>385</v>
      </c>
      <c r="AD1" s="226" t="s">
        <v>386</v>
      </c>
      <c r="AE1" s="227"/>
      <c r="AF1" s="227"/>
      <c r="AG1" s="227"/>
      <c r="AH1" s="321"/>
      <c r="AI1" s="356" t="s">
        <v>62</v>
      </c>
      <c r="AJ1" s="356" t="s">
        <v>63</v>
      </c>
      <c r="AK1" s="356" t="s">
        <v>387</v>
      </c>
      <c r="AL1" s="356" t="s">
        <v>388</v>
      </c>
      <c r="AM1" s="356" t="s">
        <v>389</v>
      </c>
      <c r="AN1" s="356" t="s">
        <v>390</v>
      </c>
      <c r="AO1" s="356" t="s">
        <v>391</v>
      </c>
      <c r="AP1" s="356" t="s">
        <v>392</v>
      </c>
      <c r="AQ1" s="356" t="s">
        <v>393</v>
      </c>
      <c r="AR1" s="356" t="s">
        <v>394</v>
      </c>
      <c r="AS1" s="356" t="s">
        <v>395</v>
      </c>
      <c r="AT1" s="356" t="s">
        <v>396</v>
      </c>
      <c r="AU1" s="314" t="s">
        <v>329</v>
      </c>
      <c r="AX1" s="288" t="s">
        <v>397</v>
      </c>
      <c r="AY1" s="288" t="s">
        <v>398</v>
      </c>
      <c r="AZ1" s="288" t="s">
        <v>399</v>
      </c>
      <c r="BA1" s="288" t="s">
        <v>400</v>
      </c>
    </row>
    <row r="2" spans="1:54">
      <c r="A2" s="228" t="s">
        <v>401</v>
      </c>
      <c r="B2" s="229" t="s">
        <v>402</v>
      </c>
      <c r="C2" s="229" t="s">
        <v>402</v>
      </c>
      <c r="D2" s="229">
        <v>362</v>
      </c>
      <c r="E2" s="230">
        <v>362</v>
      </c>
      <c r="F2" s="231">
        <v>7673</v>
      </c>
      <c r="G2" s="228" t="s">
        <v>403</v>
      </c>
      <c r="H2" s="228" t="s">
        <v>404</v>
      </c>
      <c r="I2" s="228" t="s">
        <v>405</v>
      </c>
      <c r="J2" s="228" t="s">
        <v>406</v>
      </c>
      <c r="K2" s="228" t="s">
        <v>407</v>
      </c>
      <c r="L2" s="228" t="s">
        <v>408</v>
      </c>
      <c r="M2" s="228" t="s">
        <v>409</v>
      </c>
      <c r="N2" s="228" t="s">
        <v>410</v>
      </c>
      <c r="O2" s="228" t="s">
        <v>411</v>
      </c>
      <c r="P2" s="228" t="s">
        <v>412</v>
      </c>
      <c r="Q2" s="232">
        <v>1</v>
      </c>
      <c r="R2" s="228" t="s">
        <v>413</v>
      </c>
      <c r="S2" s="228" t="s">
        <v>414</v>
      </c>
      <c r="T2" s="229">
        <v>80111620</v>
      </c>
      <c r="U2" s="233" t="s">
        <v>415</v>
      </c>
      <c r="V2" s="229">
        <v>1</v>
      </c>
      <c r="W2" s="229">
        <v>1</v>
      </c>
      <c r="X2" s="229">
        <v>330</v>
      </c>
      <c r="Y2" s="234" t="s">
        <v>416</v>
      </c>
      <c r="Z2" s="235" t="s">
        <v>417</v>
      </c>
      <c r="AA2" s="323">
        <v>69608000</v>
      </c>
      <c r="AB2" s="236">
        <v>6328000</v>
      </c>
      <c r="AC2" s="235" t="s">
        <v>418</v>
      </c>
      <c r="AD2" s="235" t="s">
        <v>419</v>
      </c>
      <c r="AE2" s="237"/>
      <c r="AF2" s="238"/>
      <c r="AG2" s="239"/>
      <c r="AH2" s="289"/>
      <c r="AI2" s="347">
        <f>AB2/30*10</f>
        <v>2109333.3333333335</v>
      </c>
      <c r="AJ2" s="347">
        <f>AB2</f>
        <v>6328000</v>
      </c>
      <c r="AK2" s="347">
        <v>6328000</v>
      </c>
      <c r="AL2" s="347">
        <v>6328000</v>
      </c>
      <c r="AM2" s="317">
        <v>6328000</v>
      </c>
      <c r="AN2" s="317">
        <v>6328000</v>
      </c>
      <c r="AO2" s="317">
        <v>6328000</v>
      </c>
      <c r="AP2" s="317">
        <v>6328000</v>
      </c>
      <c r="AQ2" s="317">
        <v>6328000</v>
      </c>
      <c r="AR2" s="317">
        <v>6328000</v>
      </c>
      <c r="AS2" s="317">
        <v>6328000</v>
      </c>
      <c r="AT2" s="317">
        <f>AB2/30*20</f>
        <v>4218666.666666667</v>
      </c>
      <c r="AU2" s="314">
        <f>SUM(AI2:AT2)</f>
        <v>69608000</v>
      </c>
      <c r="AV2" s="291">
        <f>+AU2-AA2</f>
        <v>0</v>
      </c>
      <c r="AX2" s="288">
        <f>+AU2</f>
        <v>69608000</v>
      </c>
      <c r="AY2" s="288">
        <v>0</v>
      </c>
      <c r="AZ2" s="288">
        <v>0</v>
      </c>
      <c r="BA2" s="288">
        <v>0</v>
      </c>
      <c r="BB2" s="287">
        <f>SUM(AX2:BA2)</f>
        <v>69608000</v>
      </c>
    </row>
    <row r="3" spans="1:54">
      <c r="A3" s="228" t="s">
        <v>401</v>
      </c>
      <c r="B3" s="229" t="s">
        <v>402</v>
      </c>
      <c r="C3" s="229" t="s">
        <v>402</v>
      </c>
      <c r="D3" s="229">
        <v>363</v>
      </c>
      <c r="E3" s="230">
        <v>363</v>
      </c>
      <c r="F3" s="231">
        <v>7673</v>
      </c>
      <c r="G3" s="228" t="s">
        <v>403</v>
      </c>
      <c r="H3" s="228" t="s">
        <v>404</v>
      </c>
      <c r="I3" s="228" t="s">
        <v>405</v>
      </c>
      <c r="J3" s="228" t="s">
        <v>406</v>
      </c>
      <c r="K3" s="228" t="s">
        <v>407</v>
      </c>
      <c r="L3" s="228" t="s">
        <v>408</v>
      </c>
      <c r="M3" s="228" t="s">
        <v>409</v>
      </c>
      <c r="N3" s="228" t="s">
        <v>410</v>
      </c>
      <c r="O3" s="228" t="s">
        <v>411</v>
      </c>
      <c r="P3" s="228" t="s">
        <v>412</v>
      </c>
      <c r="Q3" s="232">
        <v>1</v>
      </c>
      <c r="R3" s="228" t="s">
        <v>413</v>
      </c>
      <c r="S3" s="228" t="s">
        <v>414</v>
      </c>
      <c r="T3" s="229">
        <v>80111620</v>
      </c>
      <c r="U3" s="242" t="s">
        <v>415</v>
      </c>
      <c r="V3" s="229">
        <v>1</v>
      </c>
      <c r="W3" s="229">
        <v>1</v>
      </c>
      <c r="X3" s="229">
        <v>330</v>
      </c>
      <c r="Y3" s="234" t="s">
        <v>416</v>
      </c>
      <c r="Z3" s="235" t="s">
        <v>417</v>
      </c>
      <c r="AA3" s="323">
        <v>69608000</v>
      </c>
      <c r="AB3" s="236">
        <v>6328000</v>
      </c>
      <c r="AC3" s="235" t="s">
        <v>418</v>
      </c>
      <c r="AD3" s="235" t="s">
        <v>419</v>
      </c>
      <c r="AE3" s="237"/>
      <c r="AF3" s="238"/>
      <c r="AG3" s="239"/>
      <c r="AH3" s="289"/>
      <c r="AI3" s="347">
        <f t="shared" ref="AI3:AI52" si="0">AB3/30*10</f>
        <v>2109333.3333333335</v>
      </c>
      <c r="AJ3" s="347">
        <f t="shared" ref="AJ3:AJ52" si="1">AB3</f>
        <v>6328000</v>
      </c>
      <c r="AK3" s="347">
        <v>6328000</v>
      </c>
      <c r="AL3" s="347">
        <v>6328000</v>
      </c>
      <c r="AM3" s="317">
        <v>6328000</v>
      </c>
      <c r="AN3" s="317">
        <v>6328000</v>
      </c>
      <c r="AO3" s="317">
        <v>6328000</v>
      </c>
      <c r="AP3" s="317">
        <v>6328000</v>
      </c>
      <c r="AQ3" s="317">
        <v>6328000</v>
      </c>
      <c r="AR3" s="317">
        <v>6328000</v>
      </c>
      <c r="AS3" s="317">
        <v>6328000</v>
      </c>
      <c r="AT3" s="317">
        <f t="shared" ref="AT3:AT52" si="2">AB3/30*20</f>
        <v>4218666.666666667</v>
      </c>
      <c r="AU3" s="314">
        <f t="shared" ref="AU3:AU71" si="3">SUM(AI3:AT3)</f>
        <v>69608000</v>
      </c>
      <c r="AV3" s="291">
        <f t="shared" ref="AV3:AV71" si="4">+AU3-AA3</f>
        <v>0</v>
      </c>
      <c r="AX3" s="288">
        <f t="shared" ref="AX3:AX31" si="5">+AU3</f>
        <v>69608000</v>
      </c>
      <c r="AY3" s="288">
        <v>0</v>
      </c>
      <c r="AZ3" s="288">
        <v>0</v>
      </c>
      <c r="BA3" s="288">
        <v>0</v>
      </c>
      <c r="BB3" s="287">
        <f t="shared" ref="BB3:BB71" si="6">SUM(AX3:BA3)</f>
        <v>69608000</v>
      </c>
    </row>
    <row r="4" spans="1:54">
      <c r="A4" s="228" t="s">
        <v>401</v>
      </c>
      <c r="B4" s="229" t="s">
        <v>402</v>
      </c>
      <c r="C4" s="229" t="s">
        <v>402</v>
      </c>
      <c r="D4" s="229">
        <v>364</v>
      </c>
      <c r="E4" s="230">
        <v>364</v>
      </c>
      <c r="F4" s="231">
        <v>7673</v>
      </c>
      <c r="G4" s="228" t="s">
        <v>403</v>
      </c>
      <c r="H4" s="228" t="s">
        <v>404</v>
      </c>
      <c r="I4" s="228" t="s">
        <v>405</v>
      </c>
      <c r="J4" s="228" t="s">
        <v>406</v>
      </c>
      <c r="K4" s="228" t="s">
        <v>407</v>
      </c>
      <c r="L4" s="228" t="s">
        <v>408</v>
      </c>
      <c r="M4" s="228" t="s">
        <v>409</v>
      </c>
      <c r="N4" s="228" t="s">
        <v>410</v>
      </c>
      <c r="O4" s="228" t="s">
        <v>411</v>
      </c>
      <c r="P4" s="228" t="s">
        <v>412</v>
      </c>
      <c r="Q4" s="232">
        <v>1</v>
      </c>
      <c r="R4" s="228" t="s">
        <v>413</v>
      </c>
      <c r="S4" s="228" t="s">
        <v>414</v>
      </c>
      <c r="T4" s="229">
        <v>80111620</v>
      </c>
      <c r="U4" s="228" t="s">
        <v>420</v>
      </c>
      <c r="V4" s="229">
        <v>1</v>
      </c>
      <c r="W4" s="229">
        <v>1</v>
      </c>
      <c r="X4" s="229">
        <v>330</v>
      </c>
      <c r="Y4" s="234" t="s">
        <v>416</v>
      </c>
      <c r="Z4" s="235" t="s">
        <v>417</v>
      </c>
      <c r="AA4" s="323">
        <v>69608000</v>
      </c>
      <c r="AB4" s="236">
        <v>6328000</v>
      </c>
      <c r="AC4" s="235" t="s">
        <v>421</v>
      </c>
      <c r="AD4" s="235" t="s">
        <v>419</v>
      </c>
      <c r="AE4" s="243"/>
      <c r="AF4" s="238"/>
      <c r="AG4" s="241"/>
      <c r="AH4" s="290"/>
      <c r="AI4" s="347">
        <f t="shared" si="0"/>
        <v>2109333.3333333335</v>
      </c>
      <c r="AJ4" s="347">
        <f t="shared" si="1"/>
        <v>6328000</v>
      </c>
      <c r="AK4" s="347">
        <v>6328000</v>
      </c>
      <c r="AL4" s="347">
        <v>6328000</v>
      </c>
      <c r="AM4" s="317">
        <v>6328000</v>
      </c>
      <c r="AN4" s="317">
        <v>6328000</v>
      </c>
      <c r="AO4" s="317">
        <v>6328000</v>
      </c>
      <c r="AP4" s="317">
        <v>6328000</v>
      </c>
      <c r="AQ4" s="317">
        <v>6328000</v>
      </c>
      <c r="AR4" s="317">
        <v>6328000</v>
      </c>
      <c r="AS4" s="317">
        <v>6328000</v>
      </c>
      <c r="AT4" s="317">
        <f t="shared" si="2"/>
        <v>4218666.666666667</v>
      </c>
      <c r="AU4" s="314">
        <f t="shared" si="3"/>
        <v>69608000</v>
      </c>
      <c r="AV4" s="291">
        <f t="shared" si="4"/>
        <v>0</v>
      </c>
      <c r="AX4" s="288">
        <f t="shared" si="5"/>
        <v>69608000</v>
      </c>
      <c r="AY4" s="288">
        <v>0</v>
      </c>
      <c r="AZ4" s="288">
        <v>0</v>
      </c>
      <c r="BA4" s="288">
        <v>0</v>
      </c>
      <c r="BB4" s="287">
        <f t="shared" si="6"/>
        <v>69608000</v>
      </c>
    </row>
    <row r="5" spans="1:54">
      <c r="A5" s="228" t="s">
        <v>401</v>
      </c>
      <c r="B5" s="229" t="s">
        <v>402</v>
      </c>
      <c r="C5" s="229" t="s">
        <v>402</v>
      </c>
      <c r="D5" s="229">
        <v>365</v>
      </c>
      <c r="E5" s="230">
        <v>365</v>
      </c>
      <c r="F5" s="231">
        <v>7673</v>
      </c>
      <c r="G5" s="228" t="s">
        <v>403</v>
      </c>
      <c r="H5" s="228" t="s">
        <v>404</v>
      </c>
      <c r="I5" s="228" t="s">
        <v>405</v>
      </c>
      <c r="J5" s="228" t="s">
        <v>406</v>
      </c>
      <c r="K5" s="228" t="s">
        <v>407</v>
      </c>
      <c r="L5" s="228" t="s">
        <v>408</v>
      </c>
      <c r="M5" s="228" t="s">
        <v>409</v>
      </c>
      <c r="N5" s="228" t="s">
        <v>410</v>
      </c>
      <c r="O5" s="228" t="s">
        <v>411</v>
      </c>
      <c r="P5" s="228" t="s">
        <v>412</v>
      </c>
      <c r="Q5" s="232">
        <v>1</v>
      </c>
      <c r="R5" s="228" t="s">
        <v>422</v>
      </c>
      <c r="S5" s="228" t="s">
        <v>423</v>
      </c>
      <c r="T5" s="229">
        <v>80111620</v>
      </c>
      <c r="U5" s="228" t="s">
        <v>424</v>
      </c>
      <c r="V5" s="229">
        <v>1</v>
      </c>
      <c r="W5" s="229">
        <v>1</v>
      </c>
      <c r="X5" s="229">
        <v>330</v>
      </c>
      <c r="Y5" s="234" t="s">
        <v>416</v>
      </c>
      <c r="Z5" s="235" t="s">
        <v>417</v>
      </c>
      <c r="AA5" s="323">
        <v>69608000</v>
      </c>
      <c r="AB5" s="236">
        <v>6328000</v>
      </c>
      <c r="AC5" s="235" t="s">
        <v>425</v>
      </c>
      <c r="AD5" s="235" t="s">
        <v>419</v>
      </c>
      <c r="AE5" s="237"/>
      <c r="AF5" s="238"/>
      <c r="AG5" s="239"/>
      <c r="AH5" s="289"/>
      <c r="AI5" s="347">
        <f t="shared" si="0"/>
        <v>2109333.3333333335</v>
      </c>
      <c r="AJ5" s="347">
        <f t="shared" si="1"/>
        <v>6328000</v>
      </c>
      <c r="AK5" s="347">
        <v>6328000</v>
      </c>
      <c r="AL5" s="347">
        <v>6328000</v>
      </c>
      <c r="AM5" s="317">
        <v>6328000</v>
      </c>
      <c r="AN5" s="317">
        <v>6328000</v>
      </c>
      <c r="AO5" s="317">
        <v>6328000</v>
      </c>
      <c r="AP5" s="317">
        <v>6328000</v>
      </c>
      <c r="AQ5" s="317">
        <v>6328000</v>
      </c>
      <c r="AR5" s="317">
        <v>6328000</v>
      </c>
      <c r="AS5" s="317">
        <v>6328000</v>
      </c>
      <c r="AT5" s="317">
        <f t="shared" si="2"/>
        <v>4218666.666666667</v>
      </c>
      <c r="AU5" s="314">
        <f t="shared" si="3"/>
        <v>69608000</v>
      </c>
      <c r="AV5" s="291">
        <f t="shared" si="4"/>
        <v>0</v>
      </c>
      <c r="AX5" s="288">
        <f t="shared" si="5"/>
        <v>69608000</v>
      </c>
      <c r="AY5" s="288">
        <v>0</v>
      </c>
      <c r="AZ5" s="288">
        <v>0</v>
      </c>
      <c r="BA5" s="288">
        <v>0</v>
      </c>
      <c r="BB5" s="287">
        <f t="shared" si="6"/>
        <v>69608000</v>
      </c>
    </row>
    <row r="6" spans="1:54">
      <c r="A6" s="228" t="s">
        <v>401</v>
      </c>
      <c r="B6" s="229" t="s">
        <v>402</v>
      </c>
      <c r="C6" s="229" t="s">
        <v>402</v>
      </c>
      <c r="D6" s="229">
        <v>366</v>
      </c>
      <c r="E6" s="230">
        <v>366</v>
      </c>
      <c r="F6" s="231">
        <v>7673</v>
      </c>
      <c r="G6" s="228" t="s">
        <v>403</v>
      </c>
      <c r="H6" s="228" t="s">
        <v>404</v>
      </c>
      <c r="I6" s="228" t="s">
        <v>405</v>
      </c>
      <c r="J6" s="228" t="s">
        <v>406</v>
      </c>
      <c r="K6" s="228" t="s">
        <v>407</v>
      </c>
      <c r="L6" s="228" t="s">
        <v>408</v>
      </c>
      <c r="M6" s="228" t="s">
        <v>409</v>
      </c>
      <c r="N6" s="228" t="s">
        <v>410</v>
      </c>
      <c r="O6" s="228" t="s">
        <v>411</v>
      </c>
      <c r="P6" s="228" t="s">
        <v>412</v>
      </c>
      <c r="Q6" s="232">
        <v>1</v>
      </c>
      <c r="R6" s="228" t="s">
        <v>413</v>
      </c>
      <c r="S6" s="228" t="s">
        <v>414</v>
      </c>
      <c r="T6" s="229">
        <v>80111620</v>
      </c>
      <c r="U6" s="233" t="s">
        <v>426</v>
      </c>
      <c r="V6" s="229">
        <v>1</v>
      </c>
      <c r="W6" s="229">
        <v>1</v>
      </c>
      <c r="X6" s="229">
        <v>360</v>
      </c>
      <c r="Y6" s="234" t="s">
        <v>416</v>
      </c>
      <c r="Z6" s="235" t="s">
        <v>417</v>
      </c>
      <c r="AA6" s="323">
        <v>80340000</v>
      </c>
      <c r="AB6" s="236">
        <v>6695000</v>
      </c>
      <c r="AC6" s="235" t="s">
        <v>427</v>
      </c>
      <c r="AD6" s="235" t="s">
        <v>419</v>
      </c>
      <c r="AE6" s="237"/>
      <c r="AF6" s="238"/>
      <c r="AG6" s="239"/>
      <c r="AH6" s="289"/>
      <c r="AI6" s="347">
        <v>6695000</v>
      </c>
      <c r="AJ6" s="347">
        <f t="shared" si="1"/>
        <v>6695000</v>
      </c>
      <c r="AK6" s="347">
        <v>6695000</v>
      </c>
      <c r="AL6" s="347">
        <v>6695000</v>
      </c>
      <c r="AM6" s="317">
        <v>6695000</v>
      </c>
      <c r="AN6" s="317">
        <v>6695000</v>
      </c>
      <c r="AO6" s="317">
        <v>6695000</v>
      </c>
      <c r="AP6" s="317">
        <v>6695000</v>
      </c>
      <c r="AQ6" s="317">
        <v>6695000</v>
      </c>
      <c r="AR6" s="317">
        <v>6695000</v>
      </c>
      <c r="AS6" s="317">
        <v>6695000</v>
      </c>
      <c r="AT6" s="317">
        <f>AB6/30*30</f>
        <v>6695000</v>
      </c>
      <c r="AU6" s="314">
        <f t="shared" si="3"/>
        <v>80340000</v>
      </c>
      <c r="AV6" s="291">
        <f t="shared" si="4"/>
        <v>0</v>
      </c>
      <c r="AX6" s="288">
        <f t="shared" si="5"/>
        <v>80340000</v>
      </c>
      <c r="AY6" s="288">
        <v>0</v>
      </c>
      <c r="AZ6" s="288">
        <v>0</v>
      </c>
      <c r="BA6" s="288">
        <v>0</v>
      </c>
      <c r="BB6" s="287">
        <f t="shared" si="6"/>
        <v>80340000</v>
      </c>
    </row>
    <row r="7" spans="1:54">
      <c r="A7" s="228" t="s">
        <v>401</v>
      </c>
      <c r="B7" s="229" t="s">
        <v>402</v>
      </c>
      <c r="C7" s="229" t="s">
        <v>402</v>
      </c>
      <c r="D7" s="229">
        <v>367</v>
      </c>
      <c r="E7" s="230">
        <v>367</v>
      </c>
      <c r="F7" s="231">
        <v>7673</v>
      </c>
      <c r="G7" s="228" t="s">
        <v>403</v>
      </c>
      <c r="H7" s="228" t="s">
        <v>404</v>
      </c>
      <c r="I7" s="228" t="s">
        <v>405</v>
      </c>
      <c r="J7" s="228" t="s">
        <v>406</v>
      </c>
      <c r="K7" s="228" t="s">
        <v>407</v>
      </c>
      <c r="L7" s="228" t="s">
        <v>408</v>
      </c>
      <c r="M7" s="228" t="s">
        <v>409</v>
      </c>
      <c r="N7" s="228" t="s">
        <v>410</v>
      </c>
      <c r="O7" s="228" t="s">
        <v>411</v>
      </c>
      <c r="P7" s="228" t="s">
        <v>412</v>
      </c>
      <c r="Q7" s="232">
        <v>1</v>
      </c>
      <c r="R7" s="228" t="s">
        <v>413</v>
      </c>
      <c r="S7" s="228" t="s">
        <v>414</v>
      </c>
      <c r="T7" s="229">
        <v>80111620</v>
      </c>
      <c r="U7" s="242" t="s">
        <v>428</v>
      </c>
      <c r="V7" s="229">
        <v>1</v>
      </c>
      <c r="W7" s="229">
        <v>1</v>
      </c>
      <c r="X7" s="229">
        <v>360</v>
      </c>
      <c r="Y7" s="234" t="s">
        <v>416</v>
      </c>
      <c r="Z7" s="235" t="s">
        <v>417</v>
      </c>
      <c r="AA7" s="323">
        <v>80340000</v>
      </c>
      <c r="AB7" s="236">
        <v>6695000</v>
      </c>
      <c r="AC7" s="235" t="s">
        <v>429</v>
      </c>
      <c r="AD7" s="235" t="s">
        <v>419</v>
      </c>
      <c r="AE7" s="237"/>
      <c r="AF7" s="238"/>
      <c r="AG7" s="239"/>
      <c r="AH7" s="289"/>
      <c r="AI7" s="347">
        <v>6695000</v>
      </c>
      <c r="AJ7" s="347">
        <f t="shared" si="1"/>
        <v>6695000</v>
      </c>
      <c r="AK7" s="347">
        <v>6695000</v>
      </c>
      <c r="AL7" s="347">
        <v>6695000</v>
      </c>
      <c r="AM7" s="317">
        <v>6695000</v>
      </c>
      <c r="AN7" s="317">
        <v>6695000</v>
      </c>
      <c r="AO7" s="317">
        <v>6695000</v>
      </c>
      <c r="AP7" s="317">
        <v>6695000</v>
      </c>
      <c r="AQ7" s="317">
        <v>6695000</v>
      </c>
      <c r="AR7" s="317">
        <v>6695000</v>
      </c>
      <c r="AS7" s="317">
        <v>6695000</v>
      </c>
      <c r="AT7" s="317">
        <v>6695000</v>
      </c>
      <c r="AU7" s="314">
        <f t="shared" si="3"/>
        <v>80340000</v>
      </c>
      <c r="AV7" s="291">
        <f t="shared" si="4"/>
        <v>0</v>
      </c>
      <c r="AX7" s="288">
        <f t="shared" si="5"/>
        <v>80340000</v>
      </c>
      <c r="AY7" s="288">
        <v>0</v>
      </c>
      <c r="AZ7" s="288">
        <v>0</v>
      </c>
      <c r="BA7" s="288">
        <v>0</v>
      </c>
      <c r="BB7" s="287">
        <f t="shared" si="6"/>
        <v>80340000</v>
      </c>
    </row>
    <row r="8" spans="1:54">
      <c r="A8" s="228" t="s">
        <v>401</v>
      </c>
      <c r="B8" s="229" t="s">
        <v>402</v>
      </c>
      <c r="C8" s="229" t="s">
        <v>402</v>
      </c>
      <c r="D8" s="229">
        <v>368</v>
      </c>
      <c r="E8" s="230">
        <v>368</v>
      </c>
      <c r="F8" s="231">
        <v>7673</v>
      </c>
      <c r="G8" s="228" t="s">
        <v>403</v>
      </c>
      <c r="H8" s="228" t="s">
        <v>404</v>
      </c>
      <c r="I8" s="228" t="s">
        <v>405</v>
      </c>
      <c r="J8" s="228" t="s">
        <v>406</v>
      </c>
      <c r="K8" s="228" t="s">
        <v>407</v>
      </c>
      <c r="L8" s="228" t="s">
        <v>408</v>
      </c>
      <c r="M8" s="228" t="s">
        <v>409</v>
      </c>
      <c r="N8" s="228" t="s">
        <v>410</v>
      </c>
      <c r="O8" s="228" t="s">
        <v>411</v>
      </c>
      <c r="P8" s="228" t="s">
        <v>412</v>
      </c>
      <c r="Q8" s="232">
        <v>1</v>
      </c>
      <c r="R8" s="228" t="s">
        <v>430</v>
      </c>
      <c r="S8" s="228" t="s">
        <v>431</v>
      </c>
      <c r="T8" s="229">
        <v>80111620</v>
      </c>
      <c r="U8" s="228" t="s">
        <v>432</v>
      </c>
      <c r="V8" s="229">
        <v>1</v>
      </c>
      <c r="W8" s="229">
        <v>1</v>
      </c>
      <c r="X8" s="229">
        <v>330</v>
      </c>
      <c r="Y8" s="234" t="s">
        <v>416</v>
      </c>
      <c r="Z8" s="235" t="s">
        <v>417</v>
      </c>
      <c r="AA8" s="323">
        <v>39655000</v>
      </c>
      <c r="AB8" s="236">
        <v>3605000</v>
      </c>
      <c r="AC8" s="235" t="s">
        <v>433</v>
      </c>
      <c r="AD8" s="235" t="s">
        <v>419</v>
      </c>
      <c r="AE8" s="237"/>
      <c r="AF8" s="238"/>
      <c r="AG8" s="239"/>
      <c r="AH8" s="289"/>
      <c r="AI8" s="347">
        <f t="shared" si="0"/>
        <v>1201666.6666666667</v>
      </c>
      <c r="AJ8" s="347">
        <f t="shared" si="1"/>
        <v>3605000</v>
      </c>
      <c r="AK8" s="347">
        <v>3605000</v>
      </c>
      <c r="AL8" s="317">
        <v>3605000</v>
      </c>
      <c r="AM8" s="317">
        <v>3605000</v>
      </c>
      <c r="AN8" s="317">
        <v>3605000</v>
      </c>
      <c r="AO8" s="317">
        <v>3605000</v>
      </c>
      <c r="AP8" s="317">
        <v>3605000</v>
      </c>
      <c r="AQ8" s="317">
        <v>3605000</v>
      </c>
      <c r="AR8" s="317">
        <v>3605000</v>
      </c>
      <c r="AS8" s="317">
        <v>3605000</v>
      </c>
      <c r="AT8" s="317">
        <f t="shared" si="2"/>
        <v>2403333.3333333335</v>
      </c>
      <c r="AU8" s="314">
        <f t="shared" si="3"/>
        <v>39655000.000000007</v>
      </c>
      <c r="AV8" s="291">
        <f t="shared" si="4"/>
        <v>0</v>
      </c>
      <c r="AX8" s="288">
        <f t="shared" si="5"/>
        <v>39655000.000000007</v>
      </c>
      <c r="AY8" s="288">
        <v>0</v>
      </c>
      <c r="AZ8" s="288">
        <v>0</v>
      </c>
      <c r="BA8" s="288">
        <v>0</v>
      </c>
      <c r="BB8" s="287">
        <f t="shared" si="6"/>
        <v>39655000.000000007</v>
      </c>
    </row>
    <row r="9" spans="1:54">
      <c r="A9" s="228" t="s">
        <v>401</v>
      </c>
      <c r="B9" s="229" t="s">
        <v>402</v>
      </c>
      <c r="C9" s="229" t="s">
        <v>402</v>
      </c>
      <c r="D9" s="229">
        <v>369</v>
      </c>
      <c r="E9" s="230">
        <v>369</v>
      </c>
      <c r="F9" s="231">
        <v>7673</v>
      </c>
      <c r="G9" s="228" t="s">
        <v>403</v>
      </c>
      <c r="H9" s="228" t="s">
        <v>404</v>
      </c>
      <c r="I9" s="228" t="s">
        <v>405</v>
      </c>
      <c r="J9" s="228" t="s">
        <v>406</v>
      </c>
      <c r="K9" s="228" t="s">
        <v>407</v>
      </c>
      <c r="L9" s="228" t="s">
        <v>408</v>
      </c>
      <c r="M9" s="228" t="s">
        <v>409</v>
      </c>
      <c r="N9" s="228" t="s">
        <v>410</v>
      </c>
      <c r="O9" s="228" t="s">
        <v>411</v>
      </c>
      <c r="P9" s="228" t="s">
        <v>412</v>
      </c>
      <c r="Q9" s="232">
        <v>1</v>
      </c>
      <c r="R9" s="228" t="s">
        <v>430</v>
      </c>
      <c r="S9" s="228" t="s">
        <v>431</v>
      </c>
      <c r="T9" s="229">
        <v>80111620</v>
      </c>
      <c r="U9" s="228" t="s">
        <v>432</v>
      </c>
      <c r="V9" s="229">
        <v>1</v>
      </c>
      <c r="W9" s="229">
        <v>1</v>
      </c>
      <c r="X9" s="229">
        <v>330</v>
      </c>
      <c r="Y9" s="234" t="s">
        <v>416</v>
      </c>
      <c r="Z9" s="235" t="s">
        <v>417</v>
      </c>
      <c r="AA9" s="323">
        <v>39655000</v>
      </c>
      <c r="AB9" s="236">
        <v>3605000</v>
      </c>
      <c r="AC9" s="235" t="s">
        <v>433</v>
      </c>
      <c r="AD9" s="235" t="s">
        <v>419</v>
      </c>
      <c r="AE9" s="237"/>
      <c r="AF9" s="238"/>
      <c r="AG9" s="239"/>
      <c r="AH9" s="289"/>
      <c r="AI9" s="347">
        <f t="shared" si="0"/>
        <v>1201666.6666666667</v>
      </c>
      <c r="AJ9" s="347">
        <f t="shared" si="1"/>
        <v>3605000</v>
      </c>
      <c r="AK9" s="347">
        <v>3605000</v>
      </c>
      <c r="AL9" s="317">
        <v>3605000</v>
      </c>
      <c r="AM9" s="317">
        <v>3605000</v>
      </c>
      <c r="AN9" s="317">
        <v>3605000</v>
      </c>
      <c r="AO9" s="317">
        <v>3605000</v>
      </c>
      <c r="AP9" s="317">
        <v>3605000</v>
      </c>
      <c r="AQ9" s="317">
        <v>3605000</v>
      </c>
      <c r="AR9" s="317">
        <v>3605000</v>
      </c>
      <c r="AS9" s="317">
        <v>3605000</v>
      </c>
      <c r="AT9" s="317">
        <f t="shared" si="2"/>
        <v>2403333.3333333335</v>
      </c>
      <c r="AU9" s="314">
        <f t="shared" si="3"/>
        <v>39655000.000000007</v>
      </c>
      <c r="AV9" s="291">
        <f t="shared" si="4"/>
        <v>0</v>
      </c>
      <c r="AX9" s="288">
        <f t="shared" si="5"/>
        <v>39655000.000000007</v>
      </c>
      <c r="AY9" s="288">
        <v>0</v>
      </c>
      <c r="AZ9" s="288">
        <v>0</v>
      </c>
      <c r="BA9" s="288">
        <v>0</v>
      </c>
      <c r="BB9" s="287">
        <f t="shared" si="6"/>
        <v>39655000.000000007</v>
      </c>
    </row>
    <row r="10" spans="1:54">
      <c r="A10" s="228" t="s">
        <v>401</v>
      </c>
      <c r="B10" s="229" t="s">
        <v>402</v>
      </c>
      <c r="C10" s="229" t="s">
        <v>402</v>
      </c>
      <c r="D10" s="229">
        <v>370</v>
      </c>
      <c r="E10" s="230">
        <v>370</v>
      </c>
      <c r="F10" s="231">
        <v>7673</v>
      </c>
      <c r="G10" s="228" t="s">
        <v>403</v>
      </c>
      <c r="H10" s="228" t="s">
        <v>404</v>
      </c>
      <c r="I10" s="228" t="s">
        <v>405</v>
      </c>
      <c r="J10" s="228" t="s">
        <v>406</v>
      </c>
      <c r="K10" s="228" t="s">
        <v>407</v>
      </c>
      <c r="L10" s="228" t="s">
        <v>408</v>
      </c>
      <c r="M10" s="228" t="s">
        <v>409</v>
      </c>
      <c r="N10" s="228" t="s">
        <v>410</v>
      </c>
      <c r="O10" s="228" t="s">
        <v>411</v>
      </c>
      <c r="P10" s="228" t="s">
        <v>412</v>
      </c>
      <c r="Q10" s="232">
        <v>1</v>
      </c>
      <c r="R10" s="228" t="s">
        <v>430</v>
      </c>
      <c r="S10" s="228" t="s">
        <v>431</v>
      </c>
      <c r="T10" s="229">
        <v>80111620</v>
      </c>
      <c r="U10" s="228" t="s">
        <v>432</v>
      </c>
      <c r="V10" s="229">
        <v>1</v>
      </c>
      <c r="W10" s="229">
        <v>1</v>
      </c>
      <c r="X10" s="229">
        <v>330</v>
      </c>
      <c r="Y10" s="234" t="s">
        <v>416</v>
      </c>
      <c r="Z10" s="235" t="s">
        <v>417</v>
      </c>
      <c r="AA10" s="323">
        <v>39655000</v>
      </c>
      <c r="AB10" s="236">
        <v>3605000</v>
      </c>
      <c r="AC10" s="235" t="s">
        <v>433</v>
      </c>
      <c r="AD10" s="235" t="s">
        <v>419</v>
      </c>
      <c r="AE10" s="237"/>
      <c r="AF10" s="238"/>
      <c r="AG10" s="239"/>
      <c r="AH10" s="289"/>
      <c r="AI10" s="347">
        <f t="shared" si="0"/>
        <v>1201666.6666666667</v>
      </c>
      <c r="AJ10" s="347">
        <f t="shared" si="1"/>
        <v>3605000</v>
      </c>
      <c r="AK10" s="347">
        <v>3605000</v>
      </c>
      <c r="AL10" s="317">
        <v>3605000</v>
      </c>
      <c r="AM10" s="317">
        <v>3605000</v>
      </c>
      <c r="AN10" s="317">
        <v>3605000</v>
      </c>
      <c r="AO10" s="317">
        <v>3605000</v>
      </c>
      <c r="AP10" s="317">
        <v>3605000</v>
      </c>
      <c r="AQ10" s="317">
        <v>3605000</v>
      </c>
      <c r="AR10" s="317">
        <v>3605000</v>
      </c>
      <c r="AS10" s="317">
        <v>3605000</v>
      </c>
      <c r="AT10" s="317">
        <f t="shared" si="2"/>
        <v>2403333.3333333335</v>
      </c>
      <c r="AU10" s="314">
        <f t="shared" si="3"/>
        <v>39655000.000000007</v>
      </c>
      <c r="AV10" s="291">
        <f t="shared" si="4"/>
        <v>0</v>
      </c>
      <c r="AX10" s="288">
        <f t="shared" si="5"/>
        <v>39655000.000000007</v>
      </c>
      <c r="AY10" s="288">
        <v>0</v>
      </c>
      <c r="AZ10" s="288">
        <v>0</v>
      </c>
      <c r="BA10" s="288">
        <v>0</v>
      </c>
      <c r="BB10" s="287">
        <f t="shared" si="6"/>
        <v>39655000.000000007</v>
      </c>
    </row>
    <row r="11" spans="1:54">
      <c r="A11" s="228" t="s">
        <v>401</v>
      </c>
      <c r="B11" s="229" t="s">
        <v>402</v>
      </c>
      <c r="C11" s="229" t="s">
        <v>402</v>
      </c>
      <c r="D11" s="229">
        <v>371</v>
      </c>
      <c r="E11" s="230">
        <v>371</v>
      </c>
      <c r="F11" s="231">
        <v>7673</v>
      </c>
      <c r="G11" s="228" t="s">
        <v>403</v>
      </c>
      <c r="H11" s="228" t="s">
        <v>404</v>
      </c>
      <c r="I11" s="228" t="s">
        <v>405</v>
      </c>
      <c r="J11" s="228" t="s">
        <v>406</v>
      </c>
      <c r="K11" s="228" t="s">
        <v>407</v>
      </c>
      <c r="L11" s="228" t="s">
        <v>408</v>
      </c>
      <c r="M11" s="228" t="s">
        <v>409</v>
      </c>
      <c r="N11" s="228" t="s">
        <v>410</v>
      </c>
      <c r="O11" s="228" t="s">
        <v>411</v>
      </c>
      <c r="P11" s="228" t="s">
        <v>412</v>
      </c>
      <c r="Q11" s="232">
        <v>1</v>
      </c>
      <c r="R11" s="228" t="s">
        <v>430</v>
      </c>
      <c r="S11" s="228" t="s">
        <v>431</v>
      </c>
      <c r="T11" s="229">
        <v>80111620</v>
      </c>
      <c r="U11" s="228" t="s">
        <v>432</v>
      </c>
      <c r="V11" s="229">
        <v>1</v>
      </c>
      <c r="W11" s="229">
        <v>1</v>
      </c>
      <c r="X11" s="229">
        <v>330</v>
      </c>
      <c r="Y11" s="234" t="s">
        <v>416</v>
      </c>
      <c r="Z11" s="235" t="s">
        <v>417</v>
      </c>
      <c r="AA11" s="323">
        <v>39655000</v>
      </c>
      <c r="AB11" s="236">
        <v>3605000</v>
      </c>
      <c r="AC11" s="235" t="s">
        <v>433</v>
      </c>
      <c r="AD11" s="235" t="s">
        <v>419</v>
      </c>
      <c r="AE11" s="237"/>
      <c r="AF11" s="238"/>
      <c r="AG11" s="239"/>
      <c r="AH11" s="289"/>
      <c r="AI11" s="347">
        <f t="shared" si="0"/>
        <v>1201666.6666666667</v>
      </c>
      <c r="AJ11" s="347">
        <f t="shared" si="1"/>
        <v>3605000</v>
      </c>
      <c r="AK11" s="347">
        <v>3605000</v>
      </c>
      <c r="AL11" s="317">
        <v>3605000</v>
      </c>
      <c r="AM11" s="317">
        <v>3605000</v>
      </c>
      <c r="AN11" s="317">
        <v>3605000</v>
      </c>
      <c r="AO11" s="317">
        <v>3605000</v>
      </c>
      <c r="AP11" s="317">
        <v>3605000</v>
      </c>
      <c r="AQ11" s="317">
        <v>3605000</v>
      </c>
      <c r="AR11" s="317">
        <v>3605000</v>
      </c>
      <c r="AS11" s="317">
        <v>3605000</v>
      </c>
      <c r="AT11" s="317">
        <f t="shared" si="2"/>
        <v>2403333.3333333335</v>
      </c>
      <c r="AU11" s="314">
        <f t="shared" si="3"/>
        <v>39655000.000000007</v>
      </c>
      <c r="AV11" s="291">
        <f t="shared" si="4"/>
        <v>0</v>
      </c>
      <c r="AX11" s="288">
        <f t="shared" si="5"/>
        <v>39655000.000000007</v>
      </c>
      <c r="AY11" s="288">
        <v>0</v>
      </c>
      <c r="AZ11" s="288">
        <v>0</v>
      </c>
      <c r="BA11" s="288">
        <v>0</v>
      </c>
      <c r="BB11" s="287">
        <f t="shared" si="6"/>
        <v>39655000.000000007</v>
      </c>
    </row>
    <row r="12" spans="1:54">
      <c r="A12" s="228" t="s">
        <v>401</v>
      </c>
      <c r="B12" s="229" t="s">
        <v>402</v>
      </c>
      <c r="C12" s="229" t="s">
        <v>402</v>
      </c>
      <c r="D12" s="229">
        <v>372</v>
      </c>
      <c r="E12" s="230">
        <v>372</v>
      </c>
      <c r="F12" s="231">
        <v>7673</v>
      </c>
      <c r="G12" s="228" t="s">
        <v>403</v>
      </c>
      <c r="H12" s="228" t="s">
        <v>404</v>
      </c>
      <c r="I12" s="228" t="s">
        <v>405</v>
      </c>
      <c r="J12" s="228" t="s">
        <v>406</v>
      </c>
      <c r="K12" s="228" t="s">
        <v>407</v>
      </c>
      <c r="L12" s="228" t="s">
        <v>408</v>
      </c>
      <c r="M12" s="228" t="s">
        <v>409</v>
      </c>
      <c r="N12" s="228" t="s">
        <v>410</v>
      </c>
      <c r="O12" s="228" t="s">
        <v>411</v>
      </c>
      <c r="P12" s="228" t="s">
        <v>412</v>
      </c>
      <c r="Q12" s="232">
        <v>1</v>
      </c>
      <c r="R12" s="228" t="s">
        <v>430</v>
      </c>
      <c r="S12" s="228" t="s">
        <v>431</v>
      </c>
      <c r="T12" s="229">
        <v>80111620</v>
      </c>
      <c r="U12" s="228" t="s">
        <v>432</v>
      </c>
      <c r="V12" s="229">
        <v>1</v>
      </c>
      <c r="W12" s="229">
        <v>1</v>
      </c>
      <c r="X12" s="229">
        <v>330</v>
      </c>
      <c r="Y12" s="234" t="s">
        <v>416</v>
      </c>
      <c r="Z12" s="235" t="s">
        <v>417</v>
      </c>
      <c r="AA12" s="323">
        <v>39655000</v>
      </c>
      <c r="AB12" s="236">
        <v>3605000</v>
      </c>
      <c r="AC12" s="235" t="s">
        <v>433</v>
      </c>
      <c r="AD12" s="235" t="s">
        <v>419</v>
      </c>
      <c r="AE12" s="237"/>
      <c r="AF12" s="238"/>
      <c r="AG12" s="239"/>
      <c r="AH12" s="289"/>
      <c r="AI12" s="347">
        <f t="shared" si="0"/>
        <v>1201666.6666666667</v>
      </c>
      <c r="AJ12" s="347">
        <f t="shared" si="1"/>
        <v>3605000</v>
      </c>
      <c r="AK12" s="347">
        <v>3605000</v>
      </c>
      <c r="AL12" s="347">
        <v>3605000</v>
      </c>
      <c r="AM12" s="317">
        <v>3605000</v>
      </c>
      <c r="AN12" s="317">
        <v>3605000</v>
      </c>
      <c r="AO12" s="317">
        <v>3605000</v>
      </c>
      <c r="AP12" s="317">
        <v>3605000</v>
      </c>
      <c r="AQ12" s="317">
        <v>3605000</v>
      </c>
      <c r="AR12" s="317">
        <v>3605000</v>
      </c>
      <c r="AS12" s="317">
        <v>3605000</v>
      </c>
      <c r="AT12" s="317">
        <f t="shared" si="2"/>
        <v>2403333.3333333335</v>
      </c>
      <c r="AU12" s="314">
        <f t="shared" si="3"/>
        <v>39655000.000000007</v>
      </c>
      <c r="AV12" s="291">
        <f t="shared" si="4"/>
        <v>0</v>
      </c>
      <c r="AX12" s="288">
        <f t="shared" si="5"/>
        <v>39655000.000000007</v>
      </c>
      <c r="AY12" s="288">
        <v>0</v>
      </c>
      <c r="AZ12" s="288">
        <v>0</v>
      </c>
      <c r="BA12" s="288">
        <v>0</v>
      </c>
      <c r="BB12" s="287">
        <f t="shared" si="6"/>
        <v>39655000.000000007</v>
      </c>
    </row>
    <row r="13" spans="1:54">
      <c r="A13" s="228" t="s">
        <v>401</v>
      </c>
      <c r="B13" s="229" t="s">
        <v>402</v>
      </c>
      <c r="C13" s="229" t="s">
        <v>402</v>
      </c>
      <c r="D13" s="229">
        <v>373</v>
      </c>
      <c r="E13" s="230">
        <v>373</v>
      </c>
      <c r="F13" s="231">
        <v>7673</v>
      </c>
      <c r="G13" s="228" t="s">
        <v>403</v>
      </c>
      <c r="H13" s="228" t="s">
        <v>404</v>
      </c>
      <c r="I13" s="228" t="s">
        <v>405</v>
      </c>
      <c r="J13" s="228" t="s">
        <v>406</v>
      </c>
      <c r="K13" s="228" t="s">
        <v>407</v>
      </c>
      <c r="L13" s="228" t="s">
        <v>408</v>
      </c>
      <c r="M13" s="228" t="s">
        <v>409</v>
      </c>
      <c r="N13" s="228" t="s">
        <v>410</v>
      </c>
      <c r="O13" s="228" t="s">
        <v>411</v>
      </c>
      <c r="P13" s="228" t="s">
        <v>412</v>
      </c>
      <c r="Q13" s="232">
        <v>1</v>
      </c>
      <c r="R13" s="228" t="s">
        <v>430</v>
      </c>
      <c r="S13" s="228" t="s">
        <v>431</v>
      </c>
      <c r="T13" s="229">
        <v>80111620</v>
      </c>
      <c r="U13" s="228" t="s">
        <v>432</v>
      </c>
      <c r="V13" s="229">
        <v>1</v>
      </c>
      <c r="W13" s="229">
        <v>1</v>
      </c>
      <c r="X13" s="229">
        <v>330</v>
      </c>
      <c r="Y13" s="234" t="s">
        <v>416</v>
      </c>
      <c r="Z13" s="235" t="s">
        <v>417</v>
      </c>
      <c r="AA13" s="323">
        <v>39655000</v>
      </c>
      <c r="AB13" s="236">
        <v>3605000</v>
      </c>
      <c r="AC13" s="235" t="s">
        <v>433</v>
      </c>
      <c r="AD13" s="235" t="s">
        <v>419</v>
      </c>
      <c r="AE13" s="237"/>
      <c r="AF13" s="238"/>
      <c r="AG13" s="239"/>
      <c r="AH13" s="289"/>
      <c r="AI13" s="347">
        <f t="shared" si="0"/>
        <v>1201666.6666666667</v>
      </c>
      <c r="AJ13" s="347">
        <f t="shared" si="1"/>
        <v>3605000</v>
      </c>
      <c r="AK13" s="347">
        <v>3605000</v>
      </c>
      <c r="AL13" s="347">
        <v>3605000</v>
      </c>
      <c r="AM13" s="317">
        <v>3605000</v>
      </c>
      <c r="AN13" s="317">
        <v>3605000</v>
      </c>
      <c r="AO13" s="317">
        <v>3605000</v>
      </c>
      <c r="AP13" s="317">
        <v>3605000</v>
      </c>
      <c r="AQ13" s="317">
        <v>3605000</v>
      </c>
      <c r="AR13" s="317">
        <v>3605000</v>
      </c>
      <c r="AS13" s="317">
        <v>3605000</v>
      </c>
      <c r="AT13" s="317">
        <f t="shared" si="2"/>
        <v>2403333.3333333335</v>
      </c>
      <c r="AU13" s="314">
        <f t="shared" si="3"/>
        <v>39655000.000000007</v>
      </c>
      <c r="AV13" s="291">
        <f t="shared" si="4"/>
        <v>0</v>
      </c>
      <c r="AX13" s="288">
        <f t="shared" si="5"/>
        <v>39655000.000000007</v>
      </c>
      <c r="AY13" s="288">
        <v>0</v>
      </c>
      <c r="AZ13" s="288">
        <v>0</v>
      </c>
      <c r="BA13" s="288">
        <v>0</v>
      </c>
      <c r="BB13" s="287">
        <f t="shared" si="6"/>
        <v>39655000.000000007</v>
      </c>
    </row>
    <row r="14" spans="1:54">
      <c r="A14" s="228" t="s">
        <v>401</v>
      </c>
      <c r="B14" s="229" t="s">
        <v>402</v>
      </c>
      <c r="C14" s="229" t="s">
        <v>402</v>
      </c>
      <c r="D14" s="229">
        <v>374</v>
      </c>
      <c r="E14" s="230">
        <v>374</v>
      </c>
      <c r="F14" s="231">
        <v>7673</v>
      </c>
      <c r="G14" s="228" t="s">
        <v>403</v>
      </c>
      <c r="H14" s="228" t="s">
        <v>404</v>
      </c>
      <c r="I14" s="228" t="s">
        <v>405</v>
      </c>
      <c r="J14" s="228" t="s">
        <v>406</v>
      </c>
      <c r="K14" s="228" t="s">
        <v>407</v>
      </c>
      <c r="L14" s="228" t="s">
        <v>408</v>
      </c>
      <c r="M14" s="228" t="s">
        <v>409</v>
      </c>
      <c r="N14" s="228" t="s">
        <v>410</v>
      </c>
      <c r="O14" s="228" t="s">
        <v>411</v>
      </c>
      <c r="P14" s="228" t="s">
        <v>412</v>
      </c>
      <c r="Q14" s="232">
        <v>1</v>
      </c>
      <c r="R14" s="228" t="s">
        <v>430</v>
      </c>
      <c r="S14" s="228" t="s">
        <v>431</v>
      </c>
      <c r="T14" s="229">
        <v>80111620</v>
      </c>
      <c r="U14" s="228" t="s">
        <v>432</v>
      </c>
      <c r="V14" s="229">
        <v>1</v>
      </c>
      <c r="W14" s="229">
        <v>1</v>
      </c>
      <c r="X14" s="229">
        <v>330</v>
      </c>
      <c r="Y14" s="234" t="s">
        <v>416</v>
      </c>
      <c r="Z14" s="235" t="s">
        <v>417</v>
      </c>
      <c r="AA14" s="323">
        <v>39655000</v>
      </c>
      <c r="AB14" s="236">
        <v>3605000</v>
      </c>
      <c r="AC14" s="235" t="s">
        <v>433</v>
      </c>
      <c r="AD14" s="235" t="s">
        <v>419</v>
      </c>
      <c r="AE14" s="237"/>
      <c r="AF14" s="238"/>
      <c r="AG14" s="239"/>
      <c r="AH14" s="289"/>
      <c r="AI14" s="347">
        <f t="shared" si="0"/>
        <v>1201666.6666666667</v>
      </c>
      <c r="AJ14" s="347">
        <f t="shared" si="1"/>
        <v>3605000</v>
      </c>
      <c r="AK14" s="347">
        <v>3605000</v>
      </c>
      <c r="AL14" s="347">
        <v>3605000</v>
      </c>
      <c r="AM14" s="317">
        <v>3605000</v>
      </c>
      <c r="AN14" s="317">
        <v>3605000</v>
      </c>
      <c r="AO14" s="317">
        <v>3605000</v>
      </c>
      <c r="AP14" s="317">
        <v>3605000</v>
      </c>
      <c r="AQ14" s="317">
        <v>3605000</v>
      </c>
      <c r="AR14" s="317">
        <v>3605000</v>
      </c>
      <c r="AS14" s="317">
        <v>3605000</v>
      </c>
      <c r="AT14" s="317">
        <f t="shared" si="2"/>
        <v>2403333.3333333335</v>
      </c>
      <c r="AU14" s="314">
        <f t="shared" si="3"/>
        <v>39655000.000000007</v>
      </c>
      <c r="AV14" s="291">
        <f t="shared" si="4"/>
        <v>0</v>
      </c>
      <c r="AX14" s="288">
        <f t="shared" si="5"/>
        <v>39655000.000000007</v>
      </c>
      <c r="AY14" s="288">
        <v>0</v>
      </c>
      <c r="AZ14" s="288">
        <v>0</v>
      </c>
      <c r="BA14" s="288">
        <v>0</v>
      </c>
      <c r="BB14" s="287">
        <f t="shared" si="6"/>
        <v>39655000.000000007</v>
      </c>
    </row>
    <row r="15" spans="1:54">
      <c r="A15" s="228" t="s">
        <v>401</v>
      </c>
      <c r="B15" s="229" t="s">
        <v>402</v>
      </c>
      <c r="C15" s="229" t="s">
        <v>402</v>
      </c>
      <c r="D15" s="229">
        <v>375</v>
      </c>
      <c r="E15" s="230">
        <v>375</v>
      </c>
      <c r="F15" s="231">
        <v>7673</v>
      </c>
      <c r="G15" s="228" t="s">
        <v>403</v>
      </c>
      <c r="H15" s="228" t="s">
        <v>404</v>
      </c>
      <c r="I15" s="228" t="s">
        <v>405</v>
      </c>
      <c r="J15" s="228" t="s">
        <v>406</v>
      </c>
      <c r="K15" s="228" t="s">
        <v>407</v>
      </c>
      <c r="L15" s="228" t="s">
        <v>408</v>
      </c>
      <c r="M15" s="228" t="s">
        <v>409</v>
      </c>
      <c r="N15" s="228" t="s">
        <v>410</v>
      </c>
      <c r="O15" s="228" t="s">
        <v>411</v>
      </c>
      <c r="P15" s="228" t="s">
        <v>412</v>
      </c>
      <c r="Q15" s="232">
        <v>1</v>
      </c>
      <c r="R15" s="228" t="s">
        <v>430</v>
      </c>
      <c r="S15" s="228" t="s">
        <v>431</v>
      </c>
      <c r="T15" s="229">
        <v>80111620</v>
      </c>
      <c r="U15" s="228" t="s">
        <v>432</v>
      </c>
      <c r="V15" s="229">
        <v>1</v>
      </c>
      <c r="W15" s="229">
        <v>1</v>
      </c>
      <c r="X15" s="229">
        <v>330</v>
      </c>
      <c r="Y15" s="234" t="s">
        <v>416</v>
      </c>
      <c r="Z15" s="235" t="s">
        <v>417</v>
      </c>
      <c r="AA15" s="323">
        <v>39655000</v>
      </c>
      <c r="AB15" s="236">
        <v>3605000</v>
      </c>
      <c r="AC15" s="235" t="s">
        <v>433</v>
      </c>
      <c r="AD15" s="235" t="s">
        <v>419</v>
      </c>
      <c r="AE15" s="237"/>
      <c r="AF15" s="238"/>
      <c r="AG15" s="239"/>
      <c r="AH15" s="289"/>
      <c r="AI15" s="347">
        <f t="shared" si="0"/>
        <v>1201666.6666666667</v>
      </c>
      <c r="AJ15" s="347">
        <f t="shared" si="1"/>
        <v>3605000</v>
      </c>
      <c r="AK15" s="347">
        <v>3605000</v>
      </c>
      <c r="AL15" s="347">
        <v>3605000</v>
      </c>
      <c r="AM15" s="317">
        <v>3605000</v>
      </c>
      <c r="AN15" s="317">
        <v>3605000</v>
      </c>
      <c r="AO15" s="317">
        <v>3605000</v>
      </c>
      <c r="AP15" s="317">
        <v>3605000</v>
      </c>
      <c r="AQ15" s="317">
        <v>3605000</v>
      </c>
      <c r="AR15" s="317">
        <v>3605000</v>
      </c>
      <c r="AS15" s="317">
        <v>3605000</v>
      </c>
      <c r="AT15" s="317">
        <f t="shared" si="2"/>
        <v>2403333.3333333335</v>
      </c>
      <c r="AU15" s="314">
        <f t="shared" si="3"/>
        <v>39655000.000000007</v>
      </c>
      <c r="AV15" s="291">
        <f t="shared" si="4"/>
        <v>0</v>
      </c>
      <c r="AX15" s="288">
        <f t="shared" si="5"/>
        <v>39655000.000000007</v>
      </c>
      <c r="AY15" s="288">
        <v>0</v>
      </c>
      <c r="AZ15" s="288">
        <v>0</v>
      </c>
      <c r="BA15" s="288">
        <v>0</v>
      </c>
      <c r="BB15" s="287">
        <f t="shared" si="6"/>
        <v>39655000.000000007</v>
      </c>
    </row>
    <row r="16" spans="1:54">
      <c r="A16" s="228" t="s">
        <v>401</v>
      </c>
      <c r="B16" s="229" t="s">
        <v>402</v>
      </c>
      <c r="C16" s="229" t="s">
        <v>402</v>
      </c>
      <c r="D16" s="229">
        <v>376</v>
      </c>
      <c r="E16" s="230">
        <v>376</v>
      </c>
      <c r="F16" s="231">
        <v>7673</v>
      </c>
      <c r="G16" s="228" t="s">
        <v>403</v>
      </c>
      <c r="H16" s="228" t="s">
        <v>404</v>
      </c>
      <c r="I16" s="228" t="s">
        <v>405</v>
      </c>
      <c r="J16" s="228" t="s">
        <v>406</v>
      </c>
      <c r="K16" s="228" t="s">
        <v>407</v>
      </c>
      <c r="L16" s="228" t="s">
        <v>408</v>
      </c>
      <c r="M16" s="228" t="s">
        <v>409</v>
      </c>
      <c r="N16" s="228" t="s">
        <v>410</v>
      </c>
      <c r="O16" s="228" t="s">
        <v>411</v>
      </c>
      <c r="P16" s="228" t="s">
        <v>412</v>
      </c>
      <c r="Q16" s="232">
        <v>1</v>
      </c>
      <c r="R16" s="228" t="s">
        <v>430</v>
      </c>
      <c r="S16" s="228" t="s">
        <v>431</v>
      </c>
      <c r="T16" s="229">
        <v>80111620</v>
      </c>
      <c r="U16" s="228" t="s">
        <v>432</v>
      </c>
      <c r="V16" s="229">
        <v>1</v>
      </c>
      <c r="W16" s="229">
        <v>1</v>
      </c>
      <c r="X16" s="229">
        <v>330</v>
      </c>
      <c r="Y16" s="234" t="s">
        <v>416</v>
      </c>
      <c r="Z16" s="235" t="s">
        <v>417</v>
      </c>
      <c r="AA16" s="323">
        <v>39655000</v>
      </c>
      <c r="AB16" s="236">
        <v>3605000</v>
      </c>
      <c r="AC16" s="235" t="s">
        <v>433</v>
      </c>
      <c r="AD16" s="235" t="s">
        <v>419</v>
      </c>
      <c r="AE16" s="237"/>
      <c r="AF16" s="238"/>
      <c r="AG16" s="239"/>
      <c r="AH16" s="289"/>
      <c r="AI16" s="347">
        <f t="shared" si="0"/>
        <v>1201666.6666666667</v>
      </c>
      <c r="AJ16" s="347">
        <f t="shared" si="1"/>
        <v>3605000</v>
      </c>
      <c r="AK16" s="347">
        <v>3605000</v>
      </c>
      <c r="AL16" s="347">
        <v>3605000</v>
      </c>
      <c r="AM16" s="317">
        <v>3605000</v>
      </c>
      <c r="AN16" s="317">
        <v>3605000</v>
      </c>
      <c r="AO16" s="317">
        <v>3605000</v>
      </c>
      <c r="AP16" s="317">
        <v>3605000</v>
      </c>
      <c r="AQ16" s="317">
        <v>3605000</v>
      </c>
      <c r="AR16" s="317">
        <v>3605000</v>
      </c>
      <c r="AS16" s="317">
        <v>3605000</v>
      </c>
      <c r="AT16" s="317">
        <f t="shared" si="2"/>
        <v>2403333.3333333335</v>
      </c>
      <c r="AU16" s="314">
        <f t="shared" si="3"/>
        <v>39655000.000000007</v>
      </c>
      <c r="AV16" s="291">
        <f t="shared" si="4"/>
        <v>0</v>
      </c>
      <c r="AX16" s="288">
        <f t="shared" si="5"/>
        <v>39655000.000000007</v>
      </c>
      <c r="AY16" s="288">
        <v>0</v>
      </c>
      <c r="AZ16" s="288">
        <v>0</v>
      </c>
      <c r="BA16" s="288">
        <v>0</v>
      </c>
      <c r="BB16" s="287">
        <f t="shared" si="6"/>
        <v>39655000.000000007</v>
      </c>
    </row>
    <row r="17" spans="1:54">
      <c r="A17" s="228" t="s">
        <v>401</v>
      </c>
      <c r="B17" s="229" t="s">
        <v>402</v>
      </c>
      <c r="C17" s="229" t="s">
        <v>402</v>
      </c>
      <c r="D17" s="229">
        <v>377</v>
      </c>
      <c r="E17" s="230">
        <v>377</v>
      </c>
      <c r="F17" s="231">
        <v>7673</v>
      </c>
      <c r="G17" s="228" t="s">
        <v>403</v>
      </c>
      <c r="H17" s="228" t="s">
        <v>404</v>
      </c>
      <c r="I17" s="228" t="s">
        <v>405</v>
      </c>
      <c r="J17" s="228" t="s">
        <v>406</v>
      </c>
      <c r="K17" s="228" t="s">
        <v>407</v>
      </c>
      <c r="L17" s="228" t="s">
        <v>408</v>
      </c>
      <c r="M17" s="228" t="s">
        <v>409</v>
      </c>
      <c r="N17" s="228" t="s">
        <v>410</v>
      </c>
      <c r="O17" s="228" t="s">
        <v>411</v>
      </c>
      <c r="P17" s="228" t="s">
        <v>412</v>
      </c>
      <c r="Q17" s="232">
        <v>1</v>
      </c>
      <c r="R17" s="228" t="s">
        <v>430</v>
      </c>
      <c r="S17" s="228" t="s">
        <v>431</v>
      </c>
      <c r="T17" s="229">
        <v>80111620</v>
      </c>
      <c r="U17" s="228" t="s">
        <v>432</v>
      </c>
      <c r="V17" s="229">
        <v>1</v>
      </c>
      <c r="W17" s="229">
        <v>1</v>
      </c>
      <c r="X17" s="229">
        <v>330</v>
      </c>
      <c r="Y17" s="234" t="s">
        <v>416</v>
      </c>
      <c r="Z17" s="235" t="s">
        <v>417</v>
      </c>
      <c r="AA17" s="323">
        <v>39655000</v>
      </c>
      <c r="AB17" s="236">
        <v>3605000</v>
      </c>
      <c r="AC17" s="235" t="s">
        <v>433</v>
      </c>
      <c r="AD17" s="235" t="s">
        <v>419</v>
      </c>
      <c r="AE17" s="237"/>
      <c r="AF17" s="238"/>
      <c r="AG17" s="239"/>
      <c r="AH17" s="289"/>
      <c r="AI17" s="347">
        <f t="shared" si="0"/>
        <v>1201666.6666666667</v>
      </c>
      <c r="AJ17" s="347">
        <f t="shared" si="1"/>
        <v>3605000</v>
      </c>
      <c r="AK17" s="347">
        <v>3605000</v>
      </c>
      <c r="AL17" s="347">
        <v>3605000</v>
      </c>
      <c r="AM17" s="317">
        <v>3605000</v>
      </c>
      <c r="AN17" s="317">
        <v>3605000</v>
      </c>
      <c r="AO17" s="317">
        <v>3605000</v>
      </c>
      <c r="AP17" s="317">
        <v>3605000</v>
      </c>
      <c r="AQ17" s="317">
        <v>3605000</v>
      </c>
      <c r="AR17" s="317">
        <v>3605000</v>
      </c>
      <c r="AS17" s="317">
        <v>3605000</v>
      </c>
      <c r="AT17" s="317">
        <f t="shared" si="2"/>
        <v>2403333.3333333335</v>
      </c>
      <c r="AU17" s="314">
        <f t="shared" si="3"/>
        <v>39655000.000000007</v>
      </c>
      <c r="AV17" s="291">
        <f t="shared" si="4"/>
        <v>0</v>
      </c>
      <c r="AX17" s="288">
        <f t="shared" si="5"/>
        <v>39655000.000000007</v>
      </c>
      <c r="AY17" s="288">
        <v>0</v>
      </c>
      <c r="AZ17" s="288">
        <v>0</v>
      </c>
      <c r="BA17" s="288">
        <v>0</v>
      </c>
      <c r="BB17" s="287">
        <f t="shared" si="6"/>
        <v>39655000.000000007</v>
      </c>
    </row>
    <row r="18" spans="1:54">
      <c r="A18" s="228" t="s">
        <v>401</v>
      </c>
      <c r="B18" s="229" t="s">
        <v>402</v>
      </c>
      <c r="C18" s="229" t="s">
        <v>402</v>
      </c>
      <c r="D18" s="229">
        <v>378</v>
      </c>
      <c r="E18" s="230">
        <v>378</v>
      </c>
      <c r="F18" s="231">
        <v>7673</v>
      </c>
      <c r="G18" s="228" t="s">
        <v>403</v>
      </c>
      <c r="H18" s="228" t="s">
        <v>404</v>
      </c>
      <c r="I18" s="228" t="s">
        <v>405</v>
      </c>
      <c r="J18" s="228" t="s">
        <v>406</v>
      </c>
      <c r="K18" s="228" t="s">
        <v>407</v>
      </c>
      <c r="L18" s="228" t="s">
        <v>408</v>
      </c>
      <c r="M18" s="228" t="s">
        <v>409</v>
      </c>
      <c r="N18" s="228" t="s">
        <v>410</v>
      </c>
      <c r="O18" s="228" t="s">
        <v>411</v>
      </c>
      <c r="P18" s="228" t="s">
        <v>412</v>
      </c>
      <c r="Q18" s="232">
        <v>1</v>
      </c>
      <c r="R18" s="228" t="s">
        <v>430</v>
      </c>
      <c r="S18" s="228" t="s">
        <v>431</v>
      </c>
      <c r="T18" s="229">
        <v>80111620</v>
      </c>
      <c r="U18" s="228" t="s">
        <v>432</v>
      </c>
      <c r="V18" s="229">
        <v>1</v>
      </c>
      <c r="W18" s="229">
        <v>1</v>
      </c>
      <c r="X18" s="229">
        <v>330</v>
      </c>
      <c r="Y18" s="234" t="s">
        <v>416</v>
      </c>
      <c r="Z18" s="235" t="s">
        <v>417</v>
      </c>
      <c r="AA18" s="323">
        <v>39655000</v>
      </c>
      <c r="AB18" s="236">
        <v>3605000</v>
      </c>
      <c r="AC18" s="235" t="s">
        <v>433</v>
      </c>
      <c r="AD18" s="235" t="s">
        <v>419</v>
      </c>
      <c r="AE18" s="237"/>
      <c r="AF18" s="238"/>
      <c r="AG18" s="239"/>
      <c r="AH18" s="289"/>
      <c r="AI18" s="347">
        <f t="shared" si="0"/>
        <v>1201666.6666666667</v>
      </c>
      <c r="AJ18" s="347">
        <f t="shared" si="1"/>
        <v>3605000</v>
      </c>
      <c r="AK18" s="347">
        <v>3605000</v>
      </c>
      <c r="AL18" s="347">
        <v>3605000</v>
      </c>
      <c r="AM18" s="317">
        <v>3605000</v>
      </c>
      <c r="AN18" s="317">
        <v>3605000</v>
      </c>
      <c r="AO18" s="317">
        <v>3605000</v>
      </c>
      <c r="AP18" s="317">
        <v>3605000</v>
      </c>
      <c r="AQ18" s="317">
        <v>3605000</v>
      </c>
      <c r="AR18" s="317">
        <v>3605000</v>
      </c>
      <c r="AS18" s="317">
        <v>3605000</v>
      </c>
      <c r="AT18" s="317">
        <f t="shared" si="2"/>
        <v>2403333.3333333335</v>
      </c>
      <c r="AU18" s="314">
        <f t="shared" si="3"/>
        <v>39655000.000000007</v>
      </c>
      <c r="AV18" s="291">
        <f t="shared" si="4"/>
        <v>0</v>
      </c>
      <c r="AX18" s="288">
        <f t="shared" si="5"/>
        <v>39655000.000000007</v>
      </c>
      <c r="AY18" s="288">
        <v>0</v>
      </c>
      <c r="AZ18" s="288">
        <v>0</v>
      </c>
      <c r="BA18" s="288">
        <v>0</v>
      </c>
      <c r="BB18" s="287">
        <f t="shared" si="6"/>
        <v>39655000.000000007</v>
      </c>
    </row>
    <row r="19" spans="1:54">
      <c r="A19" s="228" t="s">
        <v>401</v>
      </c>
      <c r="B19" s="229" t="s">
        <v>402</v>
      </c>
      <c r="C19" s="229" t="s">
        <v>402</v>
      </c>
      <c r="D19" s="229">
        <v>379</v>
      </c>
      <c r="E19" s="230">
        <v>379</v>
      </c>
      <c r="F19" s="231">
        <v>7673</v>
      </c>
      <c r="G19" s="228" t="s">
        <v>403</v>
      </c>
      <c r="H19" s="228" t="s">
        <v>404</v>
      </c>
      <c r="I19" s="228" t="s">
        <v>405</v>
      </c>
      <c r="J19" s="228" t="s">
        <v>406</v>
      </c>
      <c r="K19" s="228" t="s">
        <v>407</v>
      </c>
      <c r="L19" s="228" t="s">
        <v>408</v>
      </c>
      <c r="M19" s="228" t="s">
        <v>409</v>
      </c>
      <c r="N19" s="228" t="s">
        <v>410</v>
      </c>
      <c r="O19" s="228" t="s">
        <v>411</v>
      </c>
      <c r="P19" s="228" t="s">
        <v>412</v>
      </c>
      <c r="Q19" s="232">
        <v>1</v>
      </c>
      <c r="R19" s="228" t="s">
        <v>430</v>
      </c>
      <c r="S19" s="228" t="s">
        <v>431</v>
      </c>
      <c r="T19" s="229">
        <v>80111620</v>
      </c>
      <c r="U19" s="228" t="s">
        <v>432</v>
      </c>
      <c r="V19" s="229">
        <v>1</v>
      </c>
      <c r="W19" s="229">
        <v>1</v>
      </c>
      <c r="X19" s="229">
        <v>330</v>
      </c>
      <c r="Y19" s="234" t="s">
        <v>416</v>
      </c>
      <c r="Z19" s="235" t="s">
        <v>417</v>
      </c>
      <c r="AA19" s="323">
        <v>39655000</v>
      </c>
      <c r="AB19" s="236">
        <v>3605000</v>
      </c>
      <c r="AC19" s="235" t="s">
        <v>433</v>
      </c>
      <c r="AD19" s="235" t="s">
        <v>419</v>
      </c>
      <c r="AE19" s="237"/>
      <c r="AF19" s="238"/>
      <c r="AG19" s="239"/>
      <c r="AH19" s="289"/>
      <c r="AI19" s="347">
        <f t="shared" si="0"/>
        <v>1201666.6666666667</v>
      </c>
      <c r="AJ19" s="347">
        <f t="shared" si="1"/>
        <v>3605000</v>
      </c>
      <c r="AK19" s="347">
        <v>3605000</v>
      </c>
      <c r="AL19" s="347">
        <v>3605000</v>
      </c>
      <c r="AM19" s="317">
        <v>3605000</v>
      </c>
      <c r="AN19" s="317">
        <v>3605000</v>
      </c>
      <c r="AO19" s="317">
        <v>3605000</v>
      </c>
      <c r="AP19" s="317">
        <v>3605000</v>
      </c>
      <c r="AQ19" s="317">
        <v>3605000</v>
      </c>
      <c r="AR19" s="317">
        <v>3605000</v>
      </c>
      <c r="AS19" s="317">
        <v>3605000</v>
      </c>
      <c r="AT19" s="317">
        <f t="shared" si="2"/>
        <v>2403333.3333333335</v>
      </c>
      <c r="AU19" s="314">
        <f t="shared" si="3"/>
        <v>39655000.000000007</v>
      </c>
      <c r="AV19" s="291">
        <f t="shared" si="4"/>
        <v>0</v>
      </c>
      <c r="AX19" s="288">
        <f t="shared" si="5"/>
        <v>39655000.000000007</v>
      </c>
      <c r="AY19" s="288">
        <v>0</v>
      </c>
      <c r="AZ19" s="288">
        <v>0</v>
      </c>
      <c r="BA19" s="288">
        <v>0</v>
      </c>
      <c r="BB19" s="287">
        <f t="shared" si="6"/>
        <v>39655000.000000007</v>
      </c>
    </row>
    <row r="20" spans="1:54">
      <c r="A20" s="228" t="s">
        <v>401</v>
      </c>
      <c r="B20" s="229" t="s">
        <v>402</v>
      </c>
      <c r="C20" s="229" t="s">
        <v>402</v>
      </c>
      <c r="D20" s="229">
        <v>380</v>
      </c>
      <c r="E20" s="230">
        <v>380</v>
      </c>
      <c r="F20" s="231">
        <v>7673</v>
      </c>
      <c r="G20" s="228" t="s">
        <v>403</v>
      </c>
      <c r="H20" s="228" t="s">
        <v>404</v>
      </c>
      <c r="I20" s="228" t="s">
        <v>405</v>
      </c>
      <c r="J20" s="228" t="s">
        <v>406</v>
      </c>
      <c r="K20" s="228" t="s">
        <v>407</v>
      </c>
      <c r="L20" s="228" t="s">
        <v>408</v>
      </c>
      <c r="M20" s="228" t="s">
        <v>409</v>
      </c>
      <c r="N20" s="228" t="s">
        <v>410</v>
      </c>
      <c r="O20" s="228" t="s">
        <v>411</v>
      </c>
      <c r="P20" s="228" t="s">
        <v>412</v>
      </c>
      <c r="Q20" s="232">
        <v>1</v>
      </c>
      <c r="R20" s="228" t="s">
        <v>430</v>
      </c>
      <c r="S20" s="228" t="s">
        <v>431</v>
      </c>
      <c r="T20" s="229">
        <v>80111620</v>
      </c>
      <c r="U20" s="228" t="s">
        <v>432</v>
      </c>
      <c r="V20" s="229">
        <v>1</v>
      </c>
      <c r="W20" s="229">
        <v>1</v>
      </c>
      <c r="X20" s="229">
        <v>330</v>
      </c>
      <c r="Y20" s="234" t="s">
        <v>416</v>
      </c>
      <c r="Z20" s="235" t="s">
        <v>417</v>
      </c>
      <c r="AA20" s="323">
        <v>39655000</v>
      </c>
      <c r="AB20" s="236">
        <v>3605000</v>
      </c>
      <c r="AC20" s="235" t="s">
        <v>433</v>
      </c>
      <c r="AD20" s="235" t="s">
        <v>419</v>
      </c>
      <c r="AE20" s="243"/>
      <c r="AF20" s="238"/>
      <c r="AG20" s="241"/>
      <c r="AH20" s="290"/>
      <c r="AI20" s="347">
        <f t="shared" si="0"/>
        <v>1201666.6666666667</v>
      </c>
      <c r="AJ20" s="347">
        <f t="shared" si="1"/>
        <v>3605000</v>
      </c>
      <c r="AK20" s="347">
        <v>3605000</v>
      </c>
      <c r="AL20" s="347">
        <v>3605000</v>
      </c>
      <c r="AM20" s="317">
        <v>3605000</v>
      </c>
      <c r="AN20" s="317">
        <v>3605000</v>
      </c>
      <c r="AO20" s="317">
        <v>3605000</v>
      </c>
      <c r="AP20" s="317">
        <v>3605000</v>
      </c>
      <c r="AQ20" s="317">
        <v>3605000</v>
      </c>
      <c r="AR20" s="317">
        <v>3605000</v>
      </c>
      <c r="AS20" s="317">
        <v>3605000</v>
      </c>
      <c r="AT20" s="317">
        <f t="shared" si="2"/>
        <v>2403333.3333333335</v>
      </c>
      <c r="AU20" s="314">
        <f t="shared" si="3"/>
        <v>39655000.000000007</v>
      </c>
      <c r="AV20" s="291">
        <f t="shared" si="4"/>
        <v>0</v>
      </c>
      <c r="AX20" s="288">
        <f t="shared" si="5"/>
        <v>39655000.000000007</v>
      </c>
      <c r="AY20" s="288">
        <v>0</v>
      </c>
      <c r="AZ20" s="288">
        <v>0</v>
      </c>
      <c r="BA20" s="288">
        <v>0</v>
      </c>
      <c r="BB20" s="287">
        <f t="shared" si="6"/>
        <v>39655000.000000007</v>
      </c>
    </row>
    <row r="21" spans="1:54">
      <c r="A21" s="228" t="s">
        <v>401</v>
      </c>
      <c r="B21" s="229" t="s">
        <v>402</v>
      </c>
      <c r="C21" s="229" t="s">
        <v>402</v>
      </c>
      <c r="D21" s="229">
        <v>381</v>
      </c>
      <c r="E21" s="230">
        <v>381</v>
      </c>
      <c r="F21" s="231">
        <v>7673</v>
      </c>
      <c r="G21" s="228" t="s">
        <v>403</v>
      </c>
      <c r="H21" s="228" t="s">
        <v>404</v>
      </c>
      <c r="I21" s="228" t="s">
        <v>405</v>
      </c>
      <c r="J21" s="228" t="s">
        <v>406</v>
      </c>
      <c r="K21" s="228" t="s">
        <v>407</v>
      </c>
      <c r="L21" s="228" t="s">
        <v>408</v>
      </c>
      <c r="M21" s="228" t="s">
        <v>409</v>
      </c>
      <c r="N21" s="228" t="s">
        <v>410</v>
      </c>
      <c r="O21" s="228" t="s">
        <v>411</v>
      </c>
      <c r="P21" s="228" t="s">
        <v>412</v>
      </c>
      <c r="Q21" s="232">
        <v>1</v>
      </c>
      <c r="R21" s="228" t="s">
        <v>430</v>
      </c>
      <c r="S21" s="228" t="s">
        <v>431</v>
      </c>
      <c r="T21" s="229">
        <v>80111620</v>
      </c>
      <c r="U21" s="228" t="s">
        <v>432</v>
      </c>
      <c r="V21" s="229">
        <v>1</v>
      </c>
      <c r="W21" s="229">
        <v>1</v>
      </c>
      <c r="X21" s="229">
        <v>330</v>
      </c>
      <c r="Y21" s="234" t="s">
        <v>416</v>
      </c>
      <c r="Z21" s="235" t="s">
        <v>417</v>
      </c>
      <c r="AA21" s="323">
        <v>39655000</v>
      </c>
      <c r="AB21" s="236">
        <v>3605000</v>
      </c>
      <c r="AC21" s="235" t="s">
        <v>433</v>
      </c>
      <c r="AD21" s="235" t="s">
        <v>419</v>
      </c>
      <c r="AE21" s="237"/>
      <c r="AF21" s="238"/>
      <c r="AG21" s="239"/>
      <c r="AH21" s="289"/>
      <c r="AI21" s="347">
        <f t="shared" si="0"/>
        <v>1201666.6666666667</v>
      </c>
      <c r="AJ21" s="347">
        <f t="shared" si="1"/>
        <v>3605000</v>
      </c>
      <c r="AK21" s="347">
        <v>3605000</v>
      </c>
      <c r="AL21" s="347">
        <v>3605000</v>
      </c>
      <c r="AM21" s="317">
        <v>3605000</v>
      </c>
      <c r="AN21" s="317">
        <v>3605000</v>
      </c>
      <c r="AO21" s="317">
        <v>3605000</v>
      </c>
      <c r="AP21" s="317">
        <v>3605000</v>
      </c>
      <c r="AQ21" s="317">
        <v>3605000</v>
      </c>
      <c r="AR21" s="317">
        <v>3605000</v>
      </c>
      <c r="AS21" s="317">
        <v>3605000</v>
      </c>
      <c r="AT21" s="317">
        <f t="shared" si="2"/>
        <v>2403333.3333333335</v>
      </c>
      <c r="AU21" s="314">
        <f t="shared" si="3"/>
        <v>39655000.000000007</v>
      </c>
      <c r="AV21" s="291">
        <f t="shared" si="4"/>
        <v>0</v>
      </c>
      <c r="AX21" s="288">
        <f t="shared" si="5"/>
        <v>39655000.000000007</v>
      </c>
      <c r="AY21" s="288">
        <v>0</v>
      </c>
      <c r="AZ21" s="288">
        <v>0</v>
      </c>
      <c r="BA21" s="288">
        <v>0</v>
      </c>
      <c r="BB21" s="287">
        <f t="shared" si="6"/>
        <v>39655000.000000007</v>
      </c>
    </row>
    <row r="22" spans="1:54">
      <c r="A22" s="228" t="s">
        <v>401</v>
      </c>
      <c r="B22" s="229" t="s">
        <v>402</v>
      </c>
      <c r="C22" s="229" t="s">
        <v>402</v>
      </c>
      <c r="D22" s="229">
        <v>382</v>
      </c>
      <c r="E22" s="230">
        <v>382</v>
      </c>
      <c r="F22" s="231">
        <v>7673</v>
      </c>
      <c r="G22" s="228" t="s">
        <v>403</v>
      </c>
      <c r="H22" s="228" t="s">
        <v>404</v>
      </c>
      <c r="I22" s="228" t="s">
        <v>405</v>
      </c>
      <c r="J22" s="228" t="s">
        <v>406</v>
      </c>
      <c r="K22" s="228" t="s">
        <v>407</v>
      </c>
      <c r="L22" s="228" t="s">
        <v>408</v>
      </c>
      <c r="M22" s="228" t="s">
        <v>409</v>
      </c>
      <c r="N22" s="228" t="s">
        <v>410</v>
      </c>
      <c r="O22" s="228" t="s">
        <v>411</v>
      </c>
      <c r="P22" s="228" t="s">
        <v>412</v>
      </c>
      <c r="Q22" s="232">
        <v>1</v>
      </c>
      <c r="R22" s="228" t="s">
        <v>430</v>
      </c>
      <c r="S22" s="228" t="s">
        <v>431</v>
      </c>
      <c r="T22" s="229">
        <v>80111620</v>
      </c>
      <c r="U22" s="228" t="s">
        <v>432</v>
      </c>
      <c r="V22" s="229">
        <v>1</v>
      </c>
      <c r="W22" s="229">
        <v>1</v>
      </c>
      <c r="X22" s="229">
        <v>330</v>
      </c>
      <c r="Y22" s="234" t="s">
        <v>416</v>
      </c>
      <c r="Z22" s="235" t="s">
        <v>417</v>
      </c>
      <c r="AA22" s="323">
        <v>39655000</v>
      </c>
      <c r="AB22" s="236">
        <v>3605000</v>
      </c>
      <c r="AC22" s="235" t="s">
        <v>433</v>
      </c>
      <c r="AD22" s="235" t="s">
        <v>419</v>
      </c>
      <c r="AE22" s="243"/>
      <c r="AF22" s="238"/>
      <c r="AG22" s="241"/>
      <c r="AH22" s="290"/>
      <c r="AI22" s="347">
        <f t="shared" si="0"/>
        <v>1201666.6666666667</v>
      </c>
      <c r="AJ22" s="347">
        <f t="shared" si="1"/>
        <v>3605000</v>
      </c>
      <c r="AK22" s="347">
        <v>3605000</v>
      </c>
      <c r="AL22" s="347">
        <v>3605000</v>
      </c>
      <c r="AM22" s="317">
        <v>3605000</v>
      </c>
      <c r="AN22" s="317">
        <v>3605000</v>
      </c>
      <c r="AO22" s="317">
        <v>3605000</v>
      </c>
      <c r="AP22" s="317">
        <v>3605000</v>
      </c>
      <c r="AQ22" s="317">
        <v>3605000</v>
      </c>
      <c r="AR22" s="317">
        <v>3605000</v>
      </c>
      <c r="AS22" s="317">
        <v>3605000</v>
      </c>
      <c r="AT22" s="317">
        <f t="shared" si="2"/>
        <v>2403333.3333333335</v>
      </c>
      <c r="AU22" s="314">
        <f t="shared" si="3"/>
        <v>39655000.000000007</v>
      </c>
      <c r="AV22" s="291">
        <f t="shared" si="4"/>
        <v>0</v>
      </c>
      <c r="AX22" s="288">
        <f t="shared" si="5"/>
        <v>39655000.000000007</v>
      </c>
      <c r="AY22" s="288">
        <v>0</v>
      </c>
      <c r="AZ22" s="288">
        <v>0</v>
      </c>
      <c r="BA22" s="288">
        <v>0</v>
      </c>
      <c r="BB22" s="287">
        <f t="shared" si="6"/>
        <v>39655000.000000007</v>
      </c>
    </row>
    <row r="23" spans="1:54">
      <c r="A23" s="228" t="s">
        <v>401</v>
      </c>
      <c r="B23" s="229" t="s">
        <v>402</v>
      </c>
      <c r="C23" s="229" t="s">
        <v>402</v>
      </c>
      <c r="D23" s="229">
        <v>383</v>
      </c>
      <c r="E23" s="230">
        <v>383</v>
      </c>
      <c r="F23" s="231">
        <v>7673</v>
      </c>
      <c r="G23" s="228" t="s">
        <v>403</v>
      </c>
      <c r="H23" s="228" t="s">
        <v>404</v>
      </c>
      <c r="I23" s="228" t="s">
        <v>405</v>
      </c>
      <c r="J23" s="228" t="s">
        <v>406</v>
      </c>
      <c r="K23" s="228" t="s">
        <v>407</v>
      </c>
      <c r="L23" s="228" t="s">
        <v>408</v>
      </c>
      <c r="M23" s="228" t="s">
        <v>409</v>
      </c>
      <c r="N23" s="228" t="s">
        <v>410</v>
      </c>
      <c r="O23" s="228" t="s">
        <v>411</v>
      </c>
      <c r="P23" s="228" t="s">
        <v>412</v>
      </c>
      <c r="Q23" s="232">
        <v>1</v>
      </c>
      <c r="R23" s="228" t="s">
        <v>430</v>
      </c>
      <c r="S23" s="228" t="s">
        <v>431</v>
      </c>
      <c r="T23" s="229">
        <v>80111620</v>
      </c>
      <c r="U23" s="228" t="s">
        <v>432</v>
      </c>
      <c r="V23" s="229">
        <v>1</v>
      </c>
      <c r="W23" s="229">
        <v>1</v>
      </c>
      <c r="X23" s="229">
        <v>330</v>
      </c>
      <c r="Y23" s="234" t="s">
        <v>416</v>
      </c>
      <c r="Z23" s="235" t="s">
        <v>417</v>
      </c>
      <c r="AA23" s="323">
        <v>39655000</v>
      </c>
      <c r="AB23" s="236">
        <v>3605000</v>
      </c>
      <c r="AC23" s="235" t="s">
        <v>433</v>
      </c>
      <c r="AD23" s="235" t="s">
        <v>419</v>
      </c>
      <c r="AE23" s="243"/>
      <c r="AF23" s="238"/>
      <c r="AG23" s="241"/>
      <c r="AH23" s="290"/>
      <c r="AI23" s="347">
        <f t="shared" si="0"/>
        <v>1201666.6666666667</v>
      </c>
      <c r="AJ23" s="347">
        <f t="shared" si="1"/>
        <v>3605000</v>
      </c>
      <c r="AK23" s="347">
        <v>3605000</v>
      </c>
      <c r="AL23" s="347">
        <v>3605000</v>
      </c>
      <c r="AM23" s="317">
        <v>3605000</v>
      </c>
      <c r="AN23" s="317">
        <v>3605000</v>
      </c>
      <c r="AO23" s="317">
        <v>3605000</v>
      </c>
      <c r="AP23" s="317">
        <v>3605000</v>
      </c>
      <c r="AQ23" s="317">
        <v>3605000</v>
      </c>
      <c r="AR23" s="317">
        <v>3605000</v>
      </c>
      <c r="AS23" s="317">
        <v>3605000</v>
      </c>
      <c r="AT23" s="317">
        <f t="shared" si="2"/>
        <v>2403333.3333333335</v>
      </c>
      <c r="AU23" s="314">
        <f t="shared" si="3"/>
        <v>39655000.000000007</v>
      </c>
      <c r="AV23" s="291">
        <f t="shared" si="4"/>
        <v>0</v>
      </c>
      <c r="AX23" s="288">
        <f t="shared" si="5"/>
        <v>39655000.000000007</v>
      </c>
      <c r="AY23" s="288">
        <v>0</v>
      </c>
      <c r="AZ23" s="288">
        <v>0</v>
      </c>
      <c r="BA23" s="288">
        <v>0</v>
      </c>
      <c r="BB23" s="287">
        <f t="shared" si="6"/>
        <v>39655000.000000007</v>
      </c>
    </row>
    <row r="24" spans="1:54">
      <c r="A24" s="228" t="s">
        <v>401</v>
      </c>
      <c r="B24" s="229" t="s">
        <v>402</v>
      </c>
      <c r="C24" s="229" t="s">
        <v>402</v>
      </c>
      <c r="D24" s="229">
        <v>384</v>
      </c>
      <c r="E24" s="230">
        <v>384</v>
      </c>
      <c r="F24" s="231">
        <v>7673</v>
      </c>
      <c r="G24" s="228" t="s">
        <v>403</v>
      </c>
      <c r="H24" s="228" t="s">
        <v>404</v>
      </c>
      <c r="I24" s="228" t="s">
        <v>405</v>
      </c>
      <c r="J24" s="228" t="s">
        <v>406</v>
      </c>
      <c r="K24" s="228" t="s">
        <v>407</v>
      </c>
      <c r="L24" s="228" t="s">
        <v>408</v>
      </c>
      <c r="M24" s="228" t="s">
        <v>409</v>
      </c>
      <c r="N24" s="228" t="s">
        <v>410</v>
      </c>
      <c r="O24" s="228" t="s">
        <v>411</v>
      </c>
      <c r="P24" s="228" t="s">
        <v>412</v>
      </c>
      <c r="Q24" s="232">
        <v>1</v>
      </c>
      <c r="R24" s="228" t="s">
        <v>430</v>
      </c>
      <c r="S24" s="228" t="s">
        <v>431</v>
      </c>
      <c r="T24" s="229">
        <v>80111620</v>
      </c>
      <c r="U24" s="228" t="s">
        <v>432</v>
      </c>
      <c r="V24" s="229">
        <v>1</v>
      </c>
      <c r="W24" s="229">
        <v>1</v>
      </c>
      <c r="X24" s="229">
        <v>330</v>
      </c>
      <c r="Y24" s="234" t="s">
        <v>416</v>
      </c>
      <c r="Z24" s="235" t="s">
        <v>417</v>
      </c>
      <c r="AA24" s="323">
        <v>39655000</v>
      </c>
      <c r="AB24" s="236">
        <v>3605000</v>
      </c>
      <c r="AC24" s="235" t="s">
        <v>433</v>
      </c>
      <c r="AD24" s="235" t="s">
        <v>419</v>
      </c>
      <c r="AE24" s="243"/>
      <c r="AF24" s="238"/>
      <c r="AG24" s="241"/>
      <c r="AH24" s="290"/>
      <c r="AI24" s="347">
        <f t="shared" si="0"/>
        <v>1201666.6666666667</v>
      </c>
      <c r="AJ24" s="347">
        <f t="shared" si="1"/>
        <v>3605000</v>
      </c>
      <c r="AK24" s="347">
        <v>3605000</v>
      </c>
      <c r="AL24" s="347">
        <v>3605000</v>
      </c>
      <c r="AM24" s="317">
        <v>3605000</v>
      </c>
      <c r="AN24" s="317">
        <v>3605000</v>
      </c>
      <c r="AO24" s="317">
        <v>3605000</v>
      </c>
      <c r="AP24" s="317">
        <v>3605000</v>
      </c>
      <c r="AQ24" s="317">
        <v>3605000</v>
      </c>
      <c r="AR24" s="317">
        <v>3605000</v>
      </c>
      <c r="AS24" s="317">
        <v>3605000</v>
      </c>
      <c r="AT24" s="317">
        <f t="shared" si="2"/>
        <v>2403333.3333333335</v>
      </c>
      <c r="AU24" s="314">
        <f t="shared" si="3"/>
        <v>39655000.000000007</v>
      </c>
      <c r="AV24" s="291">
        <f t="shared" si="4"/>
        <v>0</v>
      </c>
      <c r="AX24" s="288">
        <f t="shared" si="5"/>
        <v>39655000.000000007</v>
      </c>
      <c r="AY24" s="288">
        <v>0</v>
      </c>
      <c r="AZ24" s="288">
        <v>0</v>
      </c>
      <c r="BA24" s="288">
        <v>0</v>
      </c>
      <c r="BB24" s="287">
        <f t="shared" si="6"/>
        <v>39655000.000000007</v>
      </c>
    </row>
    <row r="25" spans="1:54">
      <c r="A25" s="228" t="s">
        <v>401</v>
      </c>
      <c r="B25" s="229" t="s">
        <v>402</v>
      </c>
      <c r="C25" s="229" t="s">
        <v>402</v>
      </c>
      <c r="D25" s="229">
        <v>385</v>
      </c>
      <c r="E25" s="230">
        <v>385</v>
      </c>
      <c r="F25" s="231">
        <v>7673</v>
      </c>
      <c r="G25" s="228" t="s">
        <v>403</v>
      </c>
      <c r="H25" s="228" t="s">
        <v>404</v>
      </c>
      <c r="I25" s="228" t="s">
        <v>405</v>
      </c>
      <c r="J25" s="228" t="s">
        <v>406</v>
      </c>
      <c r="K25" s="228" t="s">
        <v>407</v>
      </c>
      <c r="L25" s="228" t="s">
        <v>408</v>
      </c>
      <c r="M25" s="228" t="s">
        <v>409</v>
      </c>
      <c r="N25" s="228" t="s">
        <v>410</v>
      </c>
      <c r="O25" s="228" t="s">
        <v>411</v>
      </c>
      <c r="P25" s="228" t="s">
        <v>412</v>
      </c>
      <c r="Q25" s="232">
        <v>1</v>
      </c>
      <c r="R25" s="228" t="s">
        <v>430</v>
      </c>
      <c r="S25" s="228" t="s">
        <v>431</v>
      </c>
      <c r="T25" s="229">
        <v>80111620</v>
      </c>
      <c r="U25" s="228" t="s">
        <v>432</v>
      </c>
      <c r="V25" s="229">
        <v>1</v>
      </c>
      <c r="W25" s="229">
        <v>1</v>
      </c>
      <c r="X25" s="229">
        <v>330</v>
      </c>
      <c r="Y25" s="234" t="s">
        <v>416</v>
      </c>
      <c r="Z25" s="235" t="s">
        <v>417</v>
      </c>
      <c r="AA25" s="323">
        <v>39655000</v>
      </c>
      <c r="AB25" s="236">
        <v>3605000</v>
      </c>
      <c r="AC25" s="235" t="s">
        <v>433</v>
      </c>
      <c r="AD25" s="235" t="s">
        <v>419</v>
      </c>
      <c r="AE25" s="243"/>
      <c r="AF25" s="238"/>
      <c r="AG25" s="241"/>
      <c r="AH25" s="290"/>
      <c r="AI25" s="347">
        <f t="shared" si="0"/>
        <v>1201666.6666666667</v>
      </c>
      <c r="AJ25" s="347">
        <f t="shared" si="1"/>
        <v>3605000</v>
      </c>
      <c r="AK25" s="347">
        <v>3605000</v>
      </c>
      <c r="AL25" s="347">
        <v>3605000</v>
      </c>
      <c r="AM25" s="317">
        <v>3605000</v>
      </c>
      <c r="AN25" s="317">
        <v>3605000</v>
      </c>
      <c r="AO25" s="317">
        <v>3605000</v>
      </c>
      <c r="AP25" s="317">
        <v>3605000</v>
      </c>
      <c r="AQ25" s="317">
        <v>3605000</v>
      </c>
      <c r="AR25" s="317">
        <v>3605000</v>
      </c>
      <c r="AS25" s="317">
        <v>3605000</v>
      </c>
      <c r="AT25" s="317">
        <f t="shared" si="2"/>
        <v>2403333.3333333335</v>
      </c>
      <c r="AU25" s="314">
        <f t="shared" si="3"/>
        <v>39655000.000000007</v>
      </c>
      <c r="AV25" s="291">
        <f t="shared" si="4"/>
        <v>0</v>
      </c>
      <c r="AX25" s="288">
        <f t="shared" si="5"/>
        <v>39655000.000000007</v>
      </c>
      <c r="AY25" s="288">
        <v>0</v>
      </c>
      <c r="AZ25" s="288">
        <v>0</v>
      </c>
      <c r="BA25" s="288">
        <v>0</v>
      </c>
      <c r="BB25" s="287">
        <f t="shared" si="6"/>
        <v>39655000.000000007</v>
      </c>
    </row>
    <row r="26" spans="1:54">
      <c r="A26" s="228" t="s">
        <v>401</v>
      </c>
      <c r="B26" s="229" t="s">
        <v>402</v>
      </c>
      <c r="C26" s="229" t="s">
        <v>402</v>
      </c>
      <c r="D26" s="229">
        <v>386</v>
      </c>
      <c r="E26" s="230">
        <v>386</v>
      </c>
      <c r="F26" s="231">
        <v>7673</v>
      </c>
      <c r="G26" s="228" t="s">
        <v>403</v>
      </c>
      <c r="H26" s="228" t="s">
        <v>404</v>
      </c>
      <c r="I26" s="228" t="s">
        <v>405</v>
      </c>
      <c r="J26" s="228" t="s">
        <v>406</v>
      </c>
      <c r="K26" s="228" t="s">
        <v>407</v>
      </c>
      <c r="L26" s="228" t="s">
        <v>408</v>
      </c>
      <c r="M26" s="228" t="s">
        <v>409</v>
      </c>
      <c r="N26" s="228" t="s">
        <v>410</v>
      </c>
      <c r="O26" s="228" t="s">
        <v>411</v>
      </c>
      <c r="P26" s="228" t="s">
        <v>412</v>
      </c>
      <c r="Q26" s="232">
        <v>1</v>
      </c>
      <c r="R26" s="228" t="s">
        <v>430</v>
      </c>
      <c r="S26" s="228" t="s">
        <v>431</v>
      </c>
      <c r="T26" s="229">
        <v>80111620</v>
      </c>
      <c r="U26" s="228" t="s">
        <v>432</v>
      </c>
      <c r="V26" s="229">
        <v>1</v>
      </c>
      <c r="W26" s="229">
        <v>1</v>
      </c>
      <c r="X26" s="229">
        <v>330</v>
      </c>
      <c r="Y26" s="234" t="s">
        <v>416</v>
      </c>
      <c r="Z26" s="235" t="s">
        <v>417</v>
      </c>
      <c r="AA26" s="323">
        <v>39655000</v>
      </c>
      <c r="AB26" s="236">
        <v>3605000</v>
      </c>
      <c r="AC26" s="235" t="s">
        <v>433</v>
      </c>
      <c r="AD26" s="235" t="s">
        <v>419</v>
      </c>
      <c r="AE26" s="243"/>
      <c r="AF26" s="238"/>
      <c r="AG26" s="241"/>
      <c r="AH26" s="290"/>
      <c r="AI26" s="347">
        <f t="shared" si="0"/>
        <v>1201666.6666666667</v>
      </c>
      <c r="AJ26" s="347">
        <f t="shared" si="1"/>
        <v>3605000</v>
      </c>
      <c r="AK26" s="347">
        <v>3605000</v>
      </c>
      <c r="AL26" s="347">
        <v>3605000</v>
      </c>
      <c r="AM26" s="317">
        <v>3605000</v>
      </c>
      <c r="AN26" s="317">
        <v>3605000</v>
      </c>
      <c r="AO26" s="317">
        <v>3605000</v>
      </c>
      <c r="AP26" s="317">
        <v>3605000</v>
      </c>
      <c r="AQ26" s="317">
        <v>3605000</v>
      </c>
      <c r="AR26" s="317">
        <v>3605000</v>
      </c>
      <c r="AS26" s="317">
        <v>3605000</v>
      </c>
      <c r="AT26" s="317">
        <f t="shared" si="2"/>
        <v>2403333.3333333335</v>
      </c>
      <c r="AU26" s="314">
        <f t="shared" si="3"/>
        <v>39655000.000000007</v>
      </c>
      <c r="AV26" s="291">
        <f t="shared" si="4"/>
        <v>0</v>
      </c>
      <c r="AX26" s="288">
        <f t="shared" si="5"/>
        <v>39655000.000000007</v>
      </c>
      <c r="AY26" s="288">
        <v>0</v>
      </c>
      <c r="AZ26" s="288">
        <v>0</v>
      </c>
      <c r="BA26" s="288">
        <v>0</v>
      </c>
      <c r="BB26" s="287">
        <f t="shared" si="6"/>
        <v>39655000.000000007</v>
      </c>
    </row>
    <row r="27" spans="1:54">
      <c r="A27" s="228" t="s">
        <v>401</v>
      </c>
      <c r="B27" s="229" t="s">
        <v>402</v>
      </c>
      <c r="C27" s="229" t="s">
        <v>402</v>
      </c>
      <c r="D27" s="229">
        <v>387</v>
      </c>
      <c r="E27" s="230">
        <v>387</v>
      </c>
      <c r="F27" s="231">
        <v>7673</v>
      </c>
      <c r="G27" s="228" t="s">
        <v>403</v>
      </c>
      <c r="H27" s="228" t="s">
        <v>404</v>
      </c>
      <c r="I27" s="228" t="s">
        <v>405</v>
      </c>
      <c r="J27" s="228" t="s">
        <v>406</v>
      </c>
      <c r="K27" s="228" t="s">
        <v>407</v>
      </c>
      <c r="L27" s="228" t="s">
        <v>408</v>
      </c>
      <c r="M27" s="228" t="s">
        <v>409</v>
      </c>
      <c r="N27" s="228" t="s">
        <v>410</v>
      </c>
      <c r="O27" s="228" t="s">
        <v>411</v>
      </c>
      <c r="P27" s="228" t="s">
        <v>412</v>
      </c>
      <c r="Q27" s="232">
        <v>1</v>
      </c>
      <c r="R27" s="228" t="s">
        <v>430</v>
      </c>
      <c r="S27" s="228" t="s">
        <v>431</v>
      </c>
      <c r="T27" s="229">
        <v>80111620</v>
      </c>
      <c r="U27" s="228" t="s">
        <v>432</v>
      </c>
      <c r="V27" s="229">
        <v>1</v>
      </c>
      <c r="W27" s="229">
        <v>1</v>
      </c>
      <c r="X27" s="229">
        <v>330</v>
      </c>
      <c r="Y27" s="234" t="s">
        <v>416</v>
      </c>
      <c r="Z27" s="235" t="s">
        <v>417</v>
      </c>
      <c r="AA27" s="323">
        <v>39655000</v>
      </c>
      <c r="AB27" s="236">
        <v>3605000</v>
      </c>
      <c r="AC27" s="235" t="s">
        <v>433</v>
      </c>
      <c r="AD27" s="235" t="s">
        <v>419</v>
      </c>
      <c r="AE27" s="244"/>
      <c r="AF27" s="238"/>
      <c r="AG27" s="239"/>
      <c r="AH27" s="289"/>
      <c r="AI27" s="347">
        <f t="shared" si="0"/>
        <v>1201666.6666666667</v>
      </c>
      <c r="AJ27" s="347">
        <f t="shared" si="1"/>
        <v>3605000</v>
      </c>
      <c r="AK27" s="347">
        <v>3605000</v>
      </c>
      <c r="AL27" s="347">
        <v>3605000</v>
      </c>
      <c r="AM27" s="317">
        <v>3605000</v>
      </c>
      <c r="AN27" s="317">
        <v>3605000</v>
      </c>
      <c r="AO27" s="317">
        <v>3605000</v>
      </c>
      <c r="AP27" s="317">
        <v>3605000</v>
      </c>
      <c r="AQ27" s="317">
        <v>3605000</v>
      </c>
      <c r="AR27" s="317">
        <v>3605000</v>
      </c>
      <c r="AS27" s="317">
        <v>3605000</v>
      </c>
      <c r="AT27" s="317">
        <f t="shared" si="2"/>
        <v>2403333.3333333335</v>
      </c>
      <c r="AU27" s="314">
        <f t="shared" si="3"/>
        <v>39655000.000000007</v>
      </c>
      <c r="AV27" s="291">
        <f t="shared" si="4"/>
        <v>0</v>
      </c>
      <c r="AX27" s="288">
        <f t="shared" si="5"/>
        <v>39655000.000000007</v>
      </c>
      <c r="AY27" s="288">
        <v>0</v>
      </c>
      <c r="AZ27" s="288">
        <v>0</v>
      </c>
      <c r="BA27" s="288">
        <v>0</v>
      </c>
      <c r="BB27" s="287">
        <f t="shared" si="6"/>
        <v>39655000.000000007</v>
      </c>
    </row>
    <row r="28" spans="1:54">
      <c r="A28" s="228" t="s">
        <v>401</v>
      </c>
      <c r="B28" s="229" t="s">
        <v>402</v>
      </c>
      <c r="C28" s="229" t="s">
        <v>402</v>
      </c>
      <c r="D28" s="229">
        <v>388</v>
      </c>
      <c r="E28" s="230">
        <v>388</v>
      </c>
      <c r="F28" s="231">
        <v>7673</v>
      </c>
      <c r="G28" s="228" t="s">
        <v>403</v>
      </c>
      <c r="H28" s="228" t="s">
        <v>404</v>
      </c>
      <c r="I28" s="228" t="s">
        <v>405</v>
      </c>
      <c r="J28" s="228" t="s">
        <v>406</v>
      </c>
      <c r="K28" s="228" t="s">
        <v>407</v>
      </c>
      <c r="L28" s="228" t="s">
        <v>408</v>
      </c>
      <c r="M28" s="228" t="s">
        <v>409</v>
      </c>
      <c r="N28" s="228" t="s">
        <v>410</v>
      </c>
      <c r="O28" s="228" t="s">
        <v>411</v>
      </c>
      <c r="P28" s="228" t="s">
        <v>412</v>
      </c>
      <c r="Q28" s="232">
        <v>1</v>
      </c>
      <c r="R28" s="228" t="s">
        <v>430</v>
      </c>
      <c r="S28" s="228" t="s">
        <v>431</v>
      </c>
      <c r="T28" s="229">
        <v>80111620</v>
      </c>
      <c r="U28" s="228" t="s">
        <v>434</v>
      </c>
      <c r="V28" s="229">
        <v>1</v>
      </c>
      <c r="W28" s="229">
        <v>1</v>
      </c>
      <c r="X28" s="229">
        <v>330</v>
      </c>
      <c r="Y28" s="234" t="s">
        <v>416</v>
      </c>
      <c r="Z28" s="235" t="s">
        <v>417</v>
      </c>
      <c r="AA28" s="323">
        <v>39655000</v>
      </c>
      <c r="AB28" s="236">
        <v>3605000</v>
      </c>
      <c r="AC28" s="235" t="s">
        <v>435</v>
      </c>
      <c r="AD28" s="235" t="s">
        <v>419</v>
      </c>
      <c r="AE28" s="237"/>
      <c r="AF28" s="238"/>
      <c r="AG28" s="239"/>
      <c r="AH28" s="289"/>
      <c r="AI28" s="347">
        <f t="shared" si="0"/>
        <v>1201666.6666666667</v>
      </c>
      <c r="AJ28" s="347">
        <f t="shared" si="1"/>
        <v>3605000</v>
      </c>
      <c r="AK28" s="347">
        <v>3605000</v>
      </c>
      <c r="AL28" s="347">
        <v>3605000</v>
      </c>
      <c r="AM28" s="317">
        <v>3605000</v>
      </c>
      <c r="AN28" s="317">
        <v>3605000</v>
      </c>
      <c r="AO28" s="317">
        <v>3605000</v>
      </c>
      <c r="AP28" s="317">
        <v>3605000</v>
      </c>
      <c r="AQ28" s="317">
        <v>3605000</v>
      </c>
      <c r="AR28" s="317">
        <v>3605000</v>
      </c>
      <c r="AS28" s="317">
        <v>3605000</v>
      </c>
      <c r="AT28" s="317">
        <f t="shared" si="2"/>
        <v>2403333.3333333335</v>
      </c>
      <c r="AU28" s="314">
        <f t="shared" si="3"/>
        <v>39655000.000000007</v>
      </c>
      <c r="AV28" s="291">
        <f t="shared" si="4"/>
        <v>0</v>
      </c>
      <c r="AX28" s="288">
        <f t="shared" si="5"/>
        <v>39655000.000000007</v>
      </c>
      <c r="AY28" s="288">
        <v>0</v>
      </c>
      <c r="AZ28" s="288">
        <v>0</v>
      </c>
      <c r="BA28" s="288">
        <v>0</v>
      </c>
      <c r="BB28" s="287">
        <f t="shared" si="6"/>
        <v>39655000.000000007</v>
      </c>
    </row>
    <row r="29" spans="1:54">
      <c r="A29" s="228" t="s">
        <v>401</v>
      </c>
      <c r="B29" s="229" t="s">
        <v>402</v>
      </c>
      <c r="C29" s="229" t="s">
        <v>402</v>
      </c>
      <c r="D29" s="229">
        <v>389</v>
      </c>
      <c r="E29" s="230">
        <v>389</v>
      </c>
      <c r="F29" s="231">
        <v>7673</v>
      </c>
      <c r="G29" s="228" t="s">
        <v>403</v>
      </c>
      <c r="H29" s="228" t="s">
        <v>404</v>
      </c>
      <c r="I29" s="228" t="s">
        <v>405</v>
      </c>
      <c r="J29" s="228" t="s">
        <v>406</v>
      </c>
      <c r="K29" s="228" t="s">
        <v>407</v>
      </c>
      <c r="L29" s="228" t="s">
        <v>408</v>
      </c>
      <c r="M29" s="228" t="s">
        <v>409</v>
      </c>
      <c r="N29" s="228" t="s">
        <v>410</v>
      </c>
      <c r="O29" s="228" t="s">
        <v>411</v>
      </c>
      <c r="P29" s="228" t="s">
        <v>412</v>
      </c>
      <c r="Q29" s="232">
        <v>1</v>
      </c>
      <c r="R29" s="228" t="s">
        <v>430</v>
      </c>
      <c r="S29" s="228" t="s">
        <v>431</v>
      </c>
      <c r="T29" s="229">
        <v>80111620</v>
      </c>
      <c r="U29" s="228" t="s">
        <v>434</v>
      </c>
      <c r="V29" s="229">
        <v>1</v>
      </c>
      <c r="W29" s="229">
        <v>1</v>
      </c>
      <c r="X29" s="229">
        <v>330</v>
      </c>
      <c r="Y29" s="234" t="s">
        <v>416</v>
      </c>
      <c r="Z29" s="235" t="s">
        <v>417</v>
      </c>
      <c r="AA29" s="323">
        <v>39655000</v>
      </c>
      <c r="AB29" s="236">
        <v>3605000</v>
      </c>
      <c r="AC29" s="235" t="s">
        <v>435</v>
      </c>
      <c r="AD29" s="235" t="s">
        <v>419</v>
      </c>
      <c r="AE29" s="237"/>
      <c r="AF29" s="238"/>
      <c r="AG29" s="239"/>
      <c r="AH29" s="289"/>
      <c r="AI29" s="347">
        <f t="shared" si="0"/>
        <v>1201666.6666666667</v>
      </c>
      <c r="AJ29" s="347">
        <f t="shared" si="1"/>
        <v>3605000</v>
      </c>
      <c r="AK29" s="347">
        <v>3605000</v>
      </c>
      <c r="AL29" s="347">
        <v>3605000</v>
      </c>
      <c r="AM29" s="317">
        <v>3605000</v>
      </c>
      <c r="AN29" s="317">
        <v>3605000</v>
      </c>
      <c r="AO29" s="317">
        <v>3605000</v>
      </c>
      <c r="AP29" s="317">
        <v>3605000</v>
      </c>
      <c r="AQ29" s="317">
        <v>3605000</v>
      </c>
      <c r="AR29" s="317">
        <v>3605000</v>
      </c>
      <c r="AS29" s="317">
        <v>3605000</v>
      </c>
      <c r="AT29" s="317">
        <f t="shared" si="2"/>
        <v>2403333.3333333335</v>
      </c>
      <c r="AU29" s="314">
        <f t="shared" si="3"/>
        <v>39655000.000000007</v>
      </c>
      <c r="AV29" s="291">
        <f t="shared" si="4"/>
        <v>0</v>
      </c>
      <c r="AX29" s="288">
        <f t="shared" si="5"/>
        <v>39655000.000000007</v>
      </c>
      <c r="AY29" s="288">
        <v>0</v>
      </c>
      <c r="AZ29" s="288">
        <v>0</v>
      </c>
      <c r="BA29" s="288">
        <v>0</v>
      </c>
      <c r="BB29" s="287">
        <f t="shared" si="6"/>
        <v>39655000.000000007</v>
      </c>
    </row>
    <row r="30" spans="1:54">
      <c r="A30" s="228" t="s">
        <v>401</v>
      </c>
      <c r="B30" s="229" t="s">
        <v>402</v>
      </c>
      <c r="C30" s="229" t="s">
        <v>402</v>
      </c>
      <c r="D30" s="229">
        <v>390</v>
      </c>
      <c r="E30" s="230">
        <v>390</v>
      </c>
      <c r="F30" s="231">
        <v>7673</v>
      </c>
      <c r="G30" s="228" t="s">
        <v>403</v>
      </c>
      <c r="H30" s="228" t="s">
        <v>404</v>
      </c>
      <c r="I30" s="228" t="s">
        <v>405</v>
      </c>
      <c r="J30" s="228" t="s">
        <v>406</v>
      </c>
      <c r="K30" s="228" t="s">
        <v>407</v>
      </c>
      <c r="L30" s="228" t="s">
        <v>408</v>
      </c>
      <c r="M30" s="228" t="s">
        <v>409</v>
      </c>
      <c r="N30" s="228" t="s">
        <v>410</v>
      </c>
      <c r="O30" s="228" t="s">
        <v>411</v>
      </c>
      <c r="P30" s="228" t="s">
        <v>412</v>
      </c>
      <c r="Q30" s="232">
        <v>1</v>
      </c>
      <c r="R30" s="228" t="s">
        <v>430</v>
      </c>
      <c r="S30" s="228" t="s">
        <v>431</v>
      </c>
      <c r="T30" s="229">
        <v>80111620</v>
      </c>
      <c r="U30" s="228" t="s">
        <v>434</v>
      </c>
      <c r="V30" s="229">
        <v>1</v>
      </c>
      <c r="W30" s="229">
        <v>1</v>
      </c>
      <c r="X30" s="229">
        <v>330</v>
      </c>
      <c r="Y30" s="234" t="s">
        <v>416</v>
      </c>
      <c r="Z30" s="235" t="s">
        <v>417</v>
      </c>
      <c r="AA30" s="323">
        <v>39655000</v>
      </c>
      <c r="AB30" s="236">
        <v>3605000</v>
      </c>
      <c r="AC30" s="235" t="s">
        <v>435</v>
      </c>
      <c r="AD30" s="235" t="s">
        <v>419</v>
      </c>
      <c r="AE30" s="243"/>
      <c r="AF30" s="238"/>
      <c r="AG30" s="241"/>
      <c r="AH30" s="290"/>
      <c r="AI30" s="347">
        <f t="shared" si="0"/>
        <v>1201666.6666666667</v>
      </c>
      <c r="AJ30" s="347">
        <f t="shared" si="1"/>
        <v>3605000</v>
      </c>
      <c r="AK30" s="347">
        <v>3605000</v>
      </c>
      <c r="AL30" s="347">
        <v>3605000</v>
      </c>
      <c r="AM30" s="317">
        <v>3605000</v>
      </c>
      <c r="AN30" s="317">
        <v>3605000</v>
      </c>
      <c r="AO30" s="317">
        <v>3605000</v>
      </c>
      <c r="AP30" s="317">
        <v>3605000</v>
      </c>
      <c r="AQ30" s="317">
        <v>3605000</v>
      </c>
      <c r="AR30" s="317">
        <v>3605000</v>
      </c>
      <c r="AS30" s="317">
        <v>3605000</v>
      </c>
      <c r="AT30" s="317">
        <f t="shared" si="2"/>
        <v>2403333.3333333335</v>
      </c>
      <c r="AU30" s="314">
        <f t="shared" si="3"/>
        <v>39655000.000000007</v>
      </c>
      <c r="AV30" s="291">
        <f t="shared" si="4"/>
        <v>0</v>
      </c>
      <c r="AX30" s="288">
        <f t="shared" si="5"/>
        <v>39655000.000000007</v>
      </c>
      <c r="AY30" s="288">
        <v>0</v>
      </c>
      <c r="AZ30" s="288">
        <v>0</v>
      </c>
      <c r="BA30" s="288">
        <v>0</v>
      </c>
      <c r="BB30" s="287">
        <f t="shared" si="6"/>
        <v>39655000.000000007</v>
      </c>
    </row>
    <row r="31" spans="1:54">
      <c r="A31" s="228" t="s">
        <v>401</v>
      </c>
      <c r="B31" s="229" t="s">
        <v>402</v>
      </c>
      <c r="C31" s="229" t="s">
        <v>402</v>
      </c>
      <c r="D31" s="229">
        <v>391</v>
      </c>
      <c r="E31" s="230">
        <v>391</v>
      </c>
      <c r="F31" s="231">
        <v>7673</v>
      </c>
      <c r="G31" s="228" t="s">
        <v>403</v>
      </c>
      <c r="H31" s="228" t="s">
        <v>404</v>
      </c>
      <c r="I31" s="228" t="s">
        <v>405</v>
      </c>
      <c r="J31" s="228" t="s">
        <v>406</v>
      </c>
      <c r="K31" s="228" t="s">
        <v>407</v>
      </c>
      <c r="L31" s="228" t="s">
        <v>408</v>
      </c>
      <c r="M31" s="228" t="s">
        <v>409</v>
      </c>
      <c r="N31" s="228" t="s">
        <v>410</v>
      </c>
      <c r="O31" s="228" t="s">
        <v>411</v>
      </c>
      <c r="P31" s="228" t="s">
        <v>412</v>
      </c>
      <c r="Q31" s="232">
        <v>1</v>
      </c>
      <c r="R31" s="228" t="s">
        <v>430</v>
      </c>
      <c r="S31" s="228" t="s">
        <v>431</v>
      </c>
      <c r="T31" s="229">
        <v>80111620</v>
      </c>
      <c r="U31" s="228" t="s">
        <v>434</v>
      </c>
      <c r="V31" s="229">
        <v>1</v>
      </c>
      <c r="W31" s="229">
        <v>1</v>
      </c>
      <c r="X31" s="229">
        <v>330</v>
      </c>
      <c r="Y31" s="234" t="s">
        <v>416</v>
      </c>
      <c r="Z31" s="235" t="s">
        <v>417</v>
      </c>
      <c r="AA31" s="323">
        <v>39655000</v>
      </c>
      <c r="AB31" s="236">
        <v>3605000</v>
      </c>
      <c r="AC31" s="235" t="s">
        <v>435</v>
      </c>
      <c r="AD31" s="235" t="s">
        <v>419</v>
      </c>
      <c r="AE31" s="243"/>
      <c r="AF31" s="238"/>
      <c r="AG31" s="241"/>
      <c r="AH31" s="290"/>
      <c r="AI31" s="347">
        <f t="shared" si="0"/>
        <v>1201666.6666666667</v>
      </c>
      <c r="AJ31" s="347">
        <f t="shared" si="1"/>
        <v>3605000</v>
      </c>
      <c r="AK31" s="347">
        <v>3605000</v>
      </c>
      <c r="AL31" s="347">
        <v>3605000</v>
      </c>
      <c r="AM31" s="317">
        <v>3605000</v>
      </c>
      <c r="AN31" s="317">
        <v>3605000</v>
      </c>
      <c r="AO31" s="317">
        <v>3605000</v>
      </c>
      <c r="AP31" s="317">
        <v>3605000</v>
      </c>
      <c r="AQ31" s="317">
        <v>3605000</v>
      </c>
      <c r="AR31" s="317">
        <v>3605000</v>
      </c>
      <c r="AS31" s="317">
        <v>3605000</v>
      </c>
      <c r="AT31" s="317">
        <f t="shared" si="2"/>
        <v>2403333.3333333335</v>
      </c>
      <c r="AU31" s="314">
        <f t="shared" si="3"/>
        <v>39655000.000000007</v>
      </c>
      <c r="AV31" s="291">
        <f t="shared" si="4"/>
        <v>0</v>
      </c>
      <c r="AX31" s="288">
        <f t="shared" si="5"/>
        <v>39655000.000000007</v>
      </c>
      <c r="AY31" s="288">
        <v>0</v>
      </c>
      <c r="AZ31" s="288">
        <v>0</v>
      </c>
      <c r="BA31" s="288">
        <v>0</v>
      </c>
      <c r="BB31" s="287">
        <f t="shared" si="6"/>
        <v>39655000.000000007</v>
      </c>
    </row>
    <row r="32" spans="1:54" hidden="1">
      <c r="A32" s="228" t="s">
        <v>401</v>
      </c>
      <c r="B32" s="229" t="s">
        <v>402</v>
      </c>
      <c r="C32" s="229" t="s">
        <v>402</v>
      </c>
      <c r="D32" s="229">
        <v>392</v>
      </c>
      <c r="E32" s="230">
        <v>392</v>
      </c>
      <c r="F32" s="231">
        <v>7673</v>
      </c>
      <c r="G32" s="228" t="s">
        <v>403</v>
      </c>
      <c r="H32" s="228" t="s">
        <v>404</v>
      </c>
      <c r="I32" s="228" t="s">
        <v>405</v>
      </c>
      <c r="J32" s="228" t="s">
        <v>406</v>
      </c>
      <c r="K32" s="228" t="s">
        <v>407</v>
      </c>
      <c r="L32" s="228" t="s">
        <v>408</v>
      </c>
      <c r="M32" s="228" t="s">
        <v>409</v>
      </c>
      <c r="N32" s="228" t="s">
        <v>410</v>
      </c>
      <c r="O32" s="228" t="s">
        <v>436</v>
      </c>
      <c r="P32" s="228" t="s">
        <v>437</v>
      </c>
      <c r="Q32" s="232">
        <v>1</v>
      </c>
      <c r="R32" s="228" t="s">
        <v>413</v>
      </c>
      <c r="S32" s="228" t="s">
        <v>414</v>
      </c>
      <c r="T32" s="229">
        <v>80111620</v>
      </c>
      <c r="U32" s="228" t="s">
        <v>438</v>
      </c>
      <c r="V32" s="229">
        <v>1</v>
      </c>
      <c r="W32" s="229">
        <v>1</v>
      </c>
      <c r="X32" s="229">
        <v>330</v>
      </c>
      <c r="Y32" s="234" t="s">
        <v>416</v>
      </c>
      <c r="Z32" s="235" t="s">
        <v>417</v>
      </c>
      <c r="AA32" s="323">
        <v>92818000</v>
      </c>
      <c r="AB32" s="236">
        <v>8438000</v>
      </c>
      <c r="AC32" s="235" t="s">
        <v>439</v>
      </c>
      <c r="AD32" s="235" t="s">
        <v>440</v>
      </c>
      <c r="AE32" s="245"/>
      <c r="AF32" s="238"/>
      <c r="AG32" s="241"/>
      <c r="AH32" s="241"/>
      <c r="AI32" s="347">
        <f t="shared" si="0"/>
        <v>2812666.666666667</v>
      </c>
      <c r="AJ32" s="347">
        <f t="shared" si="1"/>
        <v>8438000</v>
      </c>
      <c r="AK32" s="347">
        <v>8438000</v>
      </c>
      <c r="AL32" s="347">
        <v>8438000</v>
      </c>
      <c r="AM32" s="317">
        <v>8438000</v>
      </c>
      <c r="AN32" s="317">
        <v>8438000</v>
      </c>
      <c r="AO32" s="317">
        <v>8438000</v>
      </c>
      <c r="AP32" s="317">
        <v>8438000</v>
      </c>
      <c r="AQ32" s="317">
        <v>8438000</v>
      </c>
      <c r="AR32" s="317">
        <v>8438000</v>
      </c>
      <c r="AS32" s="317">
        <v>8438000</v>
      </c>
      <c r="AT32" s="317">
        <f t="shared" si="2"/>
        <v>5625333.333333334</v>
      </c>
      <c r="AU32" s="314">
        <f t="shared" si="3"/>
        <v>92818000</v>
      </c>
      <c r="AV32" s="291">
        <f t="shared" si="4"/>
        <v>0</v>
      </c>
      <c r="AX32" s="288">
        <v>0</v>
      </c>
      <c r="AY32" s="288">
        <v>0</v>
      </c>
      <c r="AZ32" s="288">
        <f>+AU32</f>
        <v>92818000</v>
      </c>
      <c r="BA32" s="288">
        <v>0</v>
      </c>
      <c r="BB32" s="287">
        <f t="shared" si="6"/>
        <v>92818000</v>
      </c>
    </row>
    <row r="33" spans="1:54" hidden="1">
      <c r="A33" s="228" t="s">
        <v>401</v>
      </c>
      <c r="B33" s="229" t="s">
        <v>402</v>
      </c>
      <c r="C33" s="229" t="s">
        <v>402</v>
      </c>
      <c r="D33" s="229">
        <v>393</v>
      </c>
      <c r="E33" s="230">
        <v>393</v>
      </c>
      <c r="F33" s="231">
        <v>7673</v>
      </c>
      <c r="G33" s="228" t="s">
        <v>403</v>
      </c>
      <c r="H33" s="228" t="s">
        <v>404</v>
      </c>
      <c r="I33" s="228" t="s">
        <v>405</v>
      </c>
      <c r="J33" s="228" t="s">
        <v>406</v>
      </c>
      <c r="K33" s="228" t="s">
        <v>407</v>
      </c>
      <c r="L33" s="228" t="s">
        <v>408</v>
      </c>
      <c r="M33" s="228" t="s">
        <v>409</v>
      </c>
      <c r="N33" s="228" t="s">
        <v>410</v>
      </c>
      <c r="O33" s="228" t="s">
        <v>436</v>
      </c>
      <c r="P33" s="228" t="s">
        <v>437</v>
      </c>
      <c r="Q33" s="232">
        <v>1</v>
      </c>
      <c r="R33" s="228" t="s">
        <v>413</v>
      </c>
      <c r="S33" s="228" t="s">
        <v>414</v>
      </c>
      <c r="T33" s="229">
        <v>80111620</v>
      </c>
      <c r="U33" s="228" t="s">
        <v>441</v>
      </c>
      <c r="V33" s="229">
        <v>1</v>
      </c>
      <c r="W33" s="229">
        <v>1</v>
      </c>
      <c r="X33" s="229">
        <v>330</v>
      </c>
      <c r="Y33" s="234" t="s">
        <v>416</v>
      </c>
      <c r="Z33" s="235" t="s">
        <v>417</v>
      </c>
      <c r="AA33" s="323">
        <v>63811000</v>
      </c>
      <c r="AB33" s="236">
        <v>5801000</v>
      </c>
      <c r="AC33" s="235" t="s">
        <v>442</v>
      </c>
      <c r="AD33" s="235" t="s">
        <v>440</v>
      </c>
      <c r="AE33" s="245"/>
      <c r="AF33" s="238"/>
      <c r="AG33" s="244"/>
      <c r="AH33" s="244"/>
      <c r="AI33" s="347">
        <f t="shared" si="0"/>
        <v>1933666.6666666665</v>
      </c>
      <c r="AJ33" s="347">
        <f t="shared" si="1"/>
        <v>5801000</v>
      </c>
      <c r="AK33" s="347">
        <v>5801000</v>
      </c>
      <c r="AL33" s="347">
        <v>5801000</v>
      </c>
      <c r="AM33" s="317">
        <v>5801000</v>
      </c>
      <c r="AN33" s="317">
        <v>5801000</v>
      </c>
      <c r="AO33" s="317">
        <v>5801000</v>
      </c>
      <c r="AP33" s="317">
        <v>5801000</v>
      </c>
      <c r="AQ33" s="317">
        <v>5801000</v>
      </c>
      <c r="AR33" s="317">
        <v>5801000</v>
      </c>
      <c r="AS33" s="317">
        <v>5801000</v>
      </c>
      <c r="AT33" s="317">
        <f t="shared" si="2"/>
        <v>3867333.333333333</v>
      </c>
      <c r="AU33" s="314">
        <f t="shared" si="3"/>
        <v>63811000</v>
      </c>
      <c r="AV33" s="291">
        <f t="shared" si="4"/>
        <v>0</v>
      </c>
      <c r="AX33" s="288">
        <v>0</v>
      </c>
      <c r="AY33" s="288">
        <v>0</v>
      </c>
      <c r="AZ33" s="288">
        <f t="shared" ref="AZ33:AZ52" si="7">+AU33</f>
        <v>63811000</v>
      </c>
      <c r="BA33" s="288">
        <v>0</v>
      </c>
      <c r="BB33" s="287">
        <f t="shared" si="6"/>
        <v>63811000</v>
      </c>
    </row>
    <row r="34" spans="1:54" hidden="1">
      <c r="A34" s="228" t="s">
        <v>401</v>
      </c>
      <c r="B34" s="229" t="s">
        <v>402</v>
      </c>
      <c r="C34" s="229" t="s">
        <v>402</v>
      </c>
      <c r="D34" s="229">
        <v>394</v>
      </c>
      <c r="E34" s="230">
        <v>394</v>
      </c>
      <c r="F34" s="231">
        <v>7673</v>
      </c>
      <c r="G34" s="228" t="s">
        <v>403</v>
      </c>
      <c r="H34" s="228" t="s">
        <v>404</v>
      </c>
      <c r="I34" s="228" t="s">
        <v>405</v>
      </c>
      <c r="J34" s="228" t="s">
        <v>406</v>
      </c>
      <c r="K34" s="228" t="s">
        <v>407</v>
      </c>
      <c r="L34" s="228" t="s">
        <v>408</v>
      </c>
      <c r="M34" s="228" t="s">
        <v>409</v>
      </c>
      <c r="N34" s="228" t="s">
        <v>410</v>
      </c>
      <c r="O34" s="228" t="s">
        <v>436</v>
      </c>
      <c r="P34" s="228" t="s">
        <v>437</v>
      </c>
      <c r="Q34" s="232">
        <v>1</v>
      </c>
      <c r="R34" s="228" t="s">
        <v>413</v>
      </c>
      <c r="S34" s="228" t="s">
        <v>414</v>
      </c>
      <c r="T34" s="229">
        <v>80111620</v>
      </c>
      <c r="U34" s="228" t="s">
        <v>443</v>
      </c>
      <c r="V34" s="229">
        <v>1</v>
      </c>
      <c r="W34" s="229">
        <v>1</v>
      </c>
      <c r="X34" s="229">
        <v>330</v>
      </c>
      <c r="Y34" s="234" t="s">
        <v>416</v>
      </c>
      <c r="Z34" s="235" t="s">
        <v>417</v>
      </c>
      <c r="AA34" s="323">
        <v>126500000</v>
      </c>
      <c r="AB34" s="236">
        <v>11500000</v>
      </c>
      <c r="AC34" s="235" t="s">
        <v>444</v>
      </c>
      <c r="AD34" s="235" t="s">
        <v>440</v>
      </c>
      <c r="AE34" s="245"/>
      <c r="AF34" s="246"/>
      <c r="AG34" s="241"/>
      <c r="AH34" s="244"/>
      <c r="AI34" s="347">
        <f t="shared" si="0"/>
        <v>3833333.333333333</v>
      </c>
      <c r="AJ34" s="347">
        <f t="shared" si="1"/>
        <v>11500000</v>
      </c>
      <c r="AK34" s="347">
        <v>11500000</v>
      </c>
      <c r="AL34" s="347">
        <v>11500000</v>
      </c>
      <c r="AM34" s="317">
        <v>11500000</v>
      </c>
      <c r="AN34" s="317">
        <v>11500000</v>
      </c>
      <c r="AO34" s="317">
        <v>11500000</v>
      </c>
      <c r="AP34" s="317">
        <v>11500000</v>
      </c>
      <c r="AQ34" s="317">
        <v>11500000</v>
      </c>
      <c r="AR34" s="317">
        <v>11500000</v>
      </c>
      <c r="AS34" s="317">
        <v>11500000</v>
      </c>
      <c r="AT34" s="317">
        <f t="shared" si="2"/>
        <v>7666666.666666666</v>
      </c>
      <c r="AU34" s="314">
        <f t="shared" si="3"/>
        <v>126500000</v>
      </c>
      <c r="AV34" s="291">
        <f t="shared" si="4"/>
        <v>0</v>
      </c>
      <c r="AX34" s="288">
        <v>0</v>
      </c>
      <c r="AY34" s="288">
        <v>0</v>
      </c>
      <c r="AZ34" s="288">
        <f t="shared" si="7"/>
        <v>126500000</v>
      </c>
      <c r="BA34" s="288">
        <v>0</v>
      </c>
      <c r="BB34" s="287">
        <f t="shared" si="6"/>
        <v>126500000</v>
      </c>
    </row>
    <row r="35" spans="1:54" hidden="1">
      <c r="A35" s="228" t="s">
        <v>401</v>
      </c>
      <c r="B35" s="229" t="s">
        <v>402</v>
      </c>
      <c r="C35" s="229" t="s">
        <v>402</v>
      </c>
      <c r="D35" s="229">
        <v>395</v>
      </c>
      <c r="E35" s="230">
        <v>395</v>
      </c>
      <c r="F35" s="231">
        <v>7673</v>
      </c>
      <c r="G35" s="228" t="s">
        <v>403</v>
      </c>
      <c r="H35" s="228" t="s">
        <v>404</v>
      </c>
      <c r="I35" s="228" t="s">
        <v>405</v>
      </c>
      <c r="J35" s="228" t="s">
        <v>406</v>
      </c>
      <c r="K35" s="228" t="s">
        <v>407</v>
      </c>
      <c r="L35" s="228" t="s">
        <v>408</v>
      </c>
      <c r="M35" s="228" t="s">
        <v>409</v>
      </c>
      <c r="N35" s="228" t="s">
        <v>410</v>
      </c>
      <c r="O35" s="228" t="s">
        <v>436</v>
      </c>
      <c r="P35" s="228" t="s">
        <v>437</v>
      </c>
      <c r="Q35" s="232">
        <v>1</v>
      </c>
      <c r="R35" s="228" t="s">
        <v>413</v>
      </c>
      <c r="S35" s="228" t="s">
        <v>414</v>
      </c>
      <c r="T35" s="229">
        <v>80111620</v>
      </c>
      <c r="U35" s="228" t="s">
        <v>445</v>
      </c>
      <c r="V35" s="229">
        <v>1</v>
      </c>
      <c r="W35" s="229">
        <v>1</v>
      </c>
      <c r="X35" s="229">
        <v>330</v>
      </c>
      <c r="Y35" s="234" t="s">
        <v>416</v>
      </c>
      <c r="Z35" s="235" t="s">
        <v>417</v>
      </c>
      <c r="AA35" s="323">
        <v>113300000</v>
      </c>
      <c r="AB35" s="236">
        <v>10300000</v>
      </c>
      <c r="AC35" s="235" t="s">
        <v>446</v>
      </c>
      <c r="AD35" s="235" t="s">
        <v>440</v>
      </c>
      <c r="AE35" s="247"/>
      <c r="AF35" s="238"/>
      <c r="AG35" s="239"/>
      <c r="AH35" s="244"/>
      <c r="AI35" s="347">
        <f t="shared" si="0"/>
        <v>3433333.333333333</v>
      </c>
      <c r="AJ35" s="347">
        <f t="shared" si="1"/>
        <v>10300000</v>
      </c>
      <c r="AK35" s="347">
        <v>10300000</v>
      </c>
      <c r="AL35" s="347">
        <v>10300000</v>
      </c>
      <c r="AM35" s="317">
        <v>10300000</v>
      </c>
      <c r="AN35" s="317">
        <v>10300000</v>
      </c>
      <c r="AO35" s="317">
        <v>10300000</v>
      </c>
      <c r="AP35" s="317">
        <v>10300000</v>
      </c>
      <c r="AQ35" s="317">
        <v>10300000</v>
      </c>
      <c r="AR35" s="317">
        <v>10300000</v>
      </c>
      <c r="AS35" s="317">
        <v>10300000</v>
      </c>
      <c r="AT35" s="317">
        <f t="shared" si="2"/>
        <v>6866666.666666666</v>
      </c>
      <c r="AU35" s="314">
        <f t="shared" si="3"/>
        <v>113300000</v>
      </c>
      <c r="AV35" s="291">
        <f t="shared" si="4"/>
        <v>0</v>
      </c>
      <c r="AX35" s="288">
        <v>0</v>
      </c>
      <c r="AY35" s="288">
        <v>0</v>
      </c>
      <c r="AZ35" s="288">
        <f t="shared" si="7"/>
        <v>113300000</v>
      </c>
      <c r="BA35" s="288">
        <v>0</v>
      </c>
      <c r="BB35" s="287">
        <f t="shared" si="6"/>
        <v>113300000</v>
      </c>
    </row>
    <row r="36" spans="1:54" hidden="1">
      <c r="A36" s="228" t="s">
        <v>401</v>
      </c>
      <c r="B36" s="229" t="s">
        <v>402</v>
      </c>
      <c r="C36" s="229" t="s">
        <v>402</v>
      </c>
      <c r="D36" s="229">
        <v>396</v>
      </c>
      <c r="E36" s="230">
        <v>396</v>
      </c>
      <c r="F36" s="231">
        <v>7673</v>
      </c>
      <c r="G36" s="228" t="s">
        <v>403</v>
      </c>
      <c r="H36" s="228" t="s">
        <v>404</v>
      </c>
      <c r="I36" s="228" t="s">
        <v>405</v>
      </c>
      <c r="J36" s="228" t="s">
        <v>406</v>
      </c>
      <c r="K36" s="228" t="s">
        <v>407</v>
      </c>
      <c r="L36" s="228" t="s">
        <v>408</v>
      </c>
      <c r="M36" s="228" t="s">
        <v>409</v>
      </c>
      <c r="N36" s="228" t="s">
        <v>410</v>
      </c>
      <c r="O36" s="228" t="s">
        <v>436</v>
      </c>
      <c r="P36" s="228" t="s">
        <v>437</v>
      </c>
      <c r="Q36" s="232">
        <v>1</v>
      </c>
      <c r="R36" s="228" t="s">
        <v>413</v>
      </c>
      <c r="S36" s="228" t="s">
        <v>414</v>
      </c>
      <c r="T36" s="229">
        <v>80111620</v>
      </c>
      <c r="U36" s="228" t="s">
        <v>447</v>
      </c>
      <c r="V36" s="229">
        <v>1</v>
      </c>
      <c r="W36" s="229">
        <v>1</v>
      </c>
      <c r="X36" s="229">
        <v>330</v>
      </c>
      <c r="Y36" s="234" t="s">
        <v>416</v>
      </c>
      <c r="Z36" s="235" t="s">
        <v>417</v>
      </c>
      <c r="AA36" s="323">
        <v>92818000</v>
      </c>
      <c r="AB36" s="236">
        <v>8438000</v>
      </c>
      <c r="AC36" s="235" t="s">
        <v>448</v>
      </c>
      <c r="AD36" s="235" t="s">
        <v>440</v>
      </c>
      <c r="AE36" s="245"/>
      <c r="AF36" s="238"/>
      <c r="AG36" s="239"/>
      <c r="AH36" s="244"/>
      <c r="AI36" s="347">
        <f t="shared" si="0"/>
        <v>2812666.666666667</v>
      </c>
      <c r="AJ36" s="347">
        <f t="shared" si="1"/>
        <v>8438000</v>
      </c>
      <c r="AK36" s="347">
        <v>8438000</v>
      </c>
      <c r="AL36" s="347">
        <v>8438000</v>
      </c>
      <c r="AM36" s="317">
        <v>8438000</v>
      </c>
      <c r="AN36" s="317">
        <v>8438000</v>
      </c>
      <c r="AO36" s="317">
        <v>8438000</v>
      </c>
      <c r="AP36" s="317">
        <v>8438000</v>
      </c>
      <c r="AQ36" s="317">
        <v>8438000</v>
      </c>
      <c r="AR36" s="317">
        <v>8438000</v>
      </c>
      <c r="AS36" s="317">
        <v>8438000</v>
      </c>
      <c r="AT36" s="317">
        <f t="shared" si="2"/>
        <v>5625333.333333334</v>
      </c>
      <c r="AU36" s="314">
        <f t="shared" si="3"/>
        <v>92818000</v>
      </c>
      <c r="AV36" s="291">
        <f t="shared" si="4"/>
        <v>0</v>
      </c>
      <c r="AX36" s="288">
        <v>0</v>
      </c>
      <c r="AY36" s="288">
        <v>0</v>
      </c>
      <c r="AZ36" s="288">
        <f t="shared" si="7"/>
        <v>92818000</v>
      </c>
      <c r="BA36" s="288">
        <v>0</v>
      </c>
      <c r="BB36" s="287">
        <f t="shared" si="6"/>
        <v>92818000</v>
      </c>
    </row>
    <row r="37" spans="1:54" hidden="1">
      <c r="A37" s="228" t="s">
        <v>401</v>
      </c>
      <c r="B37" s="229" t="s">
        <v>402</v>
      </c>
      <c r="C37" s="229" t="s">
        <v>402</v>
      </c>
      <c r="D37" s="229">
        <v>397</v>
      </c>
      <c r="E37" s="230">
        <v>397</v>
      </c>
      <c r="F37" s="231">
        <v>7673</v>
      </c>
      <c r="G37" s="228" t="s">
        <v>403</v>
      </c>
      <c r="H37" s="228" t="s">
        <v>404</v>
      </c>
      <c r="I37" s="228" t="s">
        <v>405</v>
      </c>
      <c r="J37" s="228" t="s">
        <v>406</v>
      </c>
      <c r="K37" s="228" t="s">
        <v>407</v>
      </c>
      <c r="L37" s="228" t="s">
        <v>408</v>
      </c>
      <c r="M37" s="228" t="s">
        <v>409</v>
      </c>
      <c r="N37" s="228" t="s">
        <v>410</v>
      </c>
      <c r="O37" s="228" t="s">
        <v>436</v>
      </c>
      <c r="P37" s="228" t="s">
        <v>437</v>
      </c>
      <c r="Q37" s="232">
        <v>1</v>
      </c>
      <c r="R37" s="228" t="s">
        <v>413</v>
      </c>
      <c r="S37" s="228" t="s">
        <v>414</v>
      </c>
      <c r="T37" s="229">
        <v>80111620</v>
      </c>
      <c r="U37" s="228" t="s">
        <v>449</v>
      </c>
      <c r="V37" s="229">
        <v>1</v>
      </c>
      <c r="W37" s="229">
        <v>1</v>
      </c>
      <c r="X37" s="229">
        <v>330</v>
      </c>
      <c r="Y37" s="234" t="s">
        <v>416</v>
      </c>
      <c r="Z37" s="235" t="s">
        <v>417</v>
      </c>
      <c r="AA37" s="323">
        <v>67980000</v>
      </c>
      <c r="AB37" s="236">
        <v>6180000</v>
      </c>
      <c r="AC37" s="235" t="s">
        <v>450</v>
      </c>
      <c r="AD37" s="235" t="s">
        <v>440</v>
      </c>
      <c r="AE37" s="245"/>
      <c r="AF37" s="238"/>
      <c r="AG37" s="239"/>
      <c r="AH37" s="244"/>
      <c r="AI37" s="347">
        <f t="shared" si="0"/>
        <v>2060000</v>
      </c>
      <c r="AJ37" s="347">
        <f t="shared" si="1"/>
        <v>6180000</v>
      </c>
      <c r="AK37" s="347">
        <v>6180000</v>
      </c>
      <c r="AL37" s="347">
        <v>6180000</v>
      </c>
      <c r="AM37" s="317">
        <v>6180000</v>
      </c>
      <c r="AN37" s="317">
        <v>6180000</v>
      </c>
      <c r="AO37" s="317">
        <v>6180000</v>
      </c>
      <c r="AP37" s="317">
        <v>6180000</v>
      </c>
      <c r="AQ37" s="317">
        <v>6180000</v>
      </c>
      <c r="AR37" s="317">
        <v>6180000</v>
      </c>
      <c r="AS37" s="317">
        <v>6180000</v>
      </c>
      <c r="AT37" s="317">
        <f t="shared" si="2"/>
        <v>4120000</v>
      </c>
      <c r="AU37" s="314">
        <f t="shared" si="3"/>
        <v>67980000</v>
      </c>
      <c r="AV37" s="291">
        <f t="shared" si="4"/>
        <v>0</v>
      </c>
      <c r="AX37" s="288">
        <v>0</v>
      </c>
      <c r="AY37" s="288">
        <v>0</v>
      </c>
      <c r="AZ37" s="288">
        <f t="shared" si="7"/>
        <v>67980000</v>
      </c>
      <c r="BA37" s="288">
        <v>0</v>
      </c>
      <c r="BB37" s="287">
        <f t="shared" si="6"/>
        <v>67980000</v>
      </c>
    </row>
    <row r="38" spans="1:54" hidden="1">
      <c r="A38" s="228" t="s">
        <v>401</v>
      </c>
      <c r="B38" s="229" t="s">
        <v>402</v>
      </c>
      <c r="C38" s="229" t="s">
        <v>402</v>
      </c>
      <c r="D38" s="229">
        <v>398</v>
      </c>
      <c r="E38" s="230">
        <v>398</v>
      </c>
      <c r="F38" s="231">
        <v>7673</v>
      </c>
      <c r="G38" s="228" t="s">
        <v>403</v>
      </c>
      <c r="H38" s="228" t="s">
        <v>404</v>
      </c>
      <c r="I38" s="228" t="s">
        <v>405</v>
      </c>
      <c r="J38" s="228" t="s">
        <v>406</v>
      </c>
      <c r="K38" s="228" t="s">
        <v>407</v>
      </c>
      <c r="L38" s="228" t="s">
        <v>408</v>
      </c>
      <c r="M38" s="228" t="s">
        <v>409</v>
      </c>
      <c r="N38" s="228" t="s">
        <v>410</v>
      </c>
      <c r="O38" s="228" t="s">
        <v>436</v>
      </c>
      <c r="P38" s="228" t="s">
        <v>437</v>
      </c>
      <c r="Q38" s="232">
        <v>1</v>
      </c>
      <c r="R38" s="228" t="s">
        <v>413</v>
      </c>
      <c r="S38" s="228" t="s">
        <v>414</v>
      </c>
      <c r="T38" s="229">
        <v>80111620</v>
      </c>
      <c r="U38" s="228" t="s">
        <v>451</v>
      </c>
      <c r="V38" s="229">
        <v>1</v>
      </c>
      <c r="W38" s="229">
        <v>1</v>
      </c>
      <c r="X38" s="229">
        <v>330</v>
      </c>
      <c r="Y38" s="234" t="s">
        <v>416</v>
      </c>
      <c r="Z38" s="235" t="s">
        <v>417</v>
      </c>
      <c r="AA38" s="323">
        <v>62315000</v>
      </c>
      <c r="AB38" s="236">
        <v>5665000</v>
      </c>
      <c r="AC38" s="235" t="s">
        <v>452</v>
      </c>
      <c r="AD38" s="235" t="s">
        <v>440</v>
      </c>
      <c r="AE38" s="245"/>
      <c r="AF38" s="238"/>
      <c r="AG38" s="239"/>
      <c r="AH38" s="244"/>
      <c r="AI38" s="347">
        <f t="shared" si="0"/>
        <v>1888333.3333333335</v>
      </c>
      <c r="AJ38" s="347">
        <f t="shared" si="1"/>
        <v>5665000</v>
      </c>
      <c r="AK38" s="347">
        <v>5665000</v>
      </c>
      <c r="AL38" s="347">
        <v>5665000</v>
      </c>
      <c r="AM38" s="317">
        <v>5665000</v>
      </c>
      <c r="AN38" s="317">
        <v>5665000</v>
      </c>
      <c r="AO38" s="317">
        <v>5665000</v>
      </c>
      <c r="AP38" s="317">
        <v>5665000</v>
      </c>
      <c r="AQ38" s="317">
        <v>5665000</v>
      </c>
      <c r="AR38" s="317">
        <v>5665000</v>
      </c>
      <c r="AS38" s="317">
        <v>5665000</v>
      </c>
      <c r="AT38" s="317">
        <f t="shared" si="2"/>
        <v>3776666.666666667</v>
      </c>
      <c r="AU38" s="314">
        <f t="shared" si="3"/>
        <v>62315000</v>
      </c>
      <c r="AV38" s="291">
        <f t="shared" si="4"/>
        <v>0</v>
      </c>
      <c r="AX38" s="288">
        <v>0</v>
      </c>
      <c r="AY38" s="288">
        <v>0</v>
      </c>
      <c r="AZ38" s="288">
        <f t="shared" si="7"/>
        <v>62315000</v>
      </c>
      <c r="BA38" s="288">
        <v>0</v>
      </c>
      <c r="BB38" s="287">
        <f t="shared" si="6"/>
        <v>62315000</v>
      </c>
    </row>
    <row r="39" spans="1:54" hidden="1">
      <c r="A39" s="228" t="s">
        <v>401</v>
      </c>
      <c r="B39" s="229" t="s">
        <v>402</v>
      </c>
      <c r="C39" s="229" t="s">
        <v>402</v>
      </c>
      <c r="D39" s="229">
        <v>399</v>
      </c>
      <c r="E39" s="230">
        <v>399</v>
      </c>
      <c r="F39" s="231">
        <v>7673</v>
      </c>
      <c r="G39" s="228" t="s">
        <v>403</v>
      </c>
      <c r="H39" s="228" t="s">
        <v>404</v>
      </c>
      <c r="I39" s="228" t="s">
        <v>405</v>
      </c>
      <c r="J39" s="228" t="s">
        <v>406</v>
      </c>
      <c r="K39" s="228" t="s">
        <v>407</v>
      </c>
      <c r="L39" s="228" t="s">
        <v>408</v>
      </c>
      <c r="M39" s="228" t="s">
        <v>409</v>
      </c>
      <c r="N39" s="228" t="s">
        <v>410</v>
      </c>
      <c r="O39" s="228" t="s">
        <v>436</v>
      </c>
      <c r="P39" s="228" t="s">
        <v>437</v>
      </c>
      <c r="Q39" s="232">
        <v>1</v>
      </c>
      <c r="R39" s="228" t="s">
        <v>413</v>
      </c>
      <c r="S39" s="228" t="s">
        <v>414</v>
      </c>
      <c r="T39" s="229">
        <v>80111620</v>
      </c>
      <c r="U39" s="228" t="s">
        <v>453</v>
      </c>
      <c r="V39" s="229">
        <v>1</v>
      </c>
      <c r="W39" s="229">
        <v>1</v>
      </c>
      <c r="X39" s="229">
        <v>330</v>
      </c>
      <c r="Y39" s="234" t="s">
        <v>416</v>
      </c>
      <c r="Z39" s="235" t="s">
        <v>417</v>
      </c>
      <c r="AA39" s="323">
        <v>62315000</v>
      </c>
      <c r="AB39" s="236">
        <v>5665000</v>
      </c>
      <c r="AC39" s="235" t="s">
        <v>454</v>
      </c>
      <c r="AD39" s="235" t="s">
        <v>440</v>
      </c>
      <c r="AE39" s="247"/>
      <c r="AF39" s="238"/>
      <c r="AG39" s="239"/>
      <c r="AH39" s="244"/>
      <c r="AI39" s="347">
        <f t="shared" si="0"/>
        <v>1888333.3333333335</v>
      </c>
      <c r="AJ39" s="347">
        <f t="shared" si="1"/>
        <v>5665000</v>
      </c>
      <c r="AK39" s="347">
        <v>5665000</v>
      </c>
      <c r="AL39" s="347">
        <v>5665000</v>
      </c>
      <c r="AM39" s="317">
        <v>5665000</v>
      </c>
      <c r="AN39" s="317">
        <v>5665000</v>
      </c>
      <c r="AO39" s="317">
        <v>5665000</v>
      </c>
      <c r="AP39" s="317">
        <v>5665000</v>
      </c>
      <c r="AQ39" s="317">
        <v>5665000</v>
      </c>
      <c r="AR39" s="317">
        <v>5665000</v>
      </c>
      <c r="AS39" s="317">
        <v>5665000</v>
      </c>
      <c r="AT39" s="317">
        <f t="shared" si="2"/>
        <v>3776666.666666667</v>
      </c>
      <c r="AU39" s="314">
        <f t="shared" si="3"/>
        <v>62315000</v>
      </c>
      <c r="AV39" s="291">
        <f t="shared" si="4"/>
        <v>0</v>
      </c>
      <c r="AX39" s="288">
        <v>0</v>
      </c>
      <c r="AY39" s="288">
        <v>0</v>
      </c>
      <c r="AZ39" s="288">
        <f t="shared" si="7"/>
        <v>62315000</v>
      </c>
      <c r="BA39" s="288">
        <v>0</v>
      </c>
      <c r="BB39" s="287">
        <f t="shared" si="6"/>
        <v>62315000</v>
      </c>
    </row>
    <row r="40" spans="1:54" hidden="1">
      <c r="A40" s="228" t="s">
        <v>401</v>
      </c>
      <c r="B40" s="229" t="s">
        <v>402</v>
      </c>
      <c r="C40" s="229" t="s">
        <v>402</v>
      </c>
      <c r="D40" s="229">
        <v>400</v>
      </c>
      <c r="E40" s="230">
        <v>400</v>
      </c>
      <c r="F40" s="231">
        <v>7673</v>
      </c>
      <c r="G40" s="228" t="s">
        <v>403</v>
      </c>
      <c r="H40" s="228" t="s">
        <v>404</v>
      </c>
      <c r="I40" s="228" t="s">
        <v>405</v>
      </c>
      <c r="J40" s="228" t="s">
        <v>406</v>
      </c>
      <c r="K40" s="228" t="s">
        <v>407</v>
      </c>
      <c r="L40" s="228" t="s">
        <v>408</v>
      </c>
      <c r="M40" s="228" t="s">
        <v>409</v>
      </c>
      <c r="N40" s="228" t="s">
        <v>410</v>
      </c>
      <c r="O40" s="228" t="s">
        <v>436</v>
      </c>
      <c r="P40" s="228" t="s">
        <v>437</v>
      </c>
      <c r="Q40" s="232">
        <v>1</v>
      </c>
      <c r="R40" s="228" t="s">
        <v>413</v>
      </c>
      <c r="S40" s="228" t="s">
        <v>414</v>
      </c>
      <c r="T40" s="229">
        <v>80111620</v>
      </c>
      <c r="U40" s="228" t="s">
        <v>455</v>
      </c>
      <c r="V40" s="229">
        <v>1</v>
      </c>
      <c r="W40" s="229">
        <v>1</v>
      </c>
      <c r="X40" s="229">
        <v>330</v>
      </c>
      <c r="Y40" s="234" t="s">
        <v>416</v>
      </c>
      <c r="Z40" s="235" t="s">
        <v>417</v>
      </c>
      <c r="AA40" s="323">
        <v>82500000</v>
      </c>
      <c r="AB40" s="236">
        <v>7500000</v>
      </c>
      <c r="AC40" s="235" t="s">
        <v>456</v>
      </c>
      <c r="AD40" s="235" t="s">
        <v>440</v>
      </c>
      <c r="AE40" s="245"/>
      <c r="AF40" s="238"/>
      <c r="AG40" s="239"/>
      <c r="AH40" s="244"/>
      <c r="AI40" s="347">
        <f t="shared" si="0"/>
        <v>2500000</v>
      </c>
      <c r="AJ40" s="347">
        <f t="shared" si="1"/>
        <v>7500000</v>
      </c>
      <c r="AK40" s="347">
        <v>7500000</v>
      </c>
      <c r="AL40" s="347">
        <v>7500000</v>
      </c>
      <c r="AM40" s="317">
        <v>7500000</v>
      </c>
      <c r="AN40" s="317">
        <v>7500000</v>
      </c>
      <c r="AO40" s="317">
        <v>7500000</v>
      </c>
      <c r="AP40" s="317">
        <v>7500000</v>
      </c>
      <c r="AQ40" s="317">
        <v>7500000</v>
      </c>
      <c r="AR40" s="317">
        <v>7500000</v>
      </c>
      <c r="AS40" s="317">
        <v>7500000</v>
      </c>
      <c r="AT40" s="317">
        <f t="shared" si="2"/>
        <v>5000000</v>
      </c>
      <c r="AU40" s="314">
        <f t="shared" si="3"/>
        <v>82500000</v>
      </c>
      <c r="AV40" s="291">
        <f t="shared" si="4"/>
        <v>0</v>
      </c>
      <c r="AX40" s="288">
        <v>0</v>
      </c>
      <c r="AY40" s="288">
        <v>0</v>
      </c>
      <c r="AZ40" s="288">
        <f t="shared" si="7"/>
        <v>82500000</v>
      </c>
      <c r="BA40" s="288">
        <v>0</v>
      </c>
      <c r="BB40" s="287">
        <f t="shared" si="6"/>
        <v>82500000</v>
      </c>
    </row>
    <row r="41" spans="1:54" hidden="1">
      <c r="A41" s="228" t="s">
        <v>401</v>
      </c>
      <c r="B41" s="229" t="s">
        <v>402</v>
      </c>
      <c r="C41" s="229" t="s">
        <v>402</v>
      </c>
      <c r="D41" s="229">
        <v>401</v>
      </c>
      <c r="E41" s="230">
        <v>401</v>
      </c>
      <c r="F41" s="231">
        <v>7673</v>
      </c>
      <c r="G41" s="228" t="s">
        <v>403</v>
      </c>
      <c r="H41" s="228" t="s">
        <v>404</v>
      </c>
      <c r="I41" s="228" t="s">
        <v>405</v>
      </c>
      <c r="J41" s="228" t="s">
        <v>406</v>
      </c>
      <c r="K41" s="228" t="s">
        <v>407</v>
      </c>
      <c r="L41" s="228" t="s">
        <v>408</v>
      </c>
      <c r="M41" s="228" t="s">
        <v>409</v>
      </c>
      <c r="N41" s="228" t="s">
        <v>410</v>
      </c>
      <c r="O41" s="228" t="s">
        <v>436</v>
      </c>
      <c r="P41" s="228" t="s">
        <v>437</v>
      </c>
      <c r="Q41" s="232">
        <v>1</v>
      </c>
      <c r="R41" s="228" t="s">
        <v>430</v>
      </c>
      <c r="S41" s="228" t="s">
        <v>431</v>
      </c>
      <c r="T41" s="229">
        <v>80111620</v>
      </c>
      <c r="U41" s="228" t="s">
        <v>457</v>
      </c>
      <c r="V41" s="229">
        <v>1</v>
      </c>
      <c r="W41" s="229">
        <v>1</v>
      </c>
      <c r="X41" s="229">
        <v>330</v>
      </c>
      <c r="Y41" s="234" t="s">
        <v>416</v>
      </c>
      <c r="Z41" s="235" t="s">
        <v>417</v>
      </c>
      <c r="AA41" s="323">
        <v>33990000</v>
      </c>
      <c r="AB41" s="236">
        <v>3090000</v>
      </c>
      <c r="AC41" s="235" t="s">
        <v>458</v>
      </c>
      <c r="AD41" s="235" t="s">
        <v>440</v>
      </c>
      <c r="AE41" s="245"/>
      <c r="AF41" s="238"/>
      <c r="AG41" s="239"/>
      <c r="AH41" s="244"/>
      <c r="AI41" s="347">
        <f t="shared" si="0"/>
        <v>1030000</v>
      </c>
      <c r="AJ41" s="347">
        <f t="shared" si="1"/>
        <v>3090000</v>
      </c>
      <c r="AK41" s="347">
        <v>3090000</v>
      </c>
      <c r="AL41" s="347">
        <v>3090000</v>
      </c>
      <c r="AM41" s="317">
        <v>3090000</v>
      </c>
      <c r="AN41" s="317">
        <v>3090000</v>
      </c>
      <c r="AO41" s="317">
        <v>3090000</v>
      </c>
      <c r="AP41" s="317">
        <v>3090000</v>
      </c>
      <c r="AQ41" s="317">
        <v>3090000</v>
      </c>
      <c r="AR41" s="317">
        <v>3090000</v>
      </c>
      <c r="AS41" s="317">
        <v>3090000</v>
      </c>
      <c r="AT41" s="317">
        <f t="shared" si="2"/>
        <v>2060000</v>
      </c>
      <c r="AU41" s="314">
        <f t="shared" si="3"/>
        <v>33990000</v>
      </c>
      <c r="AV41" s="291">
        <f t="shared" si="4"/>
        <v>0</v>
      </c>
      <c r="AX41" s="288">
        <v>0</v>
      </c>
      <c r="AY41" s="288">
        <v>0</v>
      </c>
      <c r="AZ41" s="288">
        <f t="shared" si="7"/>
        <v>33990000</v>
      </c>
      <c r="BA41" s="288">
        <v>0</v>
      </c>
      <c r="BB41" s="287">
        <f t="shared" si="6"/>
        <v>33990000</v>
      </c>
    </row>
    <row r="42" spans="1:54" hidden="1">
      <c r="A42" s="228" t="s">
        <v>401</v>
      </c>
      <c r="B42" s="229" t="s">
        <v>402</v>
      </c>
      <c r="C42" s="229" t="s">
        <v>402</v>
      </c>
      <c r="D42" s="229">
        <v>402</v>
      </c>
      <c r="E42" s="230">
        <v>402</v>
      </c>
      <c r="F42" s="231">
        <v>7673</v>
      </c>
      <c r="G42" s="228" t="s">
        <v>403</v>
      </c>
      <c r="H42" s="228" t="s">
        <v>404</v>
      </c>
      <c r="I42" s="228" t="s">
        <v>405</v>
      </c>
      <c r="J42" s="228" t="s">
        <v>406</v>
      </c>
      <c r="K42" s="228" t="s">
        <v>407</v>
      </c>
      <c r="L42" s="228" t="s">
        <v>408</v>
      </c>
      <c r="M42" s="228" t="s">
        <v>409</v>
      </c>
      <c r="N42" s="228" t="s">
        <v>410</v>
      </c>
      <c r="O42" s="228" t="s">
        <v>436</v>
      </c>
      <c r="P42" s="228" t="s">
        <v>437</v>
      </c>
      <c r="Q42" s="232">
        <v>1</v>
      </c>
      <c r="R42" s="228" t="s">
        <v>430</v>
      </c>
      <c r="S42" s="228" t="s">
        <v>431</v>
      </c>
      <c r="T42" s="229">
        <v>80111620</v>
      </c>
      <c r="U42" s="228" t="s">
        <v>459</v>
      </c>
      <c r="V42" s="229">
        <v>1</v>
      </c>
      <c r="W42" s="229">
        <v>1</v>
      </c>
      <c r="X42" s="229">
        <v>330</v>
      </c>
      <c r="Y42" s="234" t="s">
        <v>416</v>
      </c>
      <c r="Z42" s="235" t="s">
        <v>417</v>
      </c>
      <c r="AA42" s="323">
        <v>56650000</v>
      </c>
      <c r="AB42" s="236">
        <v>5150000</v>
      </c>
      <c r="AC42" s="235" t="s">
        <v>460</v>
      </c>
      <c r="AD42" s="235" t="s">
        <v>440</v>
      </c>
      <c r="AE42" s="245"/>
      <c r="AF42" s="238"/>
      <c r="AG42" s="244"/>
      <c r="AH42" s="244"/>
      <c r="AI42" s="347">
        <f t="shared" si="0"/>
        <v>1716666.6666666665</v>
      </c>
      <c r="AJ42" s="347">
        <f t="shared" si="1"/>
        <v>5150000</v>
      </c>
      <c r="AK42" s="347">
        <v>5150000</v>
      </c>
      <c r="AL42" s="347">
        <v>5150000</v>
      </c>
      <c r="AM42" s="317">
        <v>5150000</v>
      </c>
      <c r="AN42" s="317">
        <v>5150000</v>
      </c>
      <c r="AO42" s="317">
        <v>5150000</v>
      </c>
      <c r="AP42" s="317">
        <v>5150000</v>
      </c>
      <c r="AQ42" s="317">
        <v>5150000</v>
      </c>
      <c r="AR42" s="317">
        <v>5150000</v>
      </c>
      <c r="AS42" s="317">
        <v>5150000</v>
      </c>
      <c r="AT42" s="317">
        <f t="shared" si="2"/>
        <v>3433333.333333333</v>
      </c>
      <c r="AU42" s="314">
        <f t="shared" si="3"/>
        <v>56650000</v>
      </c>
      <c r="AV42" s="291">
        <f t="shared" si="4"/>
        <v>0</v>
      </c>
      <c r="AX42" s="288">
        <v>0</v>
      </c>
      <c r="AY42" s="288">
        <v>0</v>
      </c>
      <c r="AZ42" s="288">
        <f t="shared" si="7"/>
        <v>56650000</v>
      </c>
      <c r="BA42" s="288">
        <v>0</v>
      </c>
      <c r="BB42" s="287">
        <f t="shared" si="6"/>
        <v>56650000</v>
      </c>
    </row>
    <row r="43" spans="1:54" hidden="1">
      <c r="A43" s="228" t="s">
        <v>401</v>
      </c>
      <c r="B43" s="229" t="s">
        <v>402</v>
      </c>
      <c r="C43" s="229" t="s">
        <v>402</v>
      </c>
      <c r="D43" s="229">
        <v>403</v>
      </c>
      <c r="E43" s="230">
        <v>403</v>
      </c>
      <c r="F43" s="231">
        <v>7673</v>
      </c>
      <c r="G43" s="228" t="s">
        <v>403</v>
      </c>
      <c r="H43" s="228" t="s">
        <v>404</v>
      </c>
      <c r="I43" s="228" t="s">
        <v>405</v>
      </c>
      <c r="J43" s="228" t="s">
        <v>406</v>
      </c>
      <c r="K43" s="228" t="s">
        <v>407</v>
      </c>
      <c r="L43" s="228" t="s">
        <v>408</v>
      </c>
      <c r="M43" s="228" t="s">
        <v>409</v>
      </c>
      <c r="N43" s="228" t="s">
        <v>410</v>
      </c>
      <c r="O43" s="228" t="s">
        <v>436</v>
      </c>
      <c r="P43" s="228" t="s">
        <v>437</v>
      </c>
      <c r="Q43" s="232">
        <v>1</v>
      </c>
      <c r="R43" s="228" t="s">
        <v>430</v>
      </c>
      <c r="S43" s="228" t="s">
        <v>431</v>
      </c>
      <c r="T43" s="229">
        <v>80111620</v>
      </c>
      <c r="U43" s="228" t="s">
        <v>459</v>
      </c>
      <c r="V43" s="229">
        <v>1</v>
      </c>
      <c r="W43" s="229">
        <v>1</v>
      </c>
      <c r="X43" s="229">
        <v>330</v>
      </c>
      <c r="Y43" s="234" t="s">
        <v>416</v>
      </c>
      <c r="Z43" s="235" t="s">
        <v>417</v>
      </c>
      <c r="AA43" s="323">
        <v>56650000</v>
      </c>
      <c r="AB43" s="236">
        <v>5150000</v>
      </c>
      <c r="AC43" s="235" t="s">
        <v>460</v>
      </c>
      <c r="AD43" s="248" t="s">
        <v>440</v>
      </c>
      <c r="AE43" s="245"/>
      <c r="AF43" s="238"/>
      <c r="AG43" s="239"/>
      <c r="AH43" s="244"/>
      <c r="AI43" s="347">
        <f t="shared" si="0"/>
        <v>1716666.6666666665</v>
      </c>
      <c r="AJ43" s="347">
        <f t="shared" si="1"/>
        <v>5150000</v>
      </c>
      <c r="AK43" s="347">
        <v>5150000</v>
      </c>
      <c r="AL43" s="347">
        <v>5150000</v>
      </c>
      <c r="AM43" s="317">
        <v>5150000</v>
      </c>
      <c r="AN43" s="317">
        <v>5150000</v>
      </c>
      <c r="AO43" s="317">
        <v>5150000</v>
      </c>
      <c r="AP43" s="317">
        <v>5150000</v>
      </c>
      <c r="AQ43" s="317">
        <v>5150000</v>
      </c>
      <c r="AR43" s="317">
        <v>5150000</v>
      </c>
      <c r="AS43" s="317">
        <v>5150000</v>
      </c>
      <c r="AT43" s="317">
        <f t="shared" si="2"/>
        <v>3433333.333333333</v>
      </c>
      <c r="AU43" s="314">
        <f t="shared" si="3"/>
        <v>56650000</v>
      </c>
      <c r="AV43" s="291">
        <f t="shared" si="4"/>
        <v>0</v>
      </c>
      <c r="AX43" s="288">
        <v>0</v>
      </c>
      <c r="AY43" s="288">
        <v>0</v>
      </c>
      <c r="AZ43" s="288">
        <f t="shared" si="7"/>
        <v>56650000</v>
      </c>
      <c r="BA43" s="288">
        <v>0</v>
      </c>
      <c r="BB43" s="287">
        <f t="shared" si="6"/>
        <v>56650000</v>
      </c>
    </row>
    <row r="44" spans="1:54" hidden="1">
      <c r="A44" s="228" t="s">
        <v>401</v>
      </c>
      <c r="B44" s="229" t="s">
        <v>402</v>
      </c>
      <c r="C44" s="229" t="s">
        <v>402</v>
      </c>
      <c r="D44" s="229">
        <v>404</v>
      </c>
      <c r="E44" s="230">
        <v>404</v>
      </c>
      <c r="F44" s="231">
        <v>7673</v>
      </c>
      <c r="G44" s="228" t="s">
        <v>403</v>
      </c>
      <c r="H44" s="228" t="s">
        <v>404</v>
      </c>
      <c r="I44" s="228" t="s">
        <v>405</v>
      </c>
      <c r="J44" s="228" t="s">
        <v>406</v>
      </c>
      <c r="K44" s="228" t="s">
        <v>407</v>
      </c>
      <c r="L44" s="228" t="s">
        <v>408</v>
      </c>
      <c r="M44" s="228" t="s">
        <v>409</v>
      </c>
      <c r="N44" s="228" t="s">
        <v>410</v>
      </c>
      <c r="O44" s="228" t="s">
        <v>436</v>
      </c>
      <c r="P44" s="228" t="s">
        <v>437</v>
      </c>
      <c r="Q44" s="232">
        <v>1</v>
      </c>
      <c r="R44" s="228" t="s">
        <v>430</v>
      </c>
      <c r="S44" s="228" t="s">
        <v>431</v>
      </c>
      <c r="T44" s="229">
        <v>80111620</v>
      </c>
      <c r="U44" s="228" t="s">
        <v>459</v>
      </c>
      <c r="V44" s="229">
        <v>1</v>
      </c>
      <c r="W44" s="229">
        <v>1</v>
      </c>
      <c r="X44" s="229">
        <v>330</v>
      </c>
      <c r="Y44" s="234" t="s">
        <v>416</v>
      </c>
      <c r="Z44" s="235" t="s">
        <v>417</v>
      </c>
      <c r="AA44" s="323">
        <v>56650000</v>
      </c>
      <c r="AB44" s="236">
        <v>5150000</v>
      </c>
      <c r="AC44" s="235" t="s">
        <v>460</v>
      </c>
      <c r="AD44" s="235" t="s">
        <v>440</v>
      </c>
      <c r="AE44" s="245"/>
      <c r="AF44" s="238"/>
      <c r="AG44" s="239"/>
      <c r="AH44" s="244"/>
      <c r="AI44" s="347">
        <f t="shared" si="0"/>
        <v>1716666.6666666665</v>
      </c>
      <c r="AJ44" s="347">
        <f t="shared" si="1"/>
        <v>5150000</v>
      </c>
      <c r="AK44" s="347">
        <v>5150000</v>
      </c>
      <c r="AL44" s="347">
        <v>5150000</v>
      </c>
      <c r="AM44" s="317">
        <v>5150000</v>
      </c>
      <c r="AN44" s="317">
        <v>5150000</v>
      </c>
      <c r="AO44" s="317">
        <v>5150000</v>
      </c>
      <c r="AP44" s="317">
        <v>5150000</v>
      </c>
      <c r="AQ44" s="317">
        <v>5150000</v>
      </c>
      <c r="AR44" s="317">
        <v>5150000</v>
      </c>
      <c r="AS44" s="317">
        <v>5150000</v>
      </c>
      <c r="AT44" s="317">
        <f t="shared" si="2"/>
        <v>3433333.333333333</v>
      </c>
      <c r="AU44" s="314">
        <f t="shared" si="3"/>
        <v>56650000</v>
      </c>
      <c r="AV44" s="291">
        <f t="shared" si="4"/>
        <v>0</v>
      </c>
      <c r="AX44" s="288">
        <v>0</v>
      </c>
      <c r="AY44" s="288">
        <v>0</v>
      </c>
      <c r="AZ44" s="288">
        <f t="shared" si="7"/>
        <v>56650000</v>
      </c>
      <c r="BA44" s="288">
        <v>0</v>
      </c>
      <c r="BB44" s="287">
        <f t="shared" si="6"/>
        <v>56650000</v>
      </c>
    </row>
    <row r="45" spans="1:54" hidden="1">
      <c r="A45" s="228" t="s">
        <v>401</v>
      </c>
      <c r="B45" s="229" t="s">
        <v>402</v>
      </c>
      <c r="C45" s="229" t="s">
        <v>402</v>
      </c>
      <c r="D45" s="229">
        <v>405</v>
      </c>
      <c r="E45" s="230">
        <v>405</v>
      </c>
      <c r="F45" s="231">
        <v>7673</v>
      </c>
      <c r="G45" s="228" t="s">
        <v>403</v>
      </c>
      <c r="H45" s="228" t="s">
        <v>404</v>
      </c>
      <c r="I45" s="228" t="s">
        <v>405</v>
      </c>
      <c r="J45" s="228" t="s">
        <v>406</v>
      </c>
      <c r="K45" s="228" t="s">
        <v>407</v>
      </c>
      <c r="L45" s="228" t="s">
        <v>408</v>
      </c>
      <c r="M45" s="228" t="s">
        <v>409</v>
      </c>
      <c r="N45" s="228" t="s">
        <v>410</v>
      </c>
      <c r="O45" s="228" t="s">
        <v>436</v>
      </c>
      <c r="P45" s="228" t="s">
        <v>437</v>
      </c>
      <c r="Q45" s="232">
        <v>1</v>
      </c>
      <c r="R45" s="228" t="s">
        <v>430</v>
      </c>
      <c r="S45" s="228" t="s">
        <v>431</v>
      </c>
      <c r="T45" s="229">
        <v>80111620</v>
      </c>
      <c r="U45" s="228" t="s">
        <v>459</v>
      </c>
      <c r="V45" s="229">
        <v>1</v>
      </c>
      <c r="W45" s="229">
        <v>1</v>
      </c>
      <c r="X45" s="229">
        <v>330</v>
      </c>
      <c r="Y45" s="234" t="s">
        <v>416</v>
      </c>
      <c r="Z45" s="235" t="s">
        <v>417</v>
      </c>
      <c r="AA45" s="323">
        <v>56650000</v>
      </c>
      <c r="AB45" s="236">
        <v>5150000</v>
      </c>
      <c r="AC45" s="235" t="s">
        <v>460</v>
      </c>
      <c r="AD45" s="235" t="s">
        <v>440</v>
      </c>
      <c r="AE45" s="247"/>
      <c r="AF45" s="238"/>
      <c r="AG45" s="239"/>
      <c r="AH45" s="244"/>
      <c r="AI45" s="347">
        <f t="shared" si="0"/>
        <v>1716666.6666666665</v>
      </c>
      <c r="AJ45" s="347">
        <f t="shared" si="1"/>
        <v>5150000</v>
      </c>
      <c r="AK45" s="347">
        <v>5150000</v>
      </c>
      <c r="AL45" s="347">
        <v>5150000</v>
      </c>
      <c r="AM45" s="317">
        <v>5150000</v>
      </c>
      <c r="AN45" s="317">
        <v>5150000</v>
      </c>
      <c r="AO45" s="317">
        <v>5150000</v>
      </c>
      <c r="AP45" s="317">
        <v>5150000</v>
      </c>
      <c r="AQ45" s="317">
        <v>5150000</v>
      </c>
      <c r="AR45" s="317">
        <v>5150000</v>
      </c>
      <c r="AS45" s="317">
        <v>5150000</v>
      </c>
      <c r="AT45" s="317">
        <f t="shared" si="2"/>
        <v>3433333.333333333</v>
      </c>
      <c r="AU45" s="314">
        <f t="shared" si="3"/>
        <v>56650000</v>
      </c>
      <c r="AV45" s="291">
        <f t="shared" si="4"/>
        <v>0</v>
      </c>
      <c r="AX45" s="288">
        <v>0</v>
      </c>
      <c r="AY45" s="288">
        <v>0</v>
      </c>
      <c r="AZ45" s="288">
        <f t="shared" si="7"/>
        <v>56650000</v>
      </c>
      <c r="BA45" s="288">
        <v>0</v>
      </c>
      <c r="BB45" s="287">
        <f t="shared" si="6"/>
        <v>56650000</v>
      </c>
    </row>
    <row r="46" spans="1:54" hidden="1">
      <c r="A46" s="228" t="s">
        <v>401</v>
      </c>
      <c r="B46" s="229" t="s">
        <v>402</v>
      </c>
      <c r="C46" s="229" t="s">
        <v>402</v>
      </c>
      <c r="D46" s="229">
        <v>406</v>
      </c>
      <c r="E46" s="230">
        <v>406</v>
      </c>
      <c r="F46" s="231">
        <v>7673</v>
      </c>
      <c r="G46" s="228" t="s">
        <v>403</v>
      </c>
      <c r="H46" s="228" t="s">
        <v>404</v>
      </c>
      <c r="I46" s="228" t="s">
        <v>405</v>
      </c>
      <c r="J46" s="228" t="s">
        <v>406</v>
      </c>
      <c r="K46" s="228" t="s">
        <v>407</v>
      </c>
      <c r="L46" s="228" t="s">
        <v>408</v>
      </c>
      <c r="M46" s="228" t="s">
        <v>409</v>
      </c>
      <c r="N46" s="228" t="s">
        <v>410</v>
      </c>
      <c r="O46" s="228" t="s">
        <v>436</v>
      </c>
      <c r="P46" s="228" t="s">
        <v>437</v>
      </c>
      <c r="Q46" s="232">
        <v>1</v>
      </c>
      <c r="R46" s="228" t="s">
        <v>430</v>
      </c>
      <c r="S46" s="228" t="s">
        <v>431</v>
      </c>
      <c r="T46" s="229">
        <v>80111620</v>
      </c>
      <c r="U46" s="228" t="s">
        <v>459</v>
      </c>
      <c r="V46" s="229">
        <v>1</v>
      </c>
      <c r="W46" s="229">
        <v>1</v>
      </c>
      <c r="X46" s="229">
        <v>330</v>
      </c>
      <c r="Y46" s="234" t="s">
        <v>416</v>
      </c>
      <c r="Z46" s="235" t="s">
        <v>417</v>
      </c>
      <c r="AA46" s="323">
        <v>56650000</v>
      </c>
      <c r="AB46" s="236">
        <v>5150000</v>
      </c>
      <c r="AC46" s="235" t="s">
        <v>460</v>
      </c>
      <c r="AD46" s="235" t="s">
        <v>440</v>
      </c>
      <c r="AE46" s="245"/>
      <c r="AF46" s="238"/>
      <c r="AG46" s="239"/>
      <c r="AH46" s="244"/>
      <c r="AI46" s="347">
        <f t="shared" si="0"/>
        <v>1716666.6666666665</v>
      </c>
      <c r="AJ46" s="347">
        <f t="shared" si="1"/>
        <v>5150000</v>
      </c>
      <c r="AK46" s="347">
        <v>5150000</v>
      </c>
      <c r="AL46" s="347">
        <v>5150000</v>
      </c>
      <c r="AM46" s="317">
        <v>5150000</v>
      </c>
      <c r="AN46" s="317">
        <v>5150000</v>
      </c>
      <c r="AO46" s="317">
        <v>5150000</v>
      </c>
      <c r="AP46" s="317">
        <v>5150000</v>
      </c>
      <c r="AQ46" s="317">
        <v>5150000</v>
      </c>
      <c r="AR46" s="317">
        <v>5150000</v>
      </c>
      <c r="AS46" s="317">
        <v>5150000</v>
      </c>
      <c r="AT46" s="317">
        <f t="shared" si="2"/>
        <v>3433333.333333333</v>
      </c>
      <c r="AU46" s="314">
        <f t="shared" si="3"/>
        <v>56650000</v>
      </c>
      <c r="AV46" s="291">
        <f t="shared" si="4"/>
        <v>0</v>
      </c>
      <c r="AX46" s="288">
        <v>0</v>
      </c>
      <c r="AY46" s="288">
        <v>0</v>
      </c>
      <c r="AZ46" s="288">
        <f t="shared" si="7"/>
        <v>56650000</v>
      </c>
      <c r="BA46" s="288">
        <v>0</v>
      </c>
      <c r="BB46" s="287">
        <f t="shared" si="6"/>
        <v>56650000</v>
      </c>
    </row>
    <row r="47" spans="1:54" hidden="1">
      <c r="A47" s="228" t="s">
        <v>401</v>
      </c>
      <c r="B47" s="229" t="s">
        <v>402</v>
      </c>
      <c r="C47" s="229" t="s">
        <v>402</v>
      </c>
      <c r="D47" s="229">
        <v>407</v>
      </c>
      <c r="E47" s="230">
        <v>407</v>
      </c>
      <c r="F47" s="231">
        <v>7673</v>
      </c>
      <c r="G47" s="228" t="s">
        <v>403</v>
      </c>
      <c r="H47" s="228" t="s">
        <v>404</v>
      </c>
      <c r="I47" s="228" t="s">
        <v>405</v>
      </c>
      <c r="J47" s="228" t="s">
        <v>406</v>
      </c>
      <c r="K47" s="228" t="s">
        <v>407</v>
      </c>
      <c r="L47" s="228" t="s">
        <v>408</v>
      </c>
      <c r="M47" s="228" t="s">
        <v>409</v>
      </c>
      <c r="N47" s="228" t="s">
        <v>410</v>
      </c>
      <c r="O47" s="228" t="s">
        <v>436</v>
      </c>
      <c r="P47" s="228" t="s">
        <v>437</v>
      </c>
      <c r="Q47" s="232">
        <v>1</v>
      </c>
      <c r="R47" s="228" t="s">
        <v>430</v>
      </c>
      <c r="S47" s="228" t="s">
        <v>431</v>
      </c>
      <c r="T47" s="229">
        <v>80111620</v>
      </c>
      <c r="U47" s="228" t="s">
        <v>459</v>
      </c>
      <c r="V47" s="229">
        <v>1</v>
      </c>
      <c r="W47" s="229">
        <v>1</v>
      </c>
      <c r="X47" s="229">
        <v>330</v>
      </c>
      <c r="Y47" s="234" t="s">
        <v>416</v>
      </c>
      <c r="Z47" s="235" t="s">
        <v>417</v>
      </c>
      <c r="AA47" s="323">
        <v>56650000</v>
      </c>
      <c r="AB47" s="236">
        <v>5150000</v>
      </c>
      <c r="AC47" s="235" t="s">
        <v>460</v>
      </c>
      <c r="AD47" s="235" t="s">
        <v>440</v>
      </c>
      <c r="AE47" s="247"/>
      <c r="AF47" s="238"/>
      <c r="AG47" s="239"/>
      <c r="AH47" s="244"/>
      <c r="AI47" s="347">
        <f t="shared" si="0"/>
        <v>1716666.6666666665</v>
      </c>
      <c r="AJ47" s="347">
        <f t="shared" si="1"/>
        <v>5150000</v>
      </c>
      <c r="AK47" s="347">
        <v>5150000</v>
      </c>
      <c r="AL47" s="347">
        <v>5150000</v>
      </c>
      <c r="AM47" s="317">
        <v>5150000</v>
      </c>
      <c r="AN47" s="317">
        <v>5150000</v>
      </c>
      <c r="AO47" s="317">
        <v>5150000</v>
      </c>
      <c r="AP47" s="317">
        <v>5150000</v>
      </c>
      <c r="AQ47" s="317">
        <v>5150000</v>
      </c>
      <c r="AR47" s="317">
        <v>5150000</v>
      </c>
      <c r="AS47" s="317">
        <v>5150000</v>
      </c>
      <c r="AT47" s="317">
        <f t="shared" si="2"/>
        <v>3433333.333333333</v>
      </c>
      <c r="AU47" s="314">
        <f t="shared" si="3"/>
        <v>56650000</v>
      </c>
      <c r="AV47" s="291">
        <f t="shared" si="4"/>
        <v>0</v>
      </c>
      <c r="AX47" s="288">
        <v>0</v>
      </c>
      <c r="AY47" s="288">
        <v>0</v>
      </c>
      <c r="AZ47" s="288">
        <f t="shared" si="7"/>
        <v>56650000</v>
      </c>
      <c r="BA47" s="288">
        <v>0</v>
      </c>
      <c r="BB47" s="287">
        <f t="shared" si="6"/>
        <v>56650000</v>
      </c>
    </row>
    <row r="48" spans="1:54" hidden="1">
      <c r="A48" s="228" t="s">
        <v>401</v>
      </c>
      <c r="B48" s="229" t="s">
        <v>402</v>
      </c>
      <c r="C48" s="229" t="s">
        <v>402</v>
      </c>
      <c r="D48" s="229">
        <v>408</v>
      </c>
      <c r="E48" s="230">
        <v>408</v>
      </c>
      <c r="F48" s="231">
        <v>7673</v>
      </c>
      <c r="G48" s="228" t="s">
        <v>403</v>
      </c>
      <c r="H48" s="228" t="s">
        <v>404</v>
      </c>
      <c r="I48" s="228" t="s">
        <v>405</v>
      </c>
      <c r="J48" s="228" t="s">
        <v>406</v>
      </c>
      <c r="K48" s="228" t="s">
        <v>407</v>
      </c>
      <c r="L48" s="228" t="s">
        <v>408</v>
      </c>
      <c r="M48" s="228" t="s">
        <v>409</v>
      </c>
      <c r="N48" s="228" t="s">
        <v>410</v>
      </c>
      <c r="O48" s="228" t="s">
        <v>436</v>
      </c>
      <c r="P48" s="228" t="s">
        <v>437</v>
      </c>
      <c r="Q48" s="232">
        <v>1</v>
      </c>
      <c r="R48" s="228" t="s">
        <v>430</v>
      </c>
      <c r="S48" s="228" t="s">
        <v>431</v>
      </c>
      <c r="T48" s="229">
        <v>80111620</v>
      </c>
      <c r="U48" s="228" t="s">
        <v>459</v>
      </c>
      <c r="V48" s="229">
        <v>1</v>
      </c>
      <c r="W48" s="229">
        <v>1</v>
      </c>
      <c r="X48" s="229">
        <v>330</v>
      </c>
      <c r="Y48" s="234" t="s">
        <v>416</v>
      </c>
      <c r="Z48" s="235" t="s">
        <v>417</v>
      </c>
      <c r="AA48" s="323">
        <v>56650000</v>
      </c>
      <c r="AB48" s="236">
        <v>5150000</v>
      </c>
      <c r="AC48" s="235" t="s">
        <v>460</v>
      </c>
      <c r="AD48" s="235" t="s">
        <v>440</v>
      </c>
      <c r="AE48" s="245"/>
      <c r="AF48" s="238"/>
      <c r="AG48" s="239"/>
      <c r="AH48" s="244"/>
      <c r="AI48" s="347">
        <f t="shared" si="0"/>
        <v>1716666.6666666665</v>
      </c>
      <c r="AJ48" s="347">
        <f t="shared" si="1"/>
        <v>5150000</v>
      </c>
      <c r="AK48" s="347">
        <v>5150000</v>
      </c>
      <c r="AL48" s="347">
        <v>5150000</v>
      </c>
      <c r="AM48" s="317">
        <v>5150000</v>
      </c>
      <c r="AN48" s="317">
        <v>5150000</v>
      </c>
      <c r="AO48" s="317">
        <v>5150000</v>
      </c>
      <c r="AP48" s="317">
        <v>5150000</v>
      </c>
      <c r="AQ48" s="317">
        <v>5150000</v>
      </c>
      <c r="AR48" s="317">
        <v>5150000</v>
      </c>
      <c r="AS48" s="317">
        <v>5150000</v>
      </c>
      <c r="AT48" s="317">
        <f t="shared" si="2"/>
        <v>3433333.333333333</v>
      </c>
      <c r="AU48" s="314">
        <f t="shared" si="3"/>
        <v>56650000</v>
      </c>
      <c r="AV48" s="291">
        <f t="shared" si="4"/>
        <v>0</v>
      </c>
      <c r="AX48" s="288">
        <v>0</v>
      </c>
      <c r="AY48" s="288">
        <v>0</v>
      </c>
      <c r="AZ48" s="288">
        <f t="shared" si="7"/>
        <v>56650000</v>
      </c>
      <c r="BA48" s="288">
        <v>0</v>
      </c>
      <c r="BB48" s="287">
        <f t="shared" si="6"/>
        <v>56650000</v>
      </c>
    </row>
    <row r="49" spans="1:54" hidden="1">
      <c r="A49" s="228" t="s">
        <v>401</v>
      </c>
      <c r="B49" s="229" t="s">
        <v>402</v>
      </c>
      <c r="C49" s="229" t="s">
        <v>402</v>
      </c>
      <c r="D49" s="229">
        <v>409</v>
      </c>
      <c r="E49" s="230">
        <v>409</v>
      </c>
      <c r="F49" s="231">
        <v>7673</v>
      </c>
      <c r="G49" s="228" t="s">
        <v>403</v>
      </c>
      <c r="H49" s="228" t="s">
        <v>404</v>
      </c>
      <c r="I49" s="228" t="s">
        <v>405</v>
      </c>
      <c r="J49" s="228" t="s">
        <v>406</v>
      </c>
      <c r="K49" s="228" t="s">
        <v>407</v>
      </c>
      <c r="L49" s="228" t="s">
        <v>408</v>
      </c>
      <c r="M49" s="228" t="s">
        <v>409</v>
      </c>
      <c r="N49" s="228" t="s">
        <v>410</v>
      </c>
      <c r="O49" s="228" t="s">
        <v>436</v>
      </c>
      <c r="P49" s="228" t="s">
        <v>437</v>
      </c>
      <c r="Q49" s="232">
        <v>1</v>
      </c>
      <c r="R49" s="228" t="s">
        <v>430</v>
      </c>
      <c r="S49" s="228" t="s">
        <v>431</v>
      </c>
      <c r="T49" s="229">
        <v>80111620</v>
      </c>
      <c r="U49" s="228" t="s">
        <v>459</v>
      </c>
      <c r="V49" s="229">
        <v>1</v>
      </c>
      <c r="W49" s="229">
        <v>1</v>
      </c>
      <c r="X49" s="229">
        <v>330</v>
      </c>
      <c r="Y49" s="234" t="s">
        <v>416</v>
      </c>
      <c r="Z49" s="235" t="s">
        <v>417</v>
      </c>
      <c r="AA49" s="323">
        <v>56650000</v>
      </c>
      <c r="AB49" s="236">
        <v>5150000</v>
      </c>
      <c r="AC49" s="235" t="s">
        <v>460</v>
      </c>
      <c r="AD49" s="235" t="s">
        <v>440</v>
      </c>
      <c r="AE49" s="245"/>
      <c r="AF49" s="238"/>
      <c r="AG49" s="239"/>
      <c r="AH49" s="244"/>
      <c r="AI49" s="347">
        <f t="shared" si="0"/>
        <v>1716666.6666666665</v>
      </c>
      <c r="AJ49" s="347">
        <f t="shared" si="1"/>
        <v>5150000</v>
      </c>
      <c r="AK49" s="347">
        <v>5150000</v>
      </c>
      <c r="AL49" s="347">
        <v>5150000</v>
      </c>
      <c r="AM49" s="317">
        <v>5150000</v>
      </c>
      <c r="AN49" s="317">
        <v>5150000</v>
      </c>
      <c r="AO49" s="317">
        <v>5150000</v>
      </c>
      <c r="AP49" s="317">
        <v>5150000</v>
      </c>
      <c r="AQ49" s="317">
        <v>5150000</v>
      </c>
      <c r="AR49" s="317">
        <v>5150000</v>
      </c>
      <c r="AS49" s="317">
        <v>5150000</v>
      </c>
      <c r="AT49" s="317">
        <f t="shared" si="2"/>
        <v>3433333.333333333</v>
      </c>
      <c r="AU49" s="314">
        <f t="shared" si="3"/>
        <v>56650000</v>
      </c>
      <c r="AV49" s="291">
        <f t="shared" si="4"/>
        <v>0</v>
      </c>
      <c r="AX49" s="288">
        <v>0</v>
      </c>
      <c r="AY49" s="288">
        <v>0</v>
      </c>
      <c r="AZ49" s="288">
        <f t="shared" si="7"/>
        <v>56650000</v>
      </c>
      <c r="BA49" s="288">
        <v>0</v>
      </c>
      <c r="BB49" s="287">
        <f t="shared" si="6"/>
        <v>56650000</v>
      </c>
    </row>
    <row r="50" spans="1:54" hidden="1">
      <c r="A50" s="228" t="s">
        <v>401</v>
      </c>
      <c r="B50" s="229" t="s">
        <v>402</v>
      </c>
      <c r="C50" s="229" t="s">
        <v>402</v>
      </c>
      <c r="D50" s="229">
        <v>410</v>
      </c>
      <c r="E50" s="230">
        <v>410</v>
      </c>
      <c r="F50" s="231">
        <v>7673</v>
      </c>
      <c r="G50" s="228" t="s">
        <v>403</v>
      </c>
      <c r="H50" s="228" t="s">
        <v>404</v>
      </c>
      <c r="I50" s="228" t="s">
        <v>405</v>
      </c>
      <c r="J50" s="228" t="s">
        <v>406</v>
      </c>
      <c r="K50" s="228" t="s">
        <v>407</v>
      </c>
      <c r="L50" s="228" t="s">
        <v>408</v>
      </c>
      <c r="M50" s="228" t="s">
        <v>409</v>
      </c>
      <c r="N50" s="228" t="s">
        <v>410</v>
      </c>
      <c r="O50" s="228" t="s">
        <v>436</v>
      </c>
      <c r="P50" s="228" t="s">
        <v>437</v>
      </c>
      <c r="Q50" s="232">
        <v>1</v>
      </c>
      <c r="R50" s="228" t="s">
        <v>430</v>
      </c>
      <c r="S50" s="228" t="s">
        <v>431</v>
      </c>
      <c r="T50" s="229">
        <v>80111620</v>
      </c>
      <c r="U50" s="228" t="s">
        <v>459</v>
      </c>
      <c r="V50" s="229">
        <v>1</v>
      </c>
      <c r="W50" s="229">
        <v>1</v>
      </c>
      <c r="X50" s="229">
        <v>330</v>
      </c>
      <c r="Y50" s="234" t="s">
        <v>416</v>
      </c>
      <c r="Z50" s="235" t="s">
        <v>417</v>
      </c>
      <c r="AA50" s="323">
        <v>56650000</v>
      </c>
      <c r="AB50" s="236">
        <v>5150000</v>
      </c>
      <c r="AC50" s="235" t="s">
        <v>460</v>
      </c>
      <c r="AD50" s="235" t="s">
        <v>440</v>
      </c>
      <c r="AE50" s="245"/>
      <c r="AF50" s="238"/>
      <c r="AG50" s="239"/>
      <c r="AH50" s="244"/>
      <c r="AI50" s="347">
        <f t="shared" si="0"/>
        <v>1716666.6666666665</v>
      </c>
      <c r="AJ50" s="347">
        <f t="shared" si="1"/>
        <v>5150000</v>
      </c>
      <c r="AK50" s="347">
        <v>5150000</v>
      </c>
      <c r="AL50" s="347">
        <v>5150000</v>
      </c>
      <c r="AM50" s="317">
        <v>5150000</v>
      </c>
      <c r="AN50" s="317">
        <v>5150000</v>
      </c>
      <c r="AO50" s="317">
        <v>5150000</v>
      </c>
      <c r="AP50" s="317">
        <v>5150000</v>
      </c>
      <c r="AQ50" s="317">
        <v>5150000</v>
      </c>
      <c r="AR50" s="317">
        <v>5150000</v>
      </c>
      <c r="AS50" s="317">
        <v>5150000</v>
      </c>
      <c r="AT50" s="317">
        <f t="shared" si="2"/>
        <v>3433333.333333333</v>
      </c>
      <c r="AU50" s="314">
        <f t="shared" si="3"/>
        <v>56650000</v>
      </c>
      <c r="AV50" s="291">
        <f t="shared" si="4"/>
        <v>0</v>
      </c>
      <c r="AX50" s="288">
        <v>0</v>
      </c>
      <c r="AY50" s="288">
        <v>0</v>
      </c>
      <c r="AZ50" s="288">
        <f t="shared" si="7"/>
        <v>56650000</v>
      </c>
      <c r="BA50" s="288">
        <v>0</v>
      </c>
      <c r="BB50" s="287">
        <f t="shared" si="6"/>
        <v>56650000</v>
      </c>
    </row>
    <row r="51" spans="1:54" hidden="1">
      <c r="A51" s="228" t="s">
        <v>401</v>
      </c>
      <c r="B51" s="229" t="s">
        <v>402</v>
      </c>
      <c r="C51" s="229" t="s">
        <v>402</v>
      </c>
      <c r="D51" s="229">
        <v>411</v>
      </c>
      <c r="E51" s="230">
        <v>411</v>
      </c>
      <c r="F51" s="231">
        <v>7673</v>
      </c>
      <c r="G51" s="228" t="s">
        <v>403</v>
      </c>
      <c r="H51" s="228" t="s">
        <v>404</v>
      </c>
      <c r="I51" s="228" t="s">
        <v>405</v>
      </c>
      <c r="J51" s="228" t="s">
        <v>406</v>
      </c>
      <c r="K51" s="228" t="s">
        <v>407</v>
      </c>
      <c r="L51" s="228" t="s">
        <v>408</v>
      </c>
      <c r="M51" s="228" t="s">
        <v>409</v>
      </c>
      <c r="N51" s="228" t="s">
        <v>410</v>
      </c>
      <c r="O51" s="228" t="s">
        <v>436</v>
      </c>
      <c r="P51" s="228" t="s">
        <v>437</v>
      </c>
      <c r="Q51" s="232">
        <v>1</v>
      </c>
      <c r="R51" s="228" t="s">
        <v>430</v>
      </c>
      <c r="S51" s="228" t="s">
        <v>431</v>
      </c>
      <c r="T51" s="229">
        <v>80111620</v>
      </c>
      <c r="U51" s="228" t="s">
        <v>459</v>
      </c>
      <c r="V51" s="229">
        <v>1</v>
      </c>
      <c r="W51" s="229">
        <v>1</v>
      </c>
      <c r="X51" s="229">
        <v>330</v>
      </c>
      <c r="Y51" s="234" t="s">
        <v>416</v>
      </c>
      <c r="Z51" s="235" t="s">
        <v>417</v>
      </c>
      <c r="AA51" s="323">
        <v>56650000</v>
      </c>
      <c r="AB51" s="236">
        <v>5150000</v>
      </c>
      <c r="AC51" s="235" t="s">
        <v>460</v>
      </c>
      <c r="AD51" s="235" t="s">
        <v>440</v>
      </c>
      <c r="AE51" s="245"/>
      <c r="AF51" s="238"/>
      <c r="AG51" s="241"/>
      <c r="AH51" s="241"/>
      <c r="AI51" s="347">
        <f t="shared" si="0"/>
        <v>1716666.6666666665</v>
      </c>
      <c r="AJ51" s="347">
        <f t="shared" si="1"/>
        <v>5150000</v>
      </c>
      <c r="AK51" s="347">
        <v>5150000</v>
      </c>
      <c r="AL51" s="347">
        <v>5150000</v>
      </c>
      <c r="AM51" s="317">
        <v>5150000</v>
      </c>
      <c r="AN51" s="317">
        <v>5150000</v>
      </c>
      <c r="AO51" s="317">
        <v>5150000</v>
      </c>
      <c r="AP51" s="317">
        <v>5150000</v>
      </c>
      <c r="AQ51" s="317">
        <v>5150000</v>
      </c>
      <c r="AR51" s="317">
        <v>5150000</v>
      </c>
      <c r="AS51" s="317">
        <v>5150000</v>
      </c>
      <c r="AT51" s="317">
        <f t="shared" si="2"/>
        <v>3433333.333333333</v>
      </c>
      <c r="AU51" s="314">
        <f t="shared" si="3"/>
        <v>56650000</v>
      </c>
      <c r="AV51" s="291">
        <f t="shared" si="4"/>
        <v>0</v>
      </c>
      <c r="AX51" s="288">
        <v>0</v>
      </c>
      <c r="AY51" s="288">
        <v>0</v>
      </c>
      <c r="AZ51" s="288">
        <f t="shared" si="7"/>
        <v>56650000</v>
      </c>
      <c r="BA51" s="288">
        <v>0</v>
      </c>
      <c r="BB51" s="287">
        <f t="shared" si="6"/>
        <v>56650000</v>
      </c>
    </row>
    <row r="52" spans="1:54" hidden="1">
      <c r="A52" s="228" t="s">
        <v>401</v>
      </c>
      <c r="B52" s="229" t="s">
        <v>402</v>
      </c>
      <c r="C52" s="229" t="s">
        <v>402</v>
      </c>
      <c r="D52" s="229">
        <v>412</v>
      </c>
      <c r="E52" s="230">
        <v>412</v>
      </c>
      <c r="F52" s="231">
        <v>7673</v>
      </c>
      <c r="G52" s="228" t="s">
        <v>403</v>
      </c>
      <c r="H52" s="228" t="s">
        <v>404</v>
      </c>
      <c r="I52" s="228" t="s">
        <v>405</v>
      </c>
      <c r="J52" s="228" t="s">
        <v>406</v>
      </c>
      <c r="K52" s="228" t="s">
        <v>407</v>
      </c>
      <c r="L52" s="228" t="s">
        <v>408</v>
      </c>
      <c r="M52" s="228" t="s">
        <v>409</v>
      </c>
      <c r="N52" s="228" t="s">
        <v>410</v>
      </c>
      <c r="O52" s="228" t="s">
        <v>436</v>
      </c>
      <c r="P52" s="228" t="s">
        <v>437</v>
      </c>
      <c r="Q52" s="232">
        <v>1</v>
      </c>
      <c r="R52" s="228" t="s">
        <v>413</v>
      </c>
      <c r="S52" s="228" t="s">
        <v>414</v>
      </c>
      <c r="T52" s="229">
        <v>80111600</v>
      </c>
      <c r="U52" s="228" t="s">
        <v>461</v>
      </c>
      <c r="V52" s="229">
        <v>1</v>
      </c>
      <c r="W52" s="229">
        <v>1</v>
      </c>
      <c r="X52" s="229">
        <v>330</v>
      </c>
      <c r="Y52" s="234" t="s">
        <v>416</v>
      </c>
      <c r="Z52" s="235" t="s">
        <v>417</v>
      </c>
      <c r="AA52" s="323">
        <v>88000000</v>
      </c>
      <c r="AB52" s="236">
        <v>8000000</v>
      </c>
      <c r="AC52" s="235" t="s">
        <v>462</v>
      </c>
      <c r="AD52" s="235" t="s">
        <v>463</v>
      </c>
      <c r="AE52" s="245"/>
      <c r="AF52" s="238"/>
      <c r="AG52" s="241"/>
      <c r="AH52" s="241"/>
      <c r="AI52" s="347">
        <f t="shared" si="0"/>
        <v>2666666.666666667</v>
      </c>
      <c r="AJ52" s="347">
        <f t="shared" si="1"/>
        <v>8000000</v>
      </c>
      <c r="AK52" s="347">
        <v>8000000</v>
      </c>
      <c r="AL52" s="347">
        <v>8000000</v>
      </c>
      <c r="AM52" s="317">
        <v>8000000</v>
      </c>
      <c r="AN52" s="317">
        <v>8000000</v>
      </c>
      <c r="AO52" s="317">
        <v>8000000</v>
      </c>
      <c r="AP52" s="317">
        <v>8000000</v>
      </c>
      <c r="AQ52" s="317">
        <v>8000000</v>
      </c>
      <c r="AR52" s="317">
        <v>8000000</v>
      </c>
      <c r="AS52" s="317">
        <v>8000000</v>
      </c>
      <c r="AT52" s="317">
        <f t="shared" si="2"/>
        <v>5333333.333333334</v>
      </c>
      <c r="AU52" s="314">
        <f t="shared" si="3"/>
        <v>88000000</v>
      </c>
      <c r="AV52" s="291">
        <f t="shared" si="4"/>
        <v>0</v>
      </c>
      <c r="AX52" s="288">
        <v>0</v>
      </c>
      <c r="AY52" s="288">
        <v>0</v>
      </c>
      <c r="AZ52" s="288">
        <f t="shared" si="7"/>
        <v>88000000</v>
      </c>
      <c r="BA52" s="288">
        <v>0</v>
      </c>
      <c r="BB52" s="287">
        <f t="shared" si="6"/>
        <v>88000000</v>
      </c>
    </row>
    <row r="53" spans="1:54" s="272" customFormat="1">
      <c r="A53" s="262" t="s">
        <v>401</v>
      </c>
      <c r="B53" s="263" t="s">
        <v>402</v>
      </c>
      <c r="C53" s="263" t="s">
        <v>402</v>
      </c>
      <c r="D53" s="263">
        <v>413</v>
      </c>
      <c r="E53" s="263">
        <v>413</v>
      </c>
      <c r="F53" s="264">
        <v>7673</v>
      </c>
      <c r="G53" s="262" t="s">
        <v>403</v>
      </c>
      <c r="H53" s="262" t="s">
        <v>464</v>
      </c>
      <c r="I53" s="262" t="s">
        <v>465</v>
      </c>
      <c r="J53" s="262" t="s">
        <v>406</v>
      </c>
      <c r="K53" s="262" t="s">
        <v>407</v>
      </c>
      <c r="L53" s="262" t="s">
        <v>408</v>
      </c>
      <c r="M53" s="262" t="s">
        <v>409</v>
      </c>
      <c r="N53" s="262" t="s">
        <v>410</v>
      </c>
      <c r="O53" s="262" t="s">
        <v>411</v>
      </c>
      <c r="P53" s="262" t="s">
        <v>412</v>
      </c>
      <c r="Q53" s="265">
        <v>1</v>
      </c>
      <c r="R53" s="262" t="s">
        <v>466</v>
      </c>
      <c r="S53" s="262" t="s">
        <v>467</v>
      </c>
      <c r="T53" s="263">
        <v>72151605</v>
      </c>
      <c r="U53" s="262" t="s">
        <v>468</v>
      </c>
      <c r="V53" s="263">
        <v>3</v>
      </c>
      <c r="W53" s="263">
        <v>5</v>
      </c>
      <c r="X53" s="263">
        <v>210</v>
      </c>
      <c r="Y53" s="262" t="s">
        <v>469</v>
      </c>
      <c r="Z53" s="266" t="s">
        <v>417</v>
      </c>
      <c r="AA53" s="374">
        <v>157760500</v>
      </c>
      <c r="AB53" s="267">
        <v>22537214.285714287</v>
      </c>
      <c r="AC53" s="266" t="s">
        <v>470</v>
      </c>
      <c r="AD53" s="266" t="s">
        <v>471</v>
      </c>
      <c r="AE53" s="268"/>
      <c r="AF53" s="269"/>
      <c r="AG53" s="270"/>
      <c r="AH53" s="292"/>
      <c r="AI53" s="348">
        <v>0</v>
      </c>
      <c r="AJ53" s="348">
        <v>0</v>
      </c>
      <c r="AK53" s="348">
        <v>0</v>
      </c>
      <c r="AL53" s="348">
        <v>0</v>
      </c>
      <c r="AM53" s="349">
        <v>0</v>
      </c>
      <c r="AN53" s="348">
        <v>22537214.285714287</v>
      </c>
      <c r="AO53" s="348">
        <v>22537214.285714287</v>
      </c>
      <c r="AP53" s="348">
        <v>22537214.285714287</v>
      </c>
      <c r="AQ53" s="348">
        <v>22537214.285714287</v>
      </c>
      <c r="AR53" s="348">
        <v>22537214.285714287</v>
      </c>
      <c r="AS53" s="348">
        <v>22537214.285714287</v>
      </c>
      <c r="AT53" s="348">
        <v>22537214.285714287</v>
      </c>
      <c r="AU53" s="315">
        <f t="shared" si="3"/>
        <v>157760500.00000003</v>
      </c>
      <c r="AV53" s="295">
        <f t="shared" si="4"/>
        <v>0</v>
      </c>
      <c r="AW53" s="293"/>
      <c r="AX53" s="293">
        <f>AU53</f>
        <v>157760500.00000003</v>
      </c>
      <c r="AY53" s="293">
        <v>0</v>
      </c>
      <c r="AZ53" s="293">
        <v>0</v>
      </c>
      <c r="BA53" s="293">
        <v>0</v>
      </c>
      <c r="BB53" s="294">
        <f t="shared" si="6"/>
        <v>157760500.00000003</v>
      </c>
    </row>
    <row r="54" spans="1:54" s="338" customFormat="1">
      <c r="A54" s="324" t="s">
        <v>401</v>
      </c>
      <c r="B54" s="325" t="s">
        <v>402</v>
      </c>
      <c r="C54" s="325" t="s">
        <v>402</v>
      </c>
      <c r="D54" s="325">
        <v>414</v>
      </c>
      <c r="E54" s="325">
        <v>414</v>
      </c>
      <c r="F54" s="326">
        <v>7673</v>
      </c>
      <c r="G54" s="324" t="s">
        <v>403</v>
      </c>
      <c r="H54" s="324" t="s">
        <v>472</v>
      </c>
      <c r="I54" s="324" t="s">
        <v>473</v>
      </c>
      <c r="J54" s="324" t="s">
        <v>406</v>
      </c>
      <c r="K54" s="324" t="s">
        <v>407</v>
      </c>
      <c r="L54" s="324" t="s">
        <v>408</v>
      </c>
      <c r="M54" s="324" t="s">
        <v>409</v>
      </c>
      <c r="N54" s="324" t="s">
        <v>410</v>
      </c>
      <c r="O54" s="324" t="s">
        <v>411</v>
      </c>
      <c r="P54" s="324" t="s">
        <v>412</v>
      </c>
      <c r="Q54" s="327">
        <v>1</v>
      </c>
      <c r="R54" s="324" t="s">
        <v>474</v>
      </c>
      <c r="S54" s="324" t="s">
        <v>475</v>
      </c>
      <c r="T54" s="325" t="s">
        <v>476</v>
      </c>
      <c r="U54" s="324" t="s">
        <v>477</v>
      </c>
      <c r="V54" s="325">
        <v>3</v>
      </c>
      <c r="W54" s="325">
        <v>5</v>
      </c>
      <c r="X54" s="325">
        <v>30</v>
      </c>
      <c r="Y54" s="324" t="s">
        <v>478</v>
      </c>
      <c r="Z54" s="328" t="s">
        <v>417</v>
      </c>
      <c r="AA54" s="372">
        <v>92608376</v>
      </c>
      <c r="AB54" s="329">
        <v>92608376</v>
      </c>
      <c r="AC54" s="328" t="s">
        <v>479</v>
      </c>
      <c r="AD54" s="328" t="s">
        <v>419</v>
      </c>
      <c r="AE54" s="330"/>
      <c r="AF54" s="331"/>
      <c r="AG54" s="332"/>
      <c r="AH54" s="333"/>
      <c r="AI54" s="350">
        <v>0</v>
      </c>
      <c r="AJ54" s="350">
        <v>0</v>
      </c>
      <c r="AK54" s="350">
        <v>0</v>
      </c>
      <c r="AL54" s="350">
        <v>0</v>
      </c>
      <c r="AM54" s="351">
        <v>0</v>
      </c>
      <c r="AN54" s="351">
        <v>0</v>
      </c>
      <c r="AO54" s="351">
        <v>0</v>
      </c>
      <c r="AP54" s="351">
        <v>0</v>
      </c>
      <c r="AQ54" s="351">
        <v>0</v>
      </c>
      <c r="AR54" s="351">
        <v>92608376</v>
      </c>
      <c r="AS54" s="351">
        <v>0</v>
      </c>
      <c r="AT54" s="351">
        <v>0</v>
      </c>
      <c r="AU54" s="334">
        <f t="shared" si="3"/>
        <v>92608376</v>
      </c>
      <c r="AV54" s="335">
        <f t="shared" si="4"/>
        <v>0</v>
      </c>
      <c r="AW54" s="336"/>
      <c r="AX54" s="336">
        <f>+AU54</f>
        <v>92608376</v>
      </c>
      <c r="AY54" s="336">
        <v>0</v>
      </c>
      <c r="AZ54" s="336">
        <v>0</v>
      </c>
      <c r="BA54" s="336">
        <v>0</v>
      </c>
      <c r="BB54" s="337">
        <f t="shared" si="6"/>
        <v>92608376</v>
      </c>
    </row>
    <row r="55" spans="1:54" s="272" customFormat="1" hidden="1">
      <c r="A55" s="262" t="s">
        <v>401</v>
      </c>
      <c r="B55" s="263" t="s">
        <v>402</v>
      </c>
      <c r="C55" s="263" t="s">
        <v>402</v>
      </c>
      <c r="D55" s="263">
        <v>415</v>
      </c>
      <c r="E55" s="263">
        <v>415</v>
      </c>
      <c r="F55" s="264">
        <v>7673</v>
      </c>
      <c r="G55" s="262" t="s">
        <v>403</v>
      </c>
      <c r="H55" s="262" t="s">
        <v>480</v>
      </c>
      <c r="I55" s="262" t="s">
        <v>481</v>
      </c>
      <c r="J55" s="262" t="s">
        <v>406</v>
      </c>
      <c r="K55" s="262" t="s">
        <v>407</v>
      </c>
      <c r="L55" s="262" t="s">
        <v>408</v>
      </c>
      <c r="M55" s="262" t="s">
        <v>409</v>
      </c>
      <c r="N55" s="262" t="s">
        <v>410</v>
      </c>
      <c r="O55" s="262" t="s">
        <v>436</v>
      </c>
      <c r="P55" s="262" t="s">
        <v>482</v>
      </c>
      <c r="Q55" s="265">
        <v>1</v>
      </c>
      <c r="R55" s="262" t="s">
        <v>430</v>
      </c>
      <c r="S55" s="262" t="s">
        <v>431</v>
      </c>
      <c r="T55" s="263" t="s">
        <v>483</v>
      </c>
      <c r="U55" s="262" t="s">
        <v>484</v>
      </c>
      <c r="V55" s="263">
        <v>4</v>
      </c>
      <c r="W55" s="263">
        <v>5</v>
      </c>
      <c r="X55" s="263">
        <v>240</v>
      </c>
      <c r="Y55" s="273" t="s">
        <v>416</v>
      </c>
      <c r="Z55" s="266" t="s">
        <v>417</v>
      </c>
      <c r="AA55" s="267">
        <v>184761500</v>
      </c>
      <c r="AB55" s="267">
        <v>23095187.5</v>
      </c>
      <c r="AC55" s="266" t="s">
        <v>485</v>
      </c>
      <c r="AD55" s="266" t="s">
        <v>440</v>
      </c>
      <c r="AE55" s="268"/>
      <c r="AF55" s="269"/>
      <c r="AG55" s="270"/>
      <c r="AH55" s="270"/>
      <c r="AI55" s="348">
        <v>0</v>
      </c>
      <c r="AJ55" s="348">
        <v>0</v>
      </c>
      <c r="AK55" s="348">
        <v>0</v>
      </c>
      <c r="AL55" s="348">
        <v>0</v>
      </c>
      <c r="AM55" s="349">
        <v>0</v>
      </c>
      <c r="AN55" s="349">
        <v>0</v>
      </c>
      <c r="AO55" s="349">
        <v>0</v>
      </c>
      <c r="AP55" s="349">
        <f>AA55*40%</f>
        <v>73904600</v>
      </c>
      <c r="AQ55" s="349">
        <v>0</v>
      </c>
      <c r="AR55" s="349">
        <f>AA55*30%</f>
        <v>55428450</v>
      </c>
      <c r="AS55" s="349">
        <v>0</v>
      </c>
      <c r="AT55" s="349">
        <f>AA55*30%</f>
        <v>55428450</v>
      </c>
      <c r="AU55" s="315">
        <f>SUM(AI55:AT55)</f>
        <v>184761500</v>
      </c>
      <c r="AV55" s="295">
        <f t="shared" si="4"/>
        <v>0</v>
      </c>
      <c r="AW55" s="293"/>
      <c r="AX55" s="293">
        <v>0</v>
      </c>
      <c r="AY55" s="293">
        <f>+AU55</f>
        <v>184761500</v>
      </c>
      <c r="AZ55" s="293">
        <v>0</v>
      </c>
      <c r="BA55" s="293">
        <v>0</v>
      </c>
      <c r="BB55" s="294">
        <f t="shared" si="6"/>
        <v>184761500</v>
      </c>
    </row>
    <row r="56" spans="1:54" s="272" customFormat="1">
      <c r="A56" s="262" t="s">
        <v>401</v>
      </c>
      <c r="B56" s="263" t="s">
        <v>402</v>
      </c>
      <c r="C56" s="263" t="s">
        <v>402</v>
      </c>
      <c r="D56" s="263" t="s">
        <v>486</v>
      </c>
      <c r="E56" s="263">
        <v>934</v>
      </c>
      <c r="F56" s="264">
        <v>7673</v>
      </c>
      <c r="G56" s="262" t="s">
        <v>403</v>
      </c>
      <c r="H56" s="262" t="s">
        <v>487</v>
      </c>
      <c r="I56" s="262" t="s">
        <v>481</v>
      </c>
      <c r="J56" s="262" t="s">
        <v>406</v>
      </c>
      <c r="K56" s="262" t="s">
        <v>407</v>
      </c>
      <c r="L56" s="262" t="s">
        <v>408</v>
      </c>
      <c r="M56" s="262" t="s">
        <v>409</v>
      </c>
      <c r="N56" s="274" t="s">
        <v>410</v>
      </c>
      <c r="O56" s="262" t="s">
        <v>411</v>
      </c>
      <c r="P56" s="262" t="s">
        <v>412</v>
      </c>
      <c r="Q56" s="265">
        <v>1</v>
      </c>
      <c r="R56" s="262" t="s">
        <v>488</v>
      </c>
      <c r="S56" s="262" t="s">
        <v>489</v>
      </c>
      <c r="T56" s="263" t="s">
        <v>490</v>
      </c>
      <c r="U56" s="262" t="s">
        <v>491</v>
      </c>
      <c r="V56" s="263">
        <v>8</v>
      </c>
      <c r="W56" s="263">
        <v>11</v>
      </c>
      <c r="X56" s="263">
        <v>360</v>
      </c>
      <c r="Y56" s="275" t="s">
        <v>478</v>
      </c>
      <c r="Z56" s="266" t="s">
        <v>417</v>
      </c>
      <c r="AA56" s="374">
        <v>3360000</v>
      </c>
      <c r="AB56" s="267">
        <v>280000</v>
      </c>
      <c r="AC56" s="266" t="s">
        <v>492</v>
      </c>
      <c r="AD56" s="266" t="s">
        <v>493</v>
      </c>
      <c r="AE56" s="268"/>
      <c r="AF56" s="269"/>
      <c r="AG56" s="276"/>
      <c r="AH56" s="293"/>
      <c r="AI56" s="349">
        <v>280000</v>
      </c>
      <c r="AJ56" s="349">
        <v>280000</v>
      </c>
      <c r="AK56" s="349">
        <v>280000</v>
      </c>
      <c r="AL56" s="349">
        <v>280000</v>
      </c>
      <c r="AM56" s="349">
        <v>280000</v>
      </c>
      <c r="AN56" s="349">
        <v>280000</v>
      </c>
      <c r="AO56" s="349">
        <v>280000</v>
      </c>
      <c r="AP56" s="349">
        <v>280000</v>
      </c>
      <c r="AQ56" s="349">
        <v>280000</v>
      </c>
      <c r="AR56" s="349">
        <v>280000</v>
      </c>
      <c r="AS56" s="349">
        <v>280000</v>
      </c>
      <c r="AT56" s="349">
        <v>280000</v>
      </c>
      <c r="AU56" s="315">
        <f t="shared" si="3"/>
        <v>3360000</v>
      </c>
      <c r="AV56" s="295">
        <f t="shared" si="4"/>
        <v>0</v>
      </c>
      <c r="AW56" s="293"/>
      <c r="AX56" s="293">
        <f>+AU56</f>
        <v>3360000</v>
      </c>
      <c r="AY56" s="293">
        <v>0</v>
      </c>
      <c r="AZ56" s="293">
        <v>0</v>
      </c>
      <c r="BA56" s="293">
        <v>0</v>
      </c>
      <c r="BB56" s="294">
        <f t="shared" si="6"/>
        <v>3360000</v>
      </c>
    </row>
    <row r="57" spans="1:54" s="311" customFormat="1">
      <c r="A57" s="296" t="s">
        <v>401</v>
      </c>
      <c r="B57" s="297" t="s">
        <v>402</v>
      </c>
      <c r="C57" s="297" t="s">
        <v>402</v>
      </c>
      <c r="D57" s="297" t="s">
        <v>494</v>
      </c>
      <c r="E57" s="297">
        <v>935</v>
      </c>
      <c r="F57" s="298">
        <v>7673</v>
      </c>
      <c r="G57" s="296" t="s">
        <v>403</v>
      </c>
      <c r="H57" s="296" t="s">
        <v>495</v>
      </c>
      <c r="I57" s="296" t="s">
        <v>496</v>
      </c>
      <c r="J57" s="296" t="s">
        <v>406</v>
      </c>
      <c r="K57" s="296" t="s">
        <v>407</v>
      </c>
      <c r="L57" s="296" t="s">
        <v>408</v>
      </c>
      <c r="M57" s="296" t="s">
        <v>409</v>
      </c>
      <c r="N57" s="299" t="s">
        <v>410</v>
      </c>
      <c r="O57" s="296" t="s">
        <v>411</v>
      </c>
      <c r="P57" s="296" t="s">
        <v>412</v>
      </c>
      <c r="Q57" s="300">
        <v>0.86</v>
      </c>
      <c r="R57" s="296" t="s">
        <v>497</v>
      </c>
      <c r="S57" s="296" t="s">
        <v>498</v>
      </c>
      <c r="T57" s="297">
        <v>80141607</v>
      </c>
      <c r="U57" s="296" t="s">
        <v>499</v>
      </c>
      <c r="V57" s="297">
        <v>2</v>
      </c>
      <c r="W57" s="297">
        <v>3</v>
      </c>
      <c r="X57" s="301">
        <v>240</v>
      </c>
      <c r="Y57" s="302" t="s">
        <v>469</v>
      </c>
      <c r="Z57" s="303" t="s">
        <v>417</v>
      </c>
      <c r="AA57" s="373">
        <f>58000000*86%</f>
        <v>49880000</v>
      </c>
      <c r="AB57" s="304">
        <f>7250000*86%</f>
        <v>6235000</v>
      </c>
      <c r="AC57" s="303" t="s">
        <v>500</v>
      </c>
      <c r="AD57" s="303" t="s">
        <v>501</v>
      </c>
      <c r="AE57" s="305"/>
      <c r="AF57" s="306"/>
      <c r="AG57" s="307"/>
      <c r="AH57" s="308"/>
      <c r="AI57" s="352">
        <v>0</v>
      </c>
      <c r="AJ57" s="352">
        <v>0</v>
      </c>
      <c r="AK57" s="353">
        <v>0</v>
      </c>
      <c r="AL57" s="353">
        <v>0</v>
      </c>
      <c r="AM57" s="353">
        <v>0</v>
      </c>
      <c r="AN57" s="354">
        <f t="shared" ref="AN57:AS57" si="8">7250000*86%</f>
        <v>6235000</v>
      </c>
      <c r="AO57" s="354">
        <f t="shared" si="8"/>
        <v>6235000</v>
      </c>
      <c r="AP57" s="354">
        <f t="shared" si="8"/>
        <v>6235000</v>
      </c>
      <c r="AQ57" s="354">
        <f t="shared" si="8"/>
        <v>6235000</v>
      </c>
      <c r="AR57" s="354">
        <f t="shared" si="8"/>
        <v>6235000</v>
      </c>
      <c r="AS57" s="354">
        <f t="shared" si="8"/>
        <v>6235000</v>
      </c>
      <c r="AT57" s="354">
        <f>(7250000*86%)*2</f>
        <v>12470000</v>
      </c>
      <c r="AU57" s="316">
        <f>SUM(AI57:AT57)</f>
        <v>49880000</v>
      </c>
      <c r="AV57" s="310">
        <f t="shared" si="4"/>
        <v>0</v>
      </c>
      <c r="AW57" s="308"/>
      <c r="AX57" s="308">
        <f>AU57*86%</f>
        <v>42896800</v>
      </c>
      <c r="AY57" s="308">
        <v>0</v>
      </c>
      <c r="AZ57" s="308">
        <f>AU57*14%</f>
        <v>6983200.0000000009</v>
      </c>
      <c r="BA57" s="308">
        <v>0</v>
      </c>
      <c r="BB57" s="309">
        <f t="shared" si="6"/>
        <v>49880000</v>
      </c>
    </row>
    <row r="58" spans="1:54" s="311" customFormat="1" hidden="1">
      <c r="A58" s="296" t="s">
        <v>401</v>
      </c>
      <c r="B58" s="297" t="s">
        <v>402</v>
      </c>
      <c r="C58" s="297" t="s">
        <v>402</v>
      </c>
      <c r="D58" s="297" t="s">
        <v>494</v>
      </c>
      <c r="E58" s="297">
        <v>935</v>
      </c>
      <c r="F58" s="298">
        <v>7673</v>
      </c>
      <c r="G58" s="296" t="s">
        <v>403</v>
      </c>
      <c r="H58" s="296" t="s">
        <v>495</v>
      </c>
      <c r="I58" s="296" t="s">
        <v>496</v>
      </c>
      <c r="J58" s="296" t="s">
        <v>406</v>
      </c>
      <c r="K58" s="296" t="s">
        <v>407</v>
      </c>
      <c r="L58" s="296" t="s">
        <v>408</v>
      </c>
      <c r="M58" s="296" t="s">
        <v>409</v>
      </c>
      <c r="N58" s="299" t="s">
        <v>410</v>
      </c>
      <c r="O58" s="296" t="s">
        <v>411</v>
      </c>
      <c r="P58" s="296" t="s">
        <v>437</v>
      </c>
      <c r="Q58" s="300">
        <v>0.14000000000000001</v>
      </c>
      <c r="R58" s="296" t="s">
        <v>497</v>
      </c>
      <c r="S58" s="296" t="s">
        <v>498</v>
      </c>
      <c r="T58" s="297">
        <v>80141607</v>
      </c>
      <c r="U58" s="296" t="s">
        <v>499</v>
      </c>
      <c r="V58" s="297">
        <v>2</v>
      </c>
      <c r="W58" s="297">
        <v>3</v>
      </c>
      <c r="X58" s="301">
        <v>240</v>
      </c>
      <c r="Y58" s="302" t="s">
        <v>469</v>
      </c>
      <c r="Z58" s="303" t="s">
        <v>417</v>
      </c>
      <c r="AA58" s="304">
        <f>58000000*14%</f>
        <v>8120000.0000000009</v>
      </c>
      <c r="AB58" s="304">
        <f>7250000*14%</f>
        <v>1015000.0000000001</v>
      </c>
      <c r="AC58" s="303" t="s">
        <v>500</v>
      </c>
      <c r="AD58" s="303" t="s">
        <v>501</v>
      </c>
      <c r="AE58" s="305"/>
      <c r="AF58" s="306"/>
      <c r="AG58" s="307"/>
      <c r="AH58" s="307"/>
      <c r="AI58" s="352">
        <v>0</v>
      </c>
      <c r="AJ58" s="352">
        <v>0</v>
      </c>
      <c r="AK58" s="353">
        <v>0</v>
      </c>
      <c r="AL58" s="353">
        <v>0</v>
      </c>
      <c r="AM58" s="353">
        <v>0</v>
      </c>
      <c r="AN58" s="357">
        <f t="shared" ref="AN58:AS58" si="9">7250000*14%</f>
        <v>1015000.0000000001</v>
      </c>
      <c r="AO58" s="357">
        <f t="shared" si="9"/>
        <v>1015000.0000000001</v>
      </c>
      <c r="AP58" s="357">
        <f t="shared" si="9"/>
        <v>1015000.0000000001</v>
      </c>
      <c r="AQ58" s="357">
        <f t="shared" si="9"/>
        <v>1015000.0000000001</v>
      </c>
      <c r="AR58" s="357">
        <f t="shared" si="9"/>
        <v>1015000.0000000001</v>
      </c>
      <c r="AS58" s="357">
        <f t="shared" si="9"/>
        <v>1015000.0000000001</v>
      </c>
      <c r="AT58" s="357">
        <f>(7250000*14%)*2</f>
        <v>2030000.0000000002</v>
      </c>
      <c r="AU58" s="316">
        <f t="shared" ref="AU58" si="10">SUM(AI58:AT58)</f>
        <v>8120000.0000000009</v>
      </c>
      <c r="AV58" s="310">
        <f t="shared" ref="AV58" si="11">+AU58-AA58</f>
        <v>0</v>
      </c>
      <c r="AW58" s="308"/>
      <c r="AX58" s="308">
        <f>AU58*86%</f>
        <v>6983200.0000000009</v>
      </c>
      <c r="AY58" s="308">
        <v>0</v>
      </c>
      <c r="AZ58" s="308">
        <f>AU58*14%</f>
        <v>1136800.0000000002</v>
      </c>
      <c r="BA58" s="308">
        <v>0</v>
      </c>
      <c r="BB58" s="309">
        <f t="shared" ref="BB58" si="12">SUM(AX58:BA58)</f>
        <v>8120000.0000000009</v>
      </c>
    </row>
    <row r="59" spans="1:54" s="311" customFormat="1">
      <c r="A59" s="296" t="s">
        <v>401</v>
      </c>
      <c r="B59" s="297" t="s">
        <v>402</v>
      </c>
      <c r="C59" s="297" t="s">
        <v>402</v>
      </c>
      <c r="D59" s="297" t="s">
        <v>502</v>
      </c>
      <c r="E59" s="297">
        <v>937</v>
      </c>
      <c r="F59" s="298">
        <v>7673</v>
      </c>
      <c r="G59" s="296" t="s">
        <v>403</v>
      </c>
      <c r="H59" s="296" t="s">
        <v>503</v>
      </c>
      <c r="I59" s="296" t="s">
        <v>504</v>
      </c>
      <c r="J59" s="296" t="s">
        <v>406</v>
      </c>
      <c r="K59" s="296" t="s">
        <v>407</v>
      </c>
      <c r="L59" s="296" t="s">
        <v>408</v>
      </c>
      <c r="M59" s="296" t="s">
        <v>409</v>
      </c>
      <c r="N59" s="299" t="s">
        <v>410</v>
      </c>
      <c r="O59" s="296" t="s">
        <v>411</v>
      </c>
      <c r="P59" s="296" t="s">
        <v>412</v>
      </c>
      <c r="Q59" s="300">
        <v>0.71</v>
      </c>
      <c r="R59" s="296" t="s">
        <v>505</v>
      </c>
      <c r="S59" s="296" t="s">
        <v>506</v>
      </c>
      <c r="T59" s="297" t="s">
        <v>507</v>
      </c>
      <c r="U59" s="296" t="s">
        <v>508</v>
      </c>
      <c r="V59" s="297">
        <v>4</v>
      </c>
      <c r="W59" s="297">
        <v>5</v>
      </c>
      <c r="X59" s="301">
        <v>60</v>
      </c>
      <c r="Y59" s="302" t="s">
        <v>509</v>
      </c>
      <c r="Z59" s="303" t="s">
        <v>417</v>
      </c>
      <c r="AA59" s="373">
        <f>5117000*71%</f>
        <v>3633070</v>
      </c>
      <c r="AB59" s="304">
        <f>2558500*71%</f>
        <v>1816535</v>
      </c>
      <c r="AC59" s="303" t="s">
        <v>510</v>
      </c>
      <c r="AD59" s="303" t="s">
        <v>511</v>
      </c>
      <c r="AE59" s="305"/>
      <c r="AF59" s="306"/>
      <c r="AG59" s="307"/>
      <c r="AH59" s="308"/>
      <c r="AI59" s="352">
        <v>0</v>
      </c>
      <c r="AJ59" s="352">
        <v>0</v>
      </c>
      <c r="AK59" s="353">
        <v>0</v>
      </c>
      <c r="AL59" s="353">
        <v>0</v>
      </c>
      <c r="AM59" s="353">
        <v>0</v>
      </c>
      <c r="AN59" s="353">
        <v>0</v>
      </c>
      <c r="AO59" s="353">
        <v>0</v>
      </c>
      <c r="AP59" s="353">
        <v>0</v>
      </c>
      <c r="AQ59" s="353">
        <v>0</v>
      </c>
      <c r="AR59" s="353">
        <v>0</v>
      </c>
      <c r="AS59" s="353">
        <v>0</v>
      </c>
      <c r="AT59" s="354">
        <f>5117000*71%</f>
        <v>3633070</v>
      </c>
      <c r="AU59" s="316">
        <f t="shared" si="3"/>
        <v>3633070</v>
      </c>
      <c r="AV59" s="310">
        <f t="shared" si="4"/>
        <v>0</v>
      </c>
      <c r="AW59" s="308"/>
      <c r="AX59" s="308">
        <f>AU59*71%</f>
        <v>2579479.6999999997</v>
      </c>
      <c r="AY59" s="308">
        <v>0</v>
      </c>
      <c r="AZ59" s="308">
        <f>AU59*29%</f>
        <v>1053590.2999999998</v>
      </c>
      <c r="BA59" s="308">
        <v>0</v>
      </c>
      <c r="BB59" s="309">
        <f>SUM(AX59:BA59)</f>
        <v>3633069.9999999995</v>
      </c>
    </row>
    <row r="60" spans="1:54" s="311" customFormat="1" hidden="1">
      <c r="A60" s="296" t="s">
        <v>401</v>
      </c>
      <c r="B60" s="297" t="s">
        <v>402</v>
      </c>
      <c r="C60" s="297" t="s">
        <v>402</v>
      </c>
      <c r="D60" s="297" t="s">
        <v>502</v>
      </c>
      <c r="E60" s="297">
        <v>937</v>
      </c>
      <c r="F60" s="298">
        <v>7673</v>
      </c>
      <c r="G60" s="296" t="s">
        <v>403</v>
      </c>
      <c r="H60" s="296" t="s">
        <v>503</v>
      </c>
      <c r="I60" s="296" t="s">
        <v>504</v>
      </c>
      <c r="J60" s="296" t="s">
        <v>406</v>
      </c>
      <c r="K60" s="296" t="s">
        <v>407</v>
      </c>
      <c r="L60" s="296" t="s">
        <v>408</v>
      </c>
      <c r="M60" s="296" t="s">
        <v>409</v>
      </c>
      <c r="N60" s="299" t="s">
        <v>410</v>
      </c>
      <c r="O60" s="296" t="s">
        <v>411</v>
      </c>
      <c r="P60" s="296" t="s">
        <v>437</v>
      </c>
      <c r="Q60" s="300">
        <v>0.28999999999999998</v>
      </c>
      <c r="R60" s="296" t="s">
        <v>505</v>
      </c>
      <c r="S60" s="296" t="s">
        <v>506</v>
      </c>
      <c r="T60" s="297" t="s">
        <v>507</v>
      </c>
      <c r="U60" s="296" t="s">
        <v>508</v>
      </c>
      <c r="V60" s="297">
        <v>4</v>
      </c>
      <c r="W60" s="297">
        <v>5</v>
      </c>
      <c r="X60" s="301">
        <v>60</v>
      </c>
      <c r="Y60" s="302" t="s">
        <v>509</v>
      </c>
      <c r="Z60" s="303" t="s">
        <v>417</v>
      </c>
      <c r="AA60" s="304">
        <f>5117000*29%</f>
        <v>1483930</v>
      </c>
      <c r="AB60" s="304">
        <f>2558500*29%</f>
        <v>741965</v>
      </c>
      <c r="AC60" s="303" t="s">
        <v>510</v>
      </c>
      <c r="AD60" s="303" t="s">
        <v>511</v>
      </c>
      <c r="AE60" s="305"/>
      <c r="AF60" s="306"/>
      <c r="AG60" s="307"/>
      <c r="AH60" s="307"/>
      <c r="AI60" s="352">
        <v>0</v>
      </c>
      <c r="AJ60" s="352">
        <v>0</v>
      </c>
      <c r="AK60" s="353">
        <v>0</v>
      </c>
      <c r="AL60" s="353">
        <v>0</v>
      </c>
      <c r="AM60" s="353">
        <v>0</v>
      </c>
      <c r="AN60" s="353">
        <v>0</v>
      </c>
      <c r="AO60" s="353">
        <v>0</v>
      </c>
      <c r="AP60" s="353">
        <v>0</v>
      </c>
      <c r="AQ60" s="353">
        <v>0</v>
      </c>
      <c r="AR60" s="353">
        <v>0</v>
      </c>
      <c r="AS60" s="353">
        <v>0</v>
      </c>
      <c r="AT60" s="357">
        <f>5117000*29%</f>
        <v>1483930</v>
      </c>
      <c r="AU60" s="316">
        <f t="shared" ref="AU60" si="13">SUM(AI60:AT60)</f>
        <v>1483930</v>
      </c>
      <c r="AV60" s="310">
        <f t="shared" ref="AV60" si="14">+AU60-AA60</f>
        <v>0</v>
      </c>
      <c r="AW60" s="308"/>
      <c r="AX60" s="308">
        <f>AU60*71%</f>
        <v>1053590.3</v>
      </c>
      <c r="AY60" s="308">
        <v>0</v>
      </c>
      <c r="AZ60" s="308">
        <f>AU60*29%</f>
        <v>430339.69999999995</v>
      </c>
      <c r="BA60" s="308">
        <v>0</v>
      </c>
      <c r="BB60" s="309">
        <f>SUM(AX60:BA60)</f>
        <v>1483930</v>
      </c>
    </row>
    <row r="61" spans="1:54" s="311" customFormat="1">
      <c r="A61" s="296" t="s">
        <v>401</v>
      </c>
      <c r="B61" s="297" t="s">
        <v>402</v>
      </c>
      <c r="C61" s="297" t="s">
        <v>402</v>
      </c>
      <c r="D61" s="297" t="s">
        <v>512</v>
      </c>
      <c r="E61" s="297">
        <v>938</v>
      </c>
      <c r="F61" s="298">
        <v>7673</v>
      </c>
      <c r="G61" s="296" t="s">
        <v>403</v>
      </c>
      <c r="H61" s="296" t="s">
        <v>513</v>
      </c>
      <c r="I61" s="296" t="s">
        <v>481</v>
      </c>
      <c r="J61" s="296" t="s">
        <v>406</v>
      </c>
      <c r="K61" s="296" t="s">
        <v>407</v>
      </c>
      <c r="L61" s="296" t="s">
        <v>408</v>
      </c>
      <c r="M61" s="296" t="s">
        <v>409</v>
      </c>
      <c r="N61" s="299" t="s">
        <v>410</v>
      </c>
      <c r="O61" s="296" t="s">
        <v>411</v>
      </c>
      <c r="P61" s="296" t="s">
        <v>412</v>
      </c>
      <c r="Q61" s="300">
        <v>0.95</v>
      </c>
      <c r="R61" s="296" t="s">
        <v>514</v>
      </c>
      <c r="S61" s="296" t="s">
        <v>515</v>
      </c>
      <c r="T61" s="297" t="s">
        <v>516</v>
      </c>
      <c r="U61" s="296" t="s">
        <v>517</v>
      </c>
      <c r="V61" s="297">
        <v>3</v>
      </c>
      <c r="W61" s="297">
        <v>5</v>
      </c>
      <c r="X61" s="301">
        <v>360</v>
      </c>
      <c r="Y61" s="302" t="s">
        <v>518</v>
      </c>
      <c r="Z61" s="303" t="s">
        <v>417</v>
      </c>
      <c r="AA61" s="373">
        <f>471340694*95%</f>
        <v>447773659.29999995</v>
      </c>
      <c r="AB61" s="304">
        <f>39278391.1666667*95%</f>
        <v>37314471.608333364</v>
      </c>
      <c r="AC61" s="303" t="s">
        <v>519</v>
      </c>
      <c r="AD61" s="303" t="s">
        <v>493</v>
      </c>
      <c r="AE61" s="305"/>
      <c r="AF61" s="306"/>
      <c r="AG61" s="307"/>
      <c r="AH61" s="308"/>
      <c r="AI61" s="354">
        <f t="shared" ref="AI61:AT61" si="15">39278391.1666667*95%</f>
        <v>37314471.608333364</v>
      </c>
      <c r="AJ61" s="354">
        <f t="shared" si="15"/>
        <v>37314471.608333364</v>
      </c>
      <c r="AK61" s="354">
        <f t="shared" si="15"/>
        <v>37314471.608333364</v>
      </c>
      <c r="AL61" s="354">
        <f t="shared" si="15"/>
        <v>37314471.608333364</v>
      </c>
      <c r="AM61" s="354">
        <f t="shared" si="15"/>
        <v>37314471.608333364</v>
      </c>
      <c r="AN61" s="354">
        <f t="shared" si="15"/>
        <v>37314471.608333364</v>
      </c>
      <c r="AO61" s="354">
        <f t="shared" si="15"/>
        <v>37314471.608333364</v>
      </c>
      <c r="AP61" s="354">
        <f t="shared" si="15"/>
        <v>37314471.608333364</v>
      </c>
      <c r="AQ61" s="354">
        <f t="shared" si="15"/>
        <v>37314471.608333364</v>
      </c>
      <c r="AR61" s="354">
        <f t="shared" si="15"/>
        <v>37314471.608333364</v>
      </c>
      <c r="AS61" s="354">
        <f t="shared" si="15"/>
        <v>37314471.608333364</v>
      </c>
      <c r="AT61" s="354">
        <f t="shared" si="15"/>
        <v>37314471.608333364</v>
      </c>
      <c r="AU61" s="316">
        <f t="shared" si="3"/>
        <v>447773659.30000025</v>
      </c>
      <c r="AV61" s="310">
        <f t="shared" si="4"/>
        <v>0</v>
      </c>
      <c r="AW61" s="308"/>
      <c r="AX61" s="308">
        <f>AU61*95%</f>
        <v>425384976.33500022</v>
      </c>
      <c r="AY61" s="308">
        <v>0</v>
      </c>
      <c r="AZ61" s="308">
        <f>AU61*5%</f>
        <v>22388682.965000015</v>
      </c>
      <c r="BA61" s="308">
        <v>0</v>
      </c>
      <c r="BB61" s="309">
        <f t="shared" si="6"/>
        <v>447773659.30000025</v>
      </c>
    </row>
    <row r="62" spans="1:54" s="311" customFormat="1" hidden="1">
      <c r="A62" s="296" t="s">
        <v>401</v>
      </c>
      <c r="B62" s="297" t="s">
        <v>402</v>
      </c>
      <c r="C62" s="297" t="s">
        <v>402</v>
      </c>
      <c r="D62" s="297" t="s">
        <v>512</v>
      </c>
      <c r="E62" s="297">
        <v>938</v>
      </c>
      <c r="F62" s="298">
        <v>7673</v>
      </c>
      <c r="G62" s="296" t="s">
        <v>403</v>
      </c>
      <c r="H62" s="296" t="s">
        <v>513</v>
      </c>
      <c r="I62" s="296" t="s">
        <v>481</v>
      </c>
      <c r="J62" s="296" t="s">
        <v>406</v>
      </c>
      <c r="K62" s="296" t="s">
        <v>407</v>
      </c>
      <c r="L62" s="296" t="s">
        <v>408</v>
      </c>
      <c r="M62" s="296" t="s">
        <v>409</v>
      </c>
      <c r="N62" s="299" t="s">
        <v>410</v>
      </c>
      <c r="O62" s="296" t="s">
        <v>411</v>
      </c>
      <c r="P62" s="296" t="s">
        <v>437</v>
      </c>
      <c r="Q62" s="300">
        <v>0.05</v>
      </c>
      <c r="R62" s="296" t="s">
        <v>514</v>
      </c>
      <c r="S62" s="296" t="s">
        <v>515</v>
      </c>
      <c r="T62" s="297" t="s">
        <v>516</v>
      </c>
      <c r="U62" s="296" t="s">
        <v>517</v>
      </c>
      <c r="V62" s="297">
        <v>3</v>
      </c>
      <c r="W62" s="297">
        <v>5</v>
      </c>
      <c r="X62" s="301">
        <v>360</v>
      </c>
      <c r="Y62" s="302" t="s">
        <v>518</v>
      </c>
      <c r="Z62" s="303" t="s">
        <v>417</v>
      </c>
      <c r="AA62" s="304">
        <f>471340694*5%</f>
        <v>23567034.700000003</v>
      </c>
      <c r="AB62" s="304">
        <f>39278391.1666667*5%</f>
        <v>1963919.5583333352</v>
      </c>
      <c r="AC62" s="303" t="s">
        <v>519</v>
      </c>
      <c r="AD62" s="303" t="s">
        <v>493</v>
      </c>
      <c r="AE62" s="305"/>
      <c r="AF62" s="306"/>
      <c r="AG62" s="307"/>
      <c r="AH62" s="307"/>
      <c r="AI62" s="357">
        <f t="shared" ref="AI62:AT62" si="16">39278391.1666667*5%</f>
        <v>1963919.5583333352</v>
      </c>
      <c r="AJ62" s="357">
        <f t="shared" si="16"/>
        <v>1963919.5583333352</v>
      </c>
      <c r="AK62" s="357">
        <f t="shared" si="16"/>
        <v>1963919.5583333352</v>
      </c>
      <c r="AL62" s="357">
        <f t="shared" si="16"/>
        <v>1963919.5583333352</v>
      </c>
      <c r="AM62" s="357">
        <f t="shared" si="16"/>
        <v>1963919.5583333352</v>
      </c>
      <c r="AN62" s="357">
        <f t="shared" si="16"/>
        <v>1963919.5583333352</v>
      </c>
      <c r="AO62" s="357">
        <f t="shared" si="16"/>
        <v>1963919.5583333352</v>
      </c>
      <c r="AP62" s="357">
        <f t="shared" si="16"/>
        <v>1963919.5583333352</v>
      </c>
      <c r="AQ62" s="357">
        <f t="shared" si="16"/>
        <v>1963919.5583333352</v>
      </c>
      <c r="AR62" s="357">
        <f t="shared" si="16"/>
        <v>1963919.5583333352</v>
      </c>
      <c r="AS62" s="357">
        <f t="shared" si="16"/>
        <v>1963919.5583333352</v>
      </c>
      <c r="AT62" s="357">
        <f t="shared" si="16"/>
        <v>1963919.5583333352</v>
      </c>
      <c r="AU62" s="316">
        <f t="shared" ref="AU62" si="17">SUM(AI62:AT62)</f>
        <v>23567034.700000018</v>
      </c>
      <c r="AV62" s="310">
        <f t="shared" ref="AV62" si="18">+AU62-AA62</f>
        <v>0</v>
      </c>
      <c r="AW62" s="308"/>
      <c r="AX62" s="308">
        <f>AU62*95%</f>
        <v>22388682.965000015</v>
      </c>
      <c r="AY62" s="308">
        <v>0</v>
      </c>
      <c r="AZ62" s="308">
        <f>AU62*5%</f>
        <v>1178351.735000001</v>
      </c>
      <c r="BA62" s="308">
        <v>0</v>
      </c>
      <c r="BB62" s="309">
        <f t="shared" ref="BB62" si="19">SUM(AX62:BA62)</f>
        <v>23567034.700000014</v>
      </c>
    </row>
    <row r="63" spans="1:54" s="272" customFormat="1">
      <c r="A63" s="262" t="s">
        <v>401</v>
      </c>
      <c r="B63" s="263" t="s">
        <v>402</v>
      </c>
      <c r="C63" s="263" t="s">
        <v>402</v>
      </c>
      <c r="D63" s="263" t="s">
        <v>520</v>
      </c>
      <c r="E63" s="263">
        <v>939</v>
      </c>
      <c r="F63" s="264">
        <v>7673</v>
      </c>
      <c r="G63" s="262" t="s">
        <v>403</v>
      </c>
      <c r="H63" s="262" t="s">
        <v>521</v>
      </c>
      <c r="I63" s="262" t="s">
        <v>504</v>
      </c>
      <c r="J63" s="262" t="s">
        <v>406</v>
      </c>
      <c r="K63" s="262" t="s">
        <v>407</v>
      </c>
      <c r="L63" s="262" t="s">
        <v>408</v>
      </c>
      <c r="M63" s="262" t="s">
        <v>409</v>
      </c>
      <c r="N63" s="274" t="s">
        <v>410</v>
      </c>
      <c r="O63" s="262" t="s">
        <v>411</v>
      </c>
      <c r="P63" s="262" t="s">
        <v>412</v>
      </c>
      <c r="Q63" s="265">
        <v>1</v>
      </c>
      <c r="R63" s="262" t="s">
        <v>522</v>
      </c>
      <c r="S63" s="262" t="s">
        <v>523</v>
      </c>
      <c r="T63" s="263" t="s">
        <v>524</v>
      </c>
      <c r="U63" s="262" t="s">
        <v>525</v>
      </c>
      <c r="V63" s="263">
        <v>2</v>
      </c>
      <c r="W63" s="263">
        <v>2</v>
      </c>
      <c r="X63" s="263">
        <v>30</v>
      </c>
      <c r="Y63" s="275" t="s">
        <v>509</v>
      </c>
      <c r="Z63" s="266" t="s">
        <v>417</v>
      </c>
      <c r="AA63" s="373">
        <v>5539000</v>
      </c>
      <c r="AB63" s="267">
        <v>5539000</v>
      </c>
      <c r="AC63" s="266" t="s">
        <v>526</v>
      </c>
      <c r="AD63" s="266" t="s">
        <v>501</v>
      </c>
      <c r="AE63" s="268"/>
      <c r="AF63" s="269"/>
      <c r="AG63" s="276"/>
      <c r="AH63" s="293"/>
      <c r="AI63" s="348">
        <v>0</v>
      </c>
      <c r="AJ63" s="348">
        <v>0</v>
      </c>
      <c r="AK63" s="349">
        <v>0</v>
      </c>
      <c r="AL63" s="349">
        <v>0</v>
      </c>
      <c r="AM63" s="349">
        <v>0</v>
      </c>
      <c r="AN63" s="349">
        <v>0</v>
      </c>
      <c r="AO63" s="349">
        <v>0</v>
      </c>
      <c r="AP63" s="349">
        <v>0</v>
      </c>
      <c r="AQ63" s="349">
        <v>0</v>
      </c>
      <c r="AR63" s="349">
        <v>0</v>
      </c>
      <c r="AS63" s="349">
        <v>5539000</v>
      </c>
      <c r="AT63" s="349"/>
      <c r="AU63" s="315">
        <f t="shared" si="3"/>
        <v>5539000</v>
      </c>
      <c r="AV63" s="295">
        <f t="shared" si="4"/>
        <v>0</v>
      </c>
      <c r="AW63" s="293"/>
      <c r="AX63" s="293">
        <f>AU63</f>
        <v>5539000</v>
      </c>
      <c r="AY63" s="293">
        <v>0</v>
      </c>
      <c r="AZ63" s="293">
        <v>0</v>
      </c>
      <c r="BA63" s="293">
        <v>0</v>
      </c>
      <c r="BB63" s="294">
        <f t="shared" si="6"/>
        <v>5539000</v>
      </c>
    </row>
    <row r="64" spans="1:54" s="272" customFormat="1">
      <c r="A64" s="262" t="s">
        <v>401</v>
      </c>
      <c r="B64" s="263" t="s">
        <v>402</v>
      </c>
      <c r="C64" s="263" t="s">
        <v>402</v>
      </c>
      <c r="D64" s="263" t="s">
        <v>527</v>
      </c>
      <c r="E64" s="263">
        <v>941</v>
      </c>
      <c r="F64" s="264">
        <v>7673</v>
      </c>
      <c r="G64" s="262" t="s">
        <v>403</v>
      </c>
      <c r="H64" s="262" t="s">
        <v>528</v>
      </c>
      <c r="I64" s="262" t="s">
        <v>529</v>
      </c>
      <c r="J64" s="262" t="s">
        <v>406</v>
      </c>
      <c r="K64" s="262" t="s">
        <v>407</v>
      </c>
      <c r="L64" s="262" t="s">
        <v>408</v>
      </c>
      <c r="M64" s="262" t="s">
        <v>409</v>
      </c>
      <c r="N64" s="274" t="s">
        <v>410</v>
      </c>
      <c r="O64" s="262" t="s">
        <v>411</v>
      </c>
      <c r="P64" s="262" t="s">
        <v>412</v>
      </c>
      <c r="Q64" s="265">
        <v>1</v>
      </c>
      <c r="R64" s="262" t="s">
        <v>530</v>
      </c>
      <c r="S64" s="262" t="s">
        <v>531</v>
      </c>
      <c r="T64" s="263">
        <v>31162800</v>
      </c>
      <c r="U64" s="262" t="s">
        <v>532</v>
      </c>
      <c r="V64" s="263">
        <v>2</v>
      </c>
      <c r="W64" s="263">
        <v>4</v>
      </c>
      <c r="X64" s="277">
        <v>180</v>
      </c>
      <c r="Y64" s="275" t="s">
        <v>478</v>
      </c>
      <c r="Z64" s="266" t="s">
        <v>417</v>
      </c>
      <c r="AA64" s="373">
        <v>20000000</v>
      </c>
      <c r="AB64" s="267">
        <v>3333333.3333333302</v>
      </c>
      <c r="AC64" s="266" t="s">
        <v>533</v>
      </c>
      <c r="AD64" s="266" t="s">
        <v>501</v>
      </c>
      <c r="AE64" s="268"/>
      <c r="AF64" s="269"/>
      <c r="AG64" s="276"/>
      <c r="AH64" s="293"/>
      <c r="AI64" s="348">
        <v>0</v>
      </c>
      <c r="AJ64" s="348">
        <v>0</v>
      </c>
      <c r="AK64" s="349">
        <v>0</v>
      </c>
      <c r="AL64" s="349">
        <v>0</v>
      </c>
      <c r="AM64" s="349">
        <v>0</v>
      </c>
      <c r="AN64" s="349">
        <v>0</v>
      </c>
      <c r="AO64" s="349">
        <v>3333333.3333333302</v>
      </c>
      <c r="AP64" s="349">
        <v>3333333.3333333302</v>
      </c>
      <c r="AQ64" s="349">
        <v>3333333.3333333302</v>
      </c>
      <c r="AR64" s="349">
        <v>3333333.3333333302</v>
      </c>
      <c r="AS64" s="349">
        <v>3333333.3333333302</v>
      </c>
      <c r="AT64" s="349">
        <v>3333333.3333333302</v>
      </c>
      <c r="AU64" s="315">
        <f t="shared" si="3"/>
        <v>19999999.999999981</v>
      </c>
      <c r="AV64" s="295">
        <f t="shared" si="4"/>
        <v>0</v>
      </c>
      <c r="AW64" s="293"/>
      <c r="AX64" s="293">
        <f>AU64</f>
        <v>19999999.999999981</v>
      </c>
      <c r="AY64" s="293">
        <v>0</v>
      </c>
      <c r="AZ64" s="293">
        <v>0</v>
      </c>
      <c r="BA64" s="293">
        <v>0</v>
      </c>
      <c r="BB64" s="294">
        <f t="shared" si="6"/>
        <v>19999999.999999981</v>
      </c>
    </row>
    <row r="65" spans="1:54" s="311" customFormat="1">
      <c r="A65" s="296" t="s">
        <v>401</v>
      </c>
      <c r="B65" s="297" t="s">
        <v>402</v>
      </c>
      <c r="C65" s="297" t="s">
        <v>402</v>
      </c>
      <c r="D65" s="297" t="s">
        <v>534</v>
      </c>
      <c r="E65" s="297">
        <v>942</v>
      </c>
      <c r="F65" s="298">
        <v>7673</v>
      </c>
      <c r="G65" s="296" t="s">
        <v>403</v>
      </c>
      <c r="H65" s="296" t="s">
        <v>535</v>
      </c>
      <c r="I65" s="296" t="s">
        <v>481</v>
      </c>
      <c r="J65" s="296" t="s">
        <v>406</v>
      </c>
      <c r="K65" s="296" t="s">
        <v>407</v>
      </c>
      <c r="L65" s="296" t="s">
        <v>408</v>
      </c>
      <c r="M65" s="296" t="s">
        <v>409</v>
      </c>
      <c r="N65" s="299" t="s">
        <v>410</v>
      </c>
      <c r="O65" s="296" t="s">
        <v>411</v>
      </c>
      <c r="P65" s="296" t="s">
        <v>412</v>
      </c>
      <c r="Q65" s="300">
        <v>0.81</v>
      </c>
      <c r="R65" s="296" t="s">
        <v>488</v>
      </c>
      <c r="S65" s="296" t="s">
        <v>489</v>
      </c>
      <c r="T65" s="297" t="s">
        <v>536</v>
      </c>
      <c r="U65" s="296" t="s">
        <v>537</v>
      </c>
      <c r="V65" s="297">
        <v>3</v>
      </c>
      <c r="W65" s="297">
        <v>4</v>
      </c>
      <c r="X65" s="301">
        <v>360</v>
      </c>
      <c r="Y65" s="302" t="s">
        <v>509</v>
      </c>
      <c r="Z65" s="303" t="s">
        <v>417</v>
      </c>
      <c r="AA65" s="373">
        <f>71651306*81%</f>
        <v>58037557.860000007</v>
      </c>
      <c r="AB65" s="304">
        <f>5970942.16666667*81%</f>
        <v>4836463.1550000031</v>
      </c>
      <c r="AC65" s="303" t="s">
        <v>538</v>
      </c>
      <c r="AD65" s="303" t="s">
        <v>493</v>
      </c>
      <c r="AE65" s="305"/>
      <c r="AF65" s="306"/>
      <c r="AG65" s="312"/>
      <c r="AH65" s="308"/>
      <c r="AI65" s="354">
        <f t="shared" ref="AI65:AT65" si="20">5970942.16666667*81%</f>
        <v>4836463.1550000031</v>
      </c>
      <c r="AJ65" s="354">
        <f t="shared" si="20"/>
        <v>4836463.1550000031</v>
      </c>
      <c r="AK65" s="354">
        <f t="shared" si="20"/>
        <v>4836463.1550000031</v>
      </c>
      <c r="AL65" s="354">
        <f t="shared" si="20"/>
        <v>4836463.1550000031</v>
      </c>
      <c r="AM65" s="354">
        <f t="shared" si="20"/>
        <v>4836463.1550000031</v>
      </c>
      <c r="AN65" s="354">
        <f t="shared" si="20"/>
        <v>4836463.1550000031</v>
      </c>
      <c r="AO65" s="354">
        <f t="shared" si="20"/>
        <v>4836463.1550000031</v>
      </c>
      <c r="AP65" s="354">
        <f t="shared" si="20"/>
        <v>4836463.1550000031</v>
      </c>
      <c r="AQ65" s="354">
        <f t="shared" si="20"/>
        <v>4836463.1550000031</v>
      </c>
      <c r="AR65" s="354">
        <f t="shared" si="20"/>
        <v>4836463.1550000031</v>
      </c>
      <c r="AS65" s="354">
        <f t="shared" si="20"/>
        <v>4836463.1550000031</v>
      </c>
      <c r="AT65" s="354">
        <f t="shared" si="20"/>
        <v>4836463.1550000031</v>
      </c>
      <c r="AU65" s="316">
        <f t="shared" si="3"/>
        <v>58037557.860000022</v>
      </c>
      <c r="AV65" s="310">
        <f t="shared" si="4"/>
        <v>0</v>
      </c>
      <c r="AW65" s="308"/>
      <c r="AX65" s="308">
        <f>AU65*81%</f>
        <v>47010421.866600022</v>
      </c>
      <c r="AY65" s="308">
        <v>0</v>
      </c>
      <c r="AZ65" s="308">
        <f>AU65*19%</f>
        <v>11027135.993400004</v>
      </c>
      <c r="BA65" s="308">
        <v>0</v>
      </c>
      <c r="BB65" s="309">
        <f t="shared" si="6"/>
        <v>58037557.860000029</v>
      </c>
    </row>
    <row r="66" spans="1:54" s="311" customFormat="1" hidden="1">
      <c r="A66" s="296" t="s">
        <v>401</v>
      </c>
      <c r="B66" s="297" t="s">
        <v>402</v>
      </c>
      <c r="C66" s="297" t="s">
        <v>402</v>
      </c>
      <c r="D66" s="297" t="s">
        <v>534</v>
      </c>
      <c r="E66" s="297">
        <v>942</v>
      </c>
      <c r="F66" s="298">
        <v>7673</v>
      </c>
      <c r="G66" s="296" t="s">
        <v>403</v>
      </c>
      <c r="H66" s="296" t="s">
        <v>535</v>
      </c>
      <c r="I66" s="296" t="s">
        <v>481</v>
      </c>
      <c r="J66" s="296" t="s">
        <v>406</v>
      </c>
      <c r="K66" s="296" t="s">
        <v>407</v>
      </c>
      <c r="L66" s="296" t="s">
        <v>408</v>
      </c>
      <c r="M66" s="296" t="s">
        <v>409</v>
      </c>
      <c r="N66" s="299" t="s">
        <v>410</v>
      </c>
      <c r="O66" s="296" t="s">
        <v>411</v>
      </c>
      <c r="P66" s="296" t="s">
        <v>437</v>
      </c>
      <c r="Q66" s="300">
        <v>0.19</v>
      </c>
      <c r="R66" s="296" t="s">
        <v>488</v>
      </c>
      <c r="S66" s="296" t="s">
        <v>489</v>
      </c>
      <c r="T66" s="297" t="s">
        <v>536</v>
      </c>
      <c r="U66" s="296" t="s">
        <v>537</v>
      </c>
      <c r="V66" s="297">
        <v>3</v>
      </c>
      <c r="W66" s="297">
        <v>4</v>
      </c>
      <c r="X66" s="301">
        <v>360</v>
      </c>
      <c r="Y66" s="302" t="s">
        <v>509</v>
      </c>
      <c r="Z66" s="303" t="s">
        <v>417</v>
      </c>
      <c r="AA66" s="304">
        <f>71651306*19%</f>
        <v>13613748.140000001</v>
      </c>
      <c r="AB66" s="304">
        <f>5970942.16666667*19%</f>
        <v>1134479.0116666672</v>
      </c>
      <c r="AC66" s="303" t="s">
        <v>538</v>
      </c>
      <c r="AD66" s="303" t="s">
        <v>493</v>
      </c>
      <c r="AE66" s="305"/>
      <c r="AF66" s="306"/>
      <c r="AG66" s="312"/>
      <c r="AH66" s="307"/>
      <c r="AI66" s="357">
        <f t="shared" ref="AI66:AT66" si="21">5970942.16666667*19%</f>
        <v>1134479.0116666672</v>
      </c>
      <c r="AJ66" s="357">
        <f t="shared" si="21"/>
        <v>1134479.0116666672</v>
      </c>
      <c r="AK66" s="357">
        <f t="shared" si="21"/>
        <v>1134479.0116666672</v>
      </c>
      <c r="AL66" s="357">
        <f t="shared" si="21"/>
        <v>1134479.0116666672</v>
      </c>
      <c r="AM66" s="357">
        <f t="shared" si="21"/>
        <v>1134479.0116666672</v>
      </c>
      <c r="AN66" s="357">
        <f t="shared" si="21"/>
        <v>1134479.0116666672</v>
      </c>
      <c r="AO66" s="357">
        <f t="shared" si="21"/>
        <v>1134479.0116666672</v>
      </c>
      <c r="AP66" s="357">
        <f t="shared" si="21"/>
        <v>1134479.0116666672</v>
      </c>
      <c r="AQ66" s="357">
        <f t="shared" si="21"/>
        <v>1134479.0116666672</v>
      </c>
      <c r="AR66" s="357">
        <f t="shared" si="21"/>
        <v>1134479.0116666672</v>
      </c>
      <c r="AS66" s="357">
        <f t="shared" si="21"/>
        <v>1134479.0116666672</v>
      </c>
      <c r="AT66" s="357">
        <f t="shared" si="21"/>
        <v>1134479.0116666672</v>
      </c>
      <c r="AU66" s="316">
        <f t="shared" ref="AU66" si="22">SUM(AI66:AT66)</f>
        <v>13613748.140000002</v>
      </c>
      <c r="AV66" s="310">
        <f t="shared" ref="AV66" si="23">+AU66-AA66</f>
        <v>0</v>
      </c>
      <c r="AW66" s="308"/>
      <c r="AX66" s="308">
        <f>AU66*81%</f>
        <v>11027135.993400002</v>
      </c>
      <c r="AY66" s="308">
        <v>0</v>
      </c>
      <c r="AZ66" s="308">
        <f>AU66*19%</f>
        <v>2586612.1466000006</v>
      </c>
      <c r="BA66" s="308">
        <v>0</v>
      </c>
      <c r="BB66" s="309">
        <f t="shared" ref="BB66" si="24">SUM(AX66:BA66)</f>
        <v>13613748.140000002</v>
      </c>
    </row>
    <row r="67" spans="1:54" s="311" customFormat="1">
      <c r="A67" s="296" t="s">
        <v>401</v>
      </c>
      <c r="B67" s="297" t="s">
        <v>402</v>
      </c>
      <c r="C67" s="297" t="s">
        <v>402</v>
      </c>
      <c r="D67" s="297" t="s">
        <v>539</v>
      </c>
      <c r="E67" s="297">
        <v>943</v>
      </c>
      <c r="F67" s="298">
        <v>7673</v>
      </c>
      <c r="G67" s="296" t="s">
        <v>403</v>
      </c>
      <c r="H67" s="296" t="s">
        <v>540</v>
      </c>
      <c r="I67" s="296" t="s">
        <v>504</v>
      </c>
      <c r="J67" s="296" t="s">
        <v>406</v>
      </c>
      <c r="K67" s="296" t="s">
        <v>407</v>
      </c>
      <c r="L67" s="296" t="s">
        <v>408</v>
      </c>
      <c r="M67" s="296" t="s">
        <v>409</v>
      </c>
      <c r="N67" s="299" t="s">
        <v>410</v>
      </c>
      <c r="O67" s="296" t="s">
        <v>411</v>
      </c>
      <c r="P67" s="296" t="s">
        <v>412</v>
      </c>
      <c r="Q67" s="300">
        <v>0.91</v>
      </c>
      <c r="R67" s="296" t="s">
        <v>541</v>
      </c>
      <c r="S67" s="296" t="s">
        <v>542</v>
      </c>
      <c r="T67" s="297" t="s">
        <v>543</v>
      </c>
      <c r="U67" s="296" t="s">
        <v>544</v>
      </c>
      <c r="V67" s="297">
        <v>3</v>
      </c>
      <c r="W67" s="297">
        <v>4</v>
      </c>
      <c r="X67" s="297">
        <v>240</v>
      </c>
      <c r="Y67" s="302" t="s">
        <v>478</v>
      </c>
      <c r="Z67" s="303" t="s">
        <v>417</v>
      </c>
      <c r="AA67" s="373">
        <f>5500000*91%</f>
        <v>5005000</v>
      </c>
      <c r="AB67" s="304">
        <f>687500*91%</f>
        <v>625625</v>
      </c>
      <c r="AC67" s="303" t="s">
        <v>545</v>
      </c>
      <c r="AD67" s="303" t="s">
        <v>546</v>
      </c>
      <c r="AE67" s="305"/>
      <c r="AF67" s="306"/>
      <c r="AG67" s="307"/>
      <c r="AH67" s="308"/>
      <c r="AI67" s="352">
        <v>0</v>
      </c>
      <c r="AJ67" s="352">
        <v>0</v>
      </c>
      <c r="AK67" s="352">
        <v>0</v>
      </c>
      <c r="AL67" s="352">
        <v>0</v>
      </c>
      <c r="AM67" s="354">
        <f t="shared" ref="AM67:AT67" si="25">687500*91%</f>
        <v>625625</v>
      </c>
      <c r="AN67" s="354">
        <f t="shared" si="25"/>
        <v>625625</v>
      </c>
      <c r="AO67" s="354">
        <f t="shared" si="25"/>
        <v>625625</v>
      </c>
      <c r="AP67" s="354">
        <f t="shared" si="25"/>
        <v>625625</v>
      </c>
      <c r="AQ67" s="354">
        <f t="shared" si="25"/>
        <v>625625</v>
      </c>
      <c r="AR67" s="354">
        <f t="shared" si="25"/>
        <v>625625</v>
      </c>
      <c r="AS67" s="354">
        <f t="shared" si="25"/>
        <v>625625</v>
      </c>
      <c r="AT67" s="354">
        <f t="shared" si="25"/>
        <v>625625</v>
      </c>
      <c r="AU67" s="316">
        <f t="shared" si="3"/>
        <v>5005000</v>
      </c>
      <c r="AV67" s="310">
        <f t="shared" si="4"/>
        <v>0</v>
      </c>
      <c r="AW67" s="308"/>
      <c r="AX67" s="308">
        <f>AU67*91%</f>
        <v>4554550</v>
      </c>
      <c r="AY67" s="308">
        <v>0</v>
      </c>
      <c r="AZ67" s="308">
        <f>AU67*9%</f>
        <v>450450</v>
      </c>
      <c r="BA67" s="308">
        <v>0</v>
      </c>
      <c r="BB67" s="309">
        <f t="shared" si="6"/>
        <v>5005000</v>
      </c>
    </row>
    <row r="68" spans="1:54" s="311" customFormat="1" hidden="1">
      <c r="A68" s="296" t="s">
        <v>401</v>
      </c>
      <c r="B68" s="297" t="s">
        <v>402</v>
      </c>
      <c r="C68" s="297" t="s">
        <v>402</v>
      </c>
      <c r="D68" s="297" t="s">
        <v>539</v>
      </c>
      <c r="E68" s="297">
        <v>943</v>
      </c>
      <c r="F68" s="298">
        <v>7673</v>
      </c>
      <c r="G68" s="296" t="s">
        <v>403</v>
      </c>
      <c r="H68" s="296" t="s">
        <v>540</v>
      </c>
      <c r="I68" s="296" t="s">
        <v>504</v>
      </c>
      <c r="J68" s="296" t="s">
        <v>406</v>
      </c>
      <c r="K68" s="296" t="s">
        <v>407</v>
      </c>
      <c r="L68" s="296" t="s">
        <v>408</v>
      </c>
      <c r="M68" s="296" t="s">
        <v>409</v>
      </c>
      <c r="N68" s="299" t="s">
        <v>410</v>
      </c>
      <c r="O68" s="296" t="s">
        <v>411</v>
      </c>
      <c r="P68" s="296" t="s">
        <v>437</v>
      </c>
      <c r="Q68" s="300">
        <v>0.09</v>
      </c>
      <c r="R68" s="296" t="s">
        <v>541</v>
      </c>
      <c r="S68" s="296" t="s">
        <v>542</v>
      </c>
      <c r="T68" s="297" t="s">
        <v>543</v>
      </c>
      <c r="U68" s="296" t="s">
        <v>544</v>
      </c>
      <c r="V68" s="297">
        <v>3</v>
      </c>
      <c r="W68" s="297">
        <v>4</v>
      </c>
      <c r="X68" s="297">
        <v>240</v>
      </c>
      <c r="Y68" s="302" t="s">
        <v>478</v>
      </c>
      <c r="Z68" s="303" t="s">
        <v>417</v>
      </c>
      <c r="AA68" s="304">
        <f>5500000*9%</f>
        <v>495000</v>
      </c>
      <c r="AB68" s="304">
        <f>687500*9%</f>
        <v>61875</v>
      </c>
      <c r="AC68" s="303" t="s">
        <v>545</v>
      </c>
      <c r="AD68" s="303" t="s">
        <v>546</v>
      </c>
      <c r="AE68" s="305"/>
      <c r="AF68" s="306"/>
      <c r="AG68" s="307"/>
      <c r="AH68" s="307"/>
      <c r="AI68" s="352">
        <v>0</v>
      </c>
      <c r="AJ68" s="352">
        <v>0</v>
      </c>
      <c r="AK68" s="352">
        <v>0</v>
      </c>
      <c r="AL68" s="352">
        <v>0</v>
      </c>
      <c r="AM68" s="357">
        <f t="shared" ref="AM68:AT68" si="26">687500*9%</f>
        <v>61875</v>
      </c>
      <c r="AN68" s="357">
        <f t="shared" si="26"/>
        <v>61875</v>
      </c>
      <c r="AO68" s="357">
        <f t="shared" si="26"/>
        <v>61875</v>
      </c>
      <c r="AP68" s="357">
        <f t="shared" si="26"/>
        <v>61875</v>
      </c>
      <c r="AQ68" s="357">
        <f t="shared" si="26"/>
        <v>61875</v>
      </c>
      <c r="AR68" s="357">
        <f t="shared" si="26"/>
        <v>61875</v>
      </c>
      <c r="AS68" s="357">
        <f t="shared" si="26"/>
        <v>61875</v>
      </c>
      <c r="AT68" s="357">
        <f t="shared" si="26"/>
        <v>61875</v>
      </c>
      <c r="AU68" s="316">
        <f t="shared" ref="AU68" si="27">SUM(AI68:AT68)</f>
        <v>495000</v>
      </c>
      <c r="AV68" s="310">
        <f t="shared" ref="AV68" si="28">+AU68-AA68</f>
        <v>0</v>
      </c>
      <c r="AW68" s="308"/>
      <c r="AX68" s="308">
        <f>AU68*91%</f>
        <v>450450</v>
      </c>
      <c r="AY68" s="308">
        <v>0</v>
      </c>
      <c r="AZ68" s="308">
        <f>AU68*9%</f>
        <v>44550</v>
      </c>
      <c r="BA68" s="308">
        <v>0</v>
      </c>
      <c r="BB68" s="309">
        <f t="shared" ref="BB68" si="29">SUM(AX68:BA68)</f>
        <v>495000</v>
      </c>
    </row>
    <row r="69" spans="1:54" s="272" customFormat="1">
      <c r="A69" s="262" t="s">
        <v>401</v>
      </c>
      <c r="B69" s="263" t="s">
        <v>402</v>
      </c>
      <c r="C69" s="263" t="s">
        <v>402</v>
      </c>
      <c r="D69" s="263" t="s">
        <v>547</v>
      </c>
      <c r="E69" s="263">
        <v>945</v>
      </c>
      <c r="F69" s="264">
        <v>7673</v>
      </c>
      <c r="G69" s="262" t="s">
        <v>403</v>
      </c>
      <c r="H69" s="262" t="s">
        <v>548</v>
      </c>
      <c r="I69" s="262" t="s">
        <v>481</v>
      </c>
      <c r="J69" s="262" t="s">
        <v>406</v>
      </c>
      <c r="K69" s="262" t="s">
        <v>407</v>
      </c>
      <c r="L69" s="262" t="s">
        <v>408</v>
      </c>
      <c r="M69" s="262" t="s">
        <v>409</v>
      </c>
      <c r="N69" s="274" t="s">
        <v>410</v>
      </c>
      <c r="O69" s="262" t="s">
        <v>411</v>
      </c>
      <c r="P69" s="262" t="s">
        <v>412</v>
      </c>
      <c r="Q69" s="265">
        <v>1</v>
      </c>
      <c r="R69" s="262" t="s">
        <v>549</v>
      </c>
      <c r="S69" s="262" t="s">
        <v>550</v>
      </c>
      <c r="T69" s="263">
        <v>82101905</v>
      </c>
      <c r="U69" s="262" t="s">
        <v>551</v>
      </c>
      <c r="V69" s="263">
        <v>5</v>
      </c>
      <c r="W69" s="263">
        <v>8</v>
      </c>
      <c r="X69" s="263">
        <v>360</v>
      </c>
      <c r="Y69" s="275" t="s">
        <v>469</v>
      </c>
      <c r="Z69" s="266" t="s">
        <v>417</v>
      </c>
      <c r="AA69" s="373">
        <v>10550000</v>
      </c>
      <c r="AB69" s="267">
        <v>879166.66666666698</v>
      </c>
      <c r="AC69" s="266" t="s">
        <v>552</v>
      </c>
      <c r="AD69" s="266" t="s">
        <v>553</v>
      </c>
      <c r="AE69" s="268"/>
      <c r="AF69" s="269"/>
      <c r="AG69" s="276"/>
      <c r="AH69" s="293"/>
      <c r="AI69" s="348">
        <v>0</v>
      </c>
      <c r="AJ69" s="348">
        <v>0</v>
      </c>
      <c r="AK69" s="349">
        <v>0</v>
      </c>
      <c r="AL69" s="349">
        <v>0</v>
      </c>
      <c r="AM69" s="349">
        <v>0</v>
      </c>
      <c r="AN69" s="349">
        <v>0</v>
      </c>
      <c r="AO69" s="349">
        <f t="shared" ref="AO69:AT69" si="30">879166.666666667*2</f>
        <v>1758333.333333334</v>
      </c>
      <c r="AP69" s="349">
        <f t="shared" si="30"/>
        <v>1758333.333333334</v>
      </c>
      <c r="AQ69" s="349">
        <f t="shared" si="30"/>
        <v>1758333.333333334</v>
      </c>
      <c r="AR69" s="349">
        <f t="shared" si="30"/>
        <v>1758333.333333334</v>
      </c>
      <c r="AS69" s="349">
        <f t="shared" si="30"/>
        <v>1758333.333333334</v>
      </c>
      <c r="AT69" s="349">
        <f t="shared" si="30"/>
        <v>1758333.333333334</v>
      </c>
      <c r="AU69" s="315">
        <f t="shared" si="3"/>
        <v>10550000.000000004</v>
      </c>
      <c r="AV69" s="295">
        <f t="shared" si="4"/>
        <v>0</v>
      </c>
      <c r="AW69" s="293"/>
      <c r="AX69" s="293">
        <f>AU69</f>
        <v>10550000.000000004</v>
      </c>
      <c r="AY69" s="293">
        <v>0</v>
      </c>
      <c r="AZ69" s="293">
        <v>0</v>
      </c>
      <c r="BA69" s="293">
        <v>0</v>
      </c>
      <c r="BB69" s="294">
        <f t="shared" si="6"/>
        <v>10550000.000000004</v>
      </c>
    </row>
    <row r="70" spans="1:54" s="272" customFormat="1" hidden="1">
      <c r="A70" s="262" t="s">
        <v>401</v>
      </c>
      <c r="B70" s="263" t="s">
        <v>402</v>
      </c>
      <c r="C70" s="263" t="s">
        <v>402</v>
      </c>
      <c r="D70" s="263" t="s">
        <v>554</v>
      </c>
      <c r="E70" s="263">
        <v>946</v>
      </c>
      <c r="F70" s="264">
        <v>7673</v>
      </c>
      <c r="G70" s="262" t="s">
        <v>403</v>
      </c>
      <c r="H70" s="262" t="s">
        <v>555</v>
      </c>
      <c r="I70" s="262" t="s">
        <v>556</v>
      </c>
      <c r="J70" s="262" t="s">
        <v>406</v>
      </c>
      <c r="K70" s="262" t="s">
        <v>407</v>
      </c>
      <c r="L70" s="262" t="s">
        <v>408</v>
      </c>
      <c r="M70" s="262" t="s">
        <v>409</v>
      </c>
      <c r="N70" s="262" t="s">
        <v>410</v>
      </c>
      <c r="O70" s="262" t="s">
        <v>436</v>
      </c>
      <c r="P70" s="262" t="s">
        <v>437</v>
      </c>
      <c r="Q70" s="265">
        <v>1</v>
      </c>
      <c r="R70" s="262" t="s">
        <v>557</v>
      </c>
      <c r="S70" s="262" t="s">
        <v>558</v>
      </c>
      <c r="T70" s="263" t="s">
        <v>559</v>
      </c>
      <c r="U70" s="262" t="s">
        <v>560</v>
      </c>
      <c r="V70" s="263">
        <v>2</v>
      </c>
      <c r="W70" s="263">
        <v>2</v>
      </c>
      <c r="X70" s="263">
        <v>315</v>
      </c>
      <c r="Y70" s="262" t="s">
        <v>509</v>
      </c>
      <c r="Z70" s="266" t="s">
        <v>417</v>
      </c>
      <c r="AA70" s="373">
        <v>8000000</v>
      </c>
      <c r="AB70" s="267">
        <v>761904.76190476189</v>
      </c>
      <c r="AC70" s="266" t="s">
        <v>561</v>
      </c>
      <c r="AD70" s="266" t="s">
        <v>501</v>
      </c>
      <c r="AE70" s="268"/>
      <c r="AF70" s="269"/>
      <c r="AG70" s="276"/>
      <c r="AH70" s="276"/>
      <c r="AI70" s="348">
        <v>0</v>
      </c>
      <c r="AJ70" s="348">
        <v>0</v>
      </c>
      <c r="AK70" s="349">
        <v>0</v>
      </c>
      <c r="AL70" s="349">
        <v>0</v>
      </c>
      <c r="AM70" s="349">
        <v>0</v>
      </c>
      <c r="AN70" s="349">
        <v>1000000</v>
      </c>
      <c r="AO70" s="349">
        <v>1000000</v>
      </c>
      <c r="AP70" s="349">
        <v>1000000</v>
      </c>
      <c r="AQ70" s="349">
        <v>1000000</v>
      </c>
      <c r="AR70" s="349">
        <v>1000000</v>
      </c>
      <c r="AS70" s="349">
        <v>1000000</v>
      </c>
      <c r="AT70" s="349">
        <v>2000000</v>
      </c>
      <c r="AU70" s="315">
        <f t="shared" si="3"/>
        <v>8000000</v>
      </c>
      <c r="AV70" s="295">
        <f t="shared" si="4"/>
        <v>0</v>
      </c>
      <c r="AW70" s="293"/>
      <c r="AX70" s="293">
        <v>0</v>
      </c>
      <c r="AY70" s="293">
        <v>0</v>
      </c>
      <c r="AZ70" s="293">
        <f>AU70</f>
        <v>8000000</v>
      </c>
      <c r="BA70" s="293">
        <v>0</v>
      </c>
      <c r="BB70" s="294">
        <f t="shared" si="6"/>
        <v>8000000</v>
      </c>
    </row>
    <row r="71" spans="1:54" s="338" customFormat="1">
      <c r="A71" s="324" t="s">
        <v>401</v>
      </c>
      <c r="B71" s="325" t="s">
        <v>402</v>
      </c>
      <c r="C71" s="325" t="s">
        <v>402</v>
      </c>
      <c r="D71" s="325" t="s">
        <v>562</v>
      </c>
      <c r="E71" s="325">
        <v>952</v>
      </c>
      <c r="F71" s="326">
        <v>7673</v>
      </c>
      <c r="G71" s="324" t="s">
        <v>403</v>
      </c>
      <c r="H71" s="324" t="s">
        <v>563</v>
      </c>
      <c r="I71" s="324" t="s">
        <v>473</v>
      </c>
      <c r="J71" s="324" t="s">
        <v>406</v>
      </c>
      <c r="K71" s="324" t="s">
        <v>407</v>
      </c>
      <c r="L71" s="324" t="s">
        <v>408</v>
      </c>
      <c r="M71" s="324" t="s">
        <v>409</v>
      </c>
      <c r="N71" s="324" t="s">
        <v>410</v>
      </c>
      <c r="O71" s="324" t="s">
        <v>411</v>
      </c>
      <c r="P71" s="339" t="s">
        <v>412</v>
      </c>
      <c r="Q71" s="327">
        <v>1</v>
      </c>
      <c r="R71" s="328" t="s">
        <v>564</v>
      </c>
      <c r="S71" s="340" t="s">
        <v>565</v>
      </c>
      <c r="T71" s="325" t="s">
        <v>566</v>
      </c>
      <c r="U71" s="324" t="s">
        <v>567</v>
      </c>
      <c r="V71" s="325">
        <v>3</v>
      </c>
      <c r="W71" s="341">
        <v>5</v>
      </c>
      <c r="X71" s="325">
        <v>30</v>
      </c>
      <c r="Y71" s="324" t="s">
        <v>509</v>
      </c>
      <c r="Z71" s="342" t="s">
        <v>417</v>
      </c>
      <c r="AA71" s="375">
        <v>92608376</v>
      </c>
      <c r="AB71" s="329">
        <v>92608376</v>
      </c>
      <c r="AC71" s="328" t="s">
        <v>568</v>
      </c>
      <c r="AD71" s="328" t="s">
        <v>471</v>
      </c>
      <c r="AE71" s="330"/>
      <c r="AF71" s="331"/>
      <c r="AG71" s="332"/>
      <c r="AH71" s="333"/>
      <c r="AI71" s="350">
        <v>0</v>
      </c>
      <c r="AJ71" s="350">
        <v>0</v>
      </c>
      <c r="AK71" s="351">
        <v>0</v>
      </c>
      <c r="AL71" s="351">
        <v>0</v>
      </c>
      <c r="AM71" s="351">
        <v>0</v>
      </c>
      <c r="AN71" s="351">
        <v>0</v>
      </c>
      <c r="AO71" s="351">
        <v>0</v>
      </c>
      <c r="AP71" s="351">
        <v>0</v>
      </c>
      <c r="AQ71" s="351">
        <v>0</v>
      </c>
      <c r="AR71" s="351">
        <v>0</v>
      </c>
      <c r="AS71" s="351">
        <v>92608376</v>
      </c>
      <c r="AT71" s="351">
        <v>0</v>
      </c>
      <c r="AU71" s="334">
        <f t="shared" si="3"/>
        <v>92608376</v>
      </c>
      <c r="AV71" s="335">
        <f t="shared" si="4"/>
        <v>0</v>
      </c>
      <c r="AW71" s="336"/>
      <c r="AX71" s="336">
        <f>AU71</f>
        <v>92608376</v>
      </c>
      <c r="AY71" s="336">
        <v>0</v>
      </c>
      <c r="AZ71" s="336">
        <v>0</v>
      </c>
      <c r="BA71" s="336">
        <v>0</v>
      </c>
      <c r="BB71" s="337">
        <f t="shared" si="6"/>
        <v>92608376</v>
      </c>
    </row>
    <row r="72" spans="1:54" s="272" customFormat="1" hidden="1">
      <c r="A72" s="262" t="s">
        <v>401</v>
      </c>
      <c r="B72" s="263" t="s">
        <v>402</v>
      </c>
      <c r="C72" s="263" t="s">
        <v>402</v>
      </c>
      <c r="D72" s="263">
        <v>952</v>
      </c>
      <c r="E72" s="263">
        <v>931</v>
      </c>
      <c r="F72" s="264">
        <v>7673</v>
      </c>
      <c r="G72" s="262" t="s">
        <v>403</v>
      </c>
      <c r="H72" s="262" t="s">
        <v>569</v>
      </c>
      <c r="I72" s="262" t="s">
        <v>481</v>
      </c>
      <c r="J72" s="262" t="s">
        <v>406</v>
      </c>
      <c r="K72" s="262" t="s">
        <v>407</v>
      </c>
      <c r="L72" s="262" t="s">
        <v>408</v>
      </c>
      <c r="M72" s="262" t="s">
        <v>409</v>
      </c>
      <c r="N72" s="262" t="s">
        <v>410</v>
      </c>
      <c r="O72" s="262" t="s">
        <v>436</v>
      </c>
      <c r="P72" s="262" t="s">
        <v>570</v>
      </c>
      <c r="Q72" s="265">
        <v>1</v>
      </c>
      <c r="R72" s="262" t="s">
        <v>571</v>
      </c>
      <c r="S72" s="262" t="s">
        <v>572</v>
      </c>
      <c r="T72" s="262">
        <v>93141501</v>
      </c>
      <c r="U72" s="262" t="s">
        <v>573</v>
      </c>
      <c r="V72" s="263">
        <v>3</v>
      </c>
      <c r="W72" s="263">
        <v>7</v>
      </c>
      <c r="X72" s="263">
        <v>210</v>
      </c>
      <c r="Y72" s="275" t="s">
        <v>416</v>
      </c>
      <c r="Z72" s="266" t="s">
        <v>574</v>
      </c>
      <c r="AA72" s="278">
        <v>1076000000</v>
      </c>
      <c r="AB72" s="267">
        <v>153714285.714286</v>
      </c>
      <c r="AC72" s="266" t="s">
        <v>575</v>
      </c>
      <c r="AD72" s="279" t="s">
        <v>440</v>
      </c>
      <c r="AE72" s="280"/>
      <c r="AF72" s="269"/>
      <c r="AG72" s="271"/>
      <c r="AH72" s="270"/>
      <c r="AI72" s="348">
        <v>0</v>
      </c>
      <c r="AJ72" s="348">
        <v>0</v>
      </c>
      <c r="AK72" s="348">
        <v>0</v>
      </c>
      <c r="AL72" s="348">
        <v>0</v>
      </c>
      <c r="AM72" s="349">
        <v>0</v>
      </c>
      <c r="AN72" s="349">
        <v>153714285.7142857</v>
      </c>
      <c r="AO72" s="349">
        <v>153714285.7142857</v>
      </c>
      <c r="AP72" s="349">
        <v>153714285.7142857</v>
      </c>
      <c r="AQ72" s="349">
        <v>153714285.7142857</v>
      </c>
      <c r="AR72" s="349">
        <v>153714285.7142857</v>
      </c>
      <c r="AS72" s="349">
        <v>153714285.7142857</v>
      </c>
      <c r="AT72" s="349">
        <v>153714285.7142857</v>
      </c>
      <c r="AU72" s="315">
        <f t="shared" ref="AU72:AU75" si="31">SUM(AI72:AT72)</f>
        <v>1076000000</v>
      </c>
      <c r="AV72" s="295">
        <f t="shared" ref="AV72:AV74" si="32">+AU72-AA72</f>
        <v>0</v>
      </c>
      <c r="AW72" s="293"/>
      <c r="AX72" s="293">
        <v>0</v>
      </c>
      <c r="AY72" s="293">
        <v>0</v>
      </c>
      <c r="AZ72" s="293">
        <v>0</v>
      </c>
      <c r="BA72" s="293">
        <f>AU72</f>
        <v>1076000000</v>
      </c>
      <c r="BB72" s="294">
        <f t="shared" ref="BB72:BB75" si="33">SUM(AX72:BA72)</f>
        <v>1076000000</v>
      </c>
    </row>
    <row r="73" spans="1:54" hidden="1">
      <c r="A73" s="228" t="s">
        <v>401</v>
      </c>
      <c r="B73" s="229" t="s">
        <v>402</v>
      </c>
      <c r="C73" s="229" t="s">
        <v>402</v>
      </c>
      <c r="D73" s="229">
        <v>953</v>
      </c>
      <c r="E73" s="229">
        <v>958</v>
      </c>
      <c r="F73" s="231">
        <v>7673</v>
      </c>
      <c r="G73" s="228" t="s">
        <v>403</v>
      </c>
      <c r="H73" s="228" t="s">
        <v>569</v>
      </c>
      <c r="I73" s="228" t="s">
        <v>405</v>
      </c>
      <c r="J73" s="228" t="s">
        <v>406</v>
      </c>
      <c r="K73" s="228" t="s">
        <v>407</v>
      </c>
      <c r="L73" s="228" t="s">
        <v>408</v>
      </c>
      <c r="M73" s="228" t="s">
        <v>409</v>
      </c>
      <c r="N73" s="228" t="s">
        <v>410</v>
      </c>
      <c r="O73" s="228" t="s">
        <v>436</v>
      </c>
      <c r="P73" s="228" t="s">
        <v>570</v>
      </c>
      <c r="Q73" s="232">
        <v>1</v>
      </c>
      <c r="R73" s="228" t="s">
        <v>413</v>
      </c>
      <c r="S73" s="228" t="s">
        <v>414</v>
      </c>
      <c r="T73" s="228">
        <v>80111620</v>
      </c>
      <c r="U73" s="228" t="s">
        <v>576</v>
      </c>
      <c r="V73" s="229">
        <v>1</v>
      </c>
      <c r="W73" s="229">
        <v>1</v>
      </c>
      <c r="X73" s="229">
        <v>330</v>
      </c>
      <c r="Y73" s="249" t="s">
        <v>416</v>
      </c>
      <c r="Z73" s="235" t="s">
        <v>574</v>
      </c>
      <c r="AA73" s="250">
        <v>77000000</v>
      </c>
      <c r="AB73" s="236">
        <v>7000000</v>
      </c>
      <c r="AC73" s="251" t="s">
        <v>577</v>
      </c>
      <c r="AD73" s="251" t="s">
        <v>440</v>
      </c>
      <c r="AE73" s="237"/>
      <c r="AF73" s="238"/>
      <c r="AG73" s="240"/>
      <c r="AH73" s="240"/>
      <c r="AI73" s="347">
        <f t="shared" ref="AI73:AI75" si="34">AB73/30*10</f>
        <v>2333333.3333333335</v>
      </c>
      <c r="AJ73" s="347">
        <f t="shared" ref="AJ73:AJ75" si="35">AB73</f>
        <v>7000000</v>
      </c>
      <c r="AK73" s="347">
        <v>7000000</v>
      </c>
      <c r="AL73" s="347">
        <v>7000000</v>
      </c>
      <c r="AM73" s="317">
        <v>7000000</v>
      </c>
      <c r="AN73" s="317">
        <v>7000000</v>
      </c>
      <c r="AO73" s="317">
        <v>7000000</v>
      </c>
      <c r="AP73" s="317">
        <v>7000000</v>
      </c>
      <c r="AQ73" s="317">
        <v>7000000</v>
      </c>
      <c r="AR73" s="317">
        <v>7000000</v>
      </c>
      <c r="AS73" s="317">
        <v>7000000</v>
      </c>
      <c r="AT73" s="317">
        <f t="shared" ref="AT73:AT75" si="36">AB73/30*20</f>
        <v>4666666.666666667</v>
      </c>
      <c r="AU73" s="314">
        <f t="shared" si="31"/>
        <v>77000000.000000015</v>
      </c>
      <c r="AV73" s="291">
        <f t="shared" si="32"/>
        <v>0</v>
      </c>
      <c r="AX73" s="288">
        <v>0</v>
      </c>
      <c r="AY73" s="288">
        <v>0</v>
      </c>
      <c r="AZ73" s="288">
        <v>0</v>
      </c>
      <c r="BA73" s="288">
        <f>AU73</f>
        <v>77000000.000000015</v>
      </c>
      <c r="BB73" s="287">
        <f t="shared" si="33"/>
        <v>77000000.000000015</v>
      </c>
    </row>
    <row r="74" spans="1:54" hidden="1">
      <c r="A74" s="228" t="s">
        <v>578</v>
      </c>
      <c r="B74" s="229" t="s">
        <v>402</v>
      </c>
      <c r="C74" s="229" t="s">
        <v>402</v>
      </c>
      <c r="D74" s="229"/>
      <c r="E74" s="229">
        <v>959</v>
      </c>
      <c r="F74" s="231">
        <v>7673</v>
      </c>
      <c r="G74" s="228" t="s">
        <v>403</v>
      </c>
      <c r="H74" s="228" t="s">
        <v>569</v>
      </c>
      <c r="I74" s="228" t="s">
        <v>405</v>
      </c>
      <c r="J74" s="228" t="s">
        <v>406</v>
      </c>
      <c r="K74" s="228" t="s">
        <v>407</v>
      </c>
      <c r="L74" s="228" t="s">
        <v>408</v>
      </c>
      <c r="M74" s="228" t="s">
        <v>409</v>
      </c>
      <c r="N74" s="228" t="s">
        <v>410</v>
      </c>
      <c r="O74" s="228" t="s">
        <v>436</v>
      </c>
      <c r="P74" s="228" t="s">
        <v>570</v>
      </c>
      <c r="Q74" s="232">
        <v>1</v>
      </c>
      <c r="R74" s="228" t="s">
        <v>413</v>
      </c>
      <c r="S74" s="228" t="s">
        <v>414</v>
      </c>
      <c r="T74" s="228">
        <v>80111620</v>
      </c>
      <c r="U74" s="228" t="s">
        <v>579</v>
      </c>
      <c r="V74" s="229">
        <v>1</v>
      </c>
      <c r="W74" s="229">
        <v>1</v>
      </c>
      <c r="X74" s="229">
        <v>330</v>
      </c>
      <c r="Y74" s="249" t="s">
        <v>416</v>
      </c>
      <c r="Z74" s="235" t="s">
        <v>574</v>
      </c>
      <c r="AA74" s="250">
        <v>77000000</v>
      </c>
      <c r="AB74" s="236">
        <v>7000000</v>
      </c>
      <c r="AC74" s="251" t="s">
        <v>580</v>
      </c>
      <c r="AD74" s="251" t="s">
        <v>440</v>
      </c>
      <c r="AE74" s="237"/>
      <c r="AF74" s="238"/>
      <c r="AG74" s="240"/>
      <c r="AH74" s="240"/>
      <c r="AI74" s="347">
        <f t="shared" si="34"/>
        <v>2333333.3333333335</v>
      </c>
      <c r="AJ74" s="347">
        <f t="shared" si="35"/>
        <v>7000000</v>
      </c>
      <c r="AK74" s="347">
        <v>7000000</v>
      </c>
      <c r="AL74" s="347">
        <v>7000000</v>
      </c>
      <c r="AM74" s="317">
        <v>7000000</v>
      </c>
      <c r="AN74" s="317">
        <v>7000000</v>
      </c>
      <c r="AO74" s="317">
        <v>7000000</v>
      </c>
      <c r="AP74" s="317">
        <v>7000000</v>
      </c>
      <c r="AQ74" s="317">
        <v>7000000</v>
      </c>
      <c r="AR74" s="317">
        <v>7000000</v>
      </c>
      <c r="AS74" s="317">
        <v>7000000</v>
      </c>
      <c r="AT74" s="317">
        <f t="shared" si="36"/>
        <v>4666666.666666667</v>
      </c>
      <c r="AU74" s="314">
        <f t="shared" si="31"/>
        <v>77000000.000000015</v>
      </c>
      <c r="AV74" s="291">
        <f t="shared" si="32"/>
        <v>0</v>
      </c>
      <c r="AX74" s="288">
        <v>0</v>
      </c>
      <c r="AY74" s="288">
        <v>0</v>
      </c>
      <c r="AZ74" s="288">
        <v>0</v>
      </c>
      <c r="BA74" s="288">
        <f>AU74</f>
        <v>77000000.000000015</v>
      </c>
      <c r="BB74" s="287">
        <f t="shared" si="33"/>
        <v>77000000.000000015</v>
      </c>
    </row>
    <row r="75" spans="1:54">
      <c r="A75" s="252" t="s">
        <v>401</v>
      </c>
      <c r="B75" s="253" t="s">
        <v>402</v>
      </c>
      <c r="C75" s="253" t="s">
        <v>581</v>
      </c>
      <c r="D75" s="253" t="s">
        <v>582</v>
      </c>
      <c r="E75" s="230" t="s">
        <v>583</v>
      </c>
      <c r="F75" s="254">
        <v>7673</v>
      </c>
      <c r="G75" s="252" t="s">
        <v>403</v>
      </c>
      <c r="H75" s="252" t="s">
        <v>584</v>
      </c>
      <c r="I75" s="252" t="s">
        <v>481</v>
      </c>
      <c r="J75" s="252" t="s">
        <v>406</v>
      </c>
      <c r="K75" s="252" t="s">
        <v>407</v>
      </c>
      <c r="L75" s="252" t="s">
        <v>408</v>
      </c>
      <c r="M75" s="252" t="s">
        <v>409</v>
      </c>
      <c r="N75" s="252" t="s">
        <v>410</v>
      </c>
      <c r="O75" s="252" t="s">
        <v>585</v>
      </c>
      <c r="P75" s="252" t="s">
        <v>412</v>
      </c>
      <c r="Q75" s="255">
        <v>0.33</v>
      </c>
      <c r="R75" s="252" t="s">
        <v>586</v>
      </c>
      <c r="S75" s="252" t="s">
        <v>587</v>
      </c>
      <c r="T75" s="256" t="s">
        <v>113</v>
      </c>
      <c r="U75" s="257" t="s">
        <v>588</v>
      </c>
      <c r="V75" s="253" t="s">
        <v>113</v>
      </c>
      <c r="W75" s="253" t="s">
        <v>113</v>
      </c>
      <c r="X75" s="253" t="s">
        <v>113</v>
      </c>
      <c r="Y75" s="252" t="s">
        <v>589</v>
      </c>
      <c r="Z75" s="258" t="s">
        <v>590</v>
      </c>
      <c r="AA75" s="376">
        <f>150000000*33%</f>
        <v>49500000</v>
      </c>
      <c r="AB75" s="260"/>
      <c r="AC75" s="261"/>
      <c r="AD75" s="261" t="s">
        <v>591</v>
      </c>
      <c r="AE75" s="241"/>
      <c r="AF75" s="238"/>
      <c r="AG75" s="241"/>
      <c r="AH75" s="290"/>
      <c r="AI75" s="347">
        <f t="shared" si="34"/>
        <v>0</v>
      </c>
      <c r="AJ75" s="347">
        <f t="shared" si="35"/>
        <v>0</v>
      </c>
      <c r="AK75" s="355">
        <v>0</v>
      </c>
      <c r="AL75" s="355">
        <v>0</v>
      </c>
      <c r="AM75" s="317">
        <v>0</v>
      </c>
      <c r="AN75" s="317">
        <f>50000000*33%</f>
        <v>16500000</v>
      </c>
      <c r="AO75" s="317">
        <v>0</v>
      </c>
      <c r="AP75" s="317">
        <f>50000000*33%</f>
        <v>16500000</v>
      </c>
      <c r="AQ75" s="317">
        <v>0</v>
      </c>
      <c r="AR75" s="317">
        <f>50000000*33%</f>
        <v>16500000</v>
      </c>
      <c r="AS75" s="317">
        <v>0</v>
      </c>
      <c r="AT75" s="317">
        <f t="shared" si="36"/>
        <v>0</v>
      </c>
      <c r="AU75" s="314">
        <f t="shared" si="31"/>
        <v>49500000</v>
      </c>
      <c r="AV75" s="291">
        <f>+AU75-AA75</f>
        <v>0</v>
      </c>
      <c r="AX75" s="288">
        <f>AU75*33%</f>
        <v>16335000</v>
      </c>
      <c r="AY75" s="288">
        <v>0</v>
      </c>
      <c r="AZ75" s="288">
        <f>AU75*67%</f>
        <v>33165000.000000004</v>
      </c>
      <c r="BA75" s="288">
        <v>0</v>
      </c>
      <c r="BB75" s="287">
        <f t="shared" si="33"/>
        <v>49500000</v>
      </c>
    </row>
    <row r="76" spans="1:54" hidden="1">
      <c r="A76" s="252" t="s">
        <v>401</v>
      </c>
      <c r="B76" s="253" t="s">
        <v>402</v>
      </c>
      <c r="C76" s="253" t="s">
        <v>581</v>
      </c>
      <c r="D76" s="253" t="s">
        <v>582</v>
      </c>
      <c r="E76" s="230" t="s">
        <v>583</v>
      </c>
      <c r="F76" s="254">
        <v>7673</v>
      </c>
      <c r="G76" s="252" t="s">
        <v>403</v>
      </c>
      <c r="H76" s="252" t="s">
        <v>584</v>
      </c>
      <c r="I76" s="252" t="s">
        <v>481</v>
      </c>
      <c r="J76" s="252" t="s">
        <v>406</v>
      </c>
      <c r="K76" s="252" t="s">
        <v>407</v>
      </c>
      <c r="L76" s="252" t="s">
        <v>408</v>
      </c>
      <c r="M76" s="252" t="s">
        <v>409</v>
      </c>
      <c r="N76" s="252" t="s">
        <v>410</v>
      </c>
      <c r="O76" s="252" t="s">
        <v>585</v>
      </c>
      <c r="P76" s="252" t="s">
        <v>437</v>
      </c>
      <c r="Q76" s="255">
        <v>0.67</v>
      </c>
      <c r="R76" s="252" t="s">
        <v>586</v>
      </c>
      <c r="S76" s="252" t="s">
        <v>587</v>
      </c>
      <c r="T76" s="256" t="s">
        <v>113</v>
      </c>
      <c r="U76" s="257" t="s">
        <v>588</v>
      </c>
      <c r="V76" s="253" t="s">
        <v>113</v>
      </c>
      <c r="W76" s="253" t="s">
        <v>113</v>
      </c>
      <c r="X76" s="253" t="s">
        <v>113</v>
      </c>
      <c r="Y76" s="252" t="s">
        <v>589</v>
      </c>
      <c r="Z76" s="258" t="s">
        <v>590</v>
      </c>
      <c r="AA76" s="259">
        <f>150000000*67%</f>
        <v>100500000</v>
      </c>
      <c r="AB76" s="260"/>
      <c r="AC76" s="261"/>
      <c r="AD76" s="261" t="s">
        <v>591</v>
      </c>
      <c r="AE76" s="241"/>
      <c r="AF76" s="238"/>
      <c r="AG76" s="241"/>
      <c r="AH76" s="241"/>
      <c r="AI76" s="347">
        <f t="shared" ref="AI76" si="37">AB76/30*10</f>
        <v>0</v>
      </c>
      <c r="AJ76" s="347">
        <f t="shared" ref="AJ76" si="38">AB76</f>
        <v>0</v>
      </c>
      <c r="AK76" s="355">
        <v>0</v>
      </c>
      <c r="AL76" s="355">
        <v>0</v>
      </c>
      <c r="AM76" s="317">
        <v>0</v>
      </c>
      <c r="AN76" s="317">
        <f>50000000*67%</f>
        <v>33500000.000000004</v>
      </c>
      <c r="AO76" s="317">
        <v>0</v>
      </c>
      <c r="AP76" s="317">
        <f>50000000*67%</f>
        <v>33500000.000000004</v>
      </c>
      <c r="AQ76" s="317">
        <v>0</v>
      </c>
      <c r="AR76" s="317">
        <f>50000000*67%</f>
        <v>33500000.000000004</v>
      </c>
      <c r="AS76" s="317">
        <v>0</v>
      </c>
      <c r="AT76" s="317">
        <f t="shared" ref="AT76" si="39">AB76/30*20</f>
        <v>0</v>
      </c>
      <c r="AU76" s="314">
        <f t="shared" ref="AU76:AU77" si="40">SUM(AI76:AT76)</f>
        <v>100500000.00000001</v>
      </c>
      <c r="AV76" s="291">
        <f>+AU76-AA76</f>
        <v>0</v>
      </c>
      <c r="AX76" s="288">
        <f>AU76*33%</f>
        <v>33165000.000000007</v>
      </c>
      <c r="AY76" s="288">
        <v>0</v>
      </c>
      <c r="AZ76" s="288">
        <f>AU76*67%</f>
        <v>67335000.000000015</v>
      </c>
      <c r="BA76" s="288">
        <v>0</v>
      </c>
      <c r="BB76" s="287">
        <f t="shared" ref="BB76:BB77" si="41">SUM(AX76:BA76)</f>
        <v>100500000.00000003</v>
      </c>
    </row>
    <row r="77" spans="1:54" s="281" customFormat="1">
      <c r="A77"/>
      <c r="B77"/>
      <c r="C77"/>
      <c r="D77"/>
      <c r="E77"/>
      <c r="F77"/>
      <c r="G77"/>
      <c r="H77"/>
      <c r="I77"/>
      <c r="J77"/>
      <c r="K77"/>
      <c r="L77"/>
      <c r="M77"/>
      <c r="N77"/>
      <c r="O77"/>
      <c r="P77" s="252" t="s">
        <v>412</v>
      </c>
      <c r="Q77" s="343">
        <v>1</v>
      </c>
      <c r="R77"/>
      <c r="S77"/>
      <c r="T77"/>
      <c r="U77"/>
      <c r="V77"/>
      <c r="W77"/>
      <c r="X77"/>
      <c r="Y77"/>
      <c r="Z77"/>
      <c r="AA77" s="377">
        <v>14783248</v>
      </c>
      <c r="AC77" s="344" t="s">
        <v>592</v>
      </c>
      <c r="AD77"/>
      <c r="AE77"/>
      <c r="AF77"/>
      <c r="AG77"/>
      <c r="AH77"/>
      <c r="AI77" s="317">
        <v>0</v>
      </c>
      <c r="AJ77" s="317">
        <v>0</v>
      </c>
      <c r="AK77" s="317">
        <v>0</v>
      </c>
      <c r="AL77" s="317">
        <v>0</v>
      </c>
      <c r="AM77" s="317">
        <v>0</v>
      </c>
      <c r="AN77" s="317">
        <v>0</v>
      </c>
      <c r="AO77" s="317">
        <v>0</v>
      </c>
      <c r="AP77" s="317">
        <v>0</v>
      </c>
      <c r="AQ77" s="317">
        <v>14783248</v>
      </c>
      <c r="AR77" s="317">
        <v>0</v>
      </c>
      <c r="AS77" s="317">
        <v>0</v>
      </c>
      <c r="AT77" s="317">
        <v>0</v>
      </c>
      <c r="AU77" s="314">
        <f t="shared" si="40"/>
        <v>14783248</v>
      </c>
      <c r="AV77" s="287"/>
      <c r="AW77" s="287"/>
      <c r="AX77" s="317">
        <f>+AU77</f>
        <v>14783248</v>
      </c>
      <c r="AY77" s="288">
        <v>0</v>
      </c>
      <c r="AZ77" s="288">
        <v>0</v>
      </c>
      <c r="BA77" s="288">
        <v>0</v>
      </c>
      <c r="BB77" s="287">
        <f t="shared" si="41"/>
        <v>14783248</v>
      </c>
    </row>
    <row r="78" spans="1:54" s="281" customFormat="1" hidden="1">
      <c r="A78"/>
      <c r="B78"/>
      <c r="C78"/>
      <c r="D78"/>
      <c r="E78"/>
      <c r="F78"/>
      <c r="G78"/>
      <c r="H78"/>
      <c r="I78"/>
      <c r="J78"/>
      <c r="K78"/>
      <c r="L78"/>
      <c r="M78"/>
      <c r="N78"/>
      <c r="O78"/>
      <c r="P78" s="346"/>
      <c r="Q78" s="343"/>
      <c r="R78"/>
      <c r="S78"/>
      <c r="T78"/>
      <c r="U78"/>
      <c r="V78"/>
      <c r="W78"/>
      <c r="X78"/>
      <c r="Y78"/>
      <c r="Z78"/>
      <c r="AA78" s="345">
        <f>SUM(AA2:AA77)</f>
        <v>5425259000</v>
      </c>
      <c r="AC78" s="344"/>
      <c r="AD78"/>
      <c r="AE78"/>
      <c r="AF78"/>
      <c r="AG78"/>
      <c r="AH78"/>
      <c r="AI78" s="359">
        <f>SUM(AI2:AI77)</f>
        <v>144889000.00000006</v>
      </c>
      <c r="AJ78" s="359">
        <f t="shared" ref="AJ78:AT78" si="42">SUM(AJ2:AJ77)</f>
        <v>316828333.33333337</v>
      </c>
      <c r="AK78" s="359">
        <f t="shared" si="42"/>
        <v>316828333.33333337</v>
      </c>
      <c r="AL78" s="359">
        <f t="shared" si="42"/>
        <v>316828333.33333337</v>
      </c>
      <c r="AM78" s="359">
        <f t="shared" si="42"/>
        <v>317515833.33333337</v>
      </c>
      <c r="AN78" s="359">
        <f t="shared" si="42"/>
        <v>552017333.33333337</v>
      </c>
      <c r="AO78" s="359">
        <f t="shared" si="42"/>
        <v>507109000</v>
      </c>
      <c r="AP78" s="359">
        <f t="shared" si="42"/>
        <v>631013600</v>
      </c>
      <c r="AQ78" s="359">
        <f t="shared" si="42"/>
        <v>521892248</v>
      </c>
      <c r="AR78" s="359">
        <f t="shared" si="42"/>
        <v>705145826</v>
      </c>
      <c r="AS78" s="359">
        <f t="shared" si="42"/>
        <v>605256376</v>
      </c>
      <c r="AT78" s="359">
        <f t="shared" si="42"/>
        <v>489934783.33333349</v>
      </c>
      <c r="AU78" s="359">
        <f>SUM(AI78:AT78)</f>
        <v>5425259000</v>
      </c>
      <c r="AV78" s="287"/>
      <c r="AW78" s="287"/>
      <c r="AX78" s="288"/>
      <c r="AY78" s="288"/>
      <c r="AZ78" s="288"/>
      <c r="BA78" s="288"/>
      <c r="BB78" s="322">
        <f>SUM(BB2:BB77)</f>
        <v>5425259000</v>
      </c>
    </row>
    <row r="79" spans="1:54">
      <c r="AI79" s="360" t="s">
        <v>62</v>
      </c>
      <c r="AJ79" s="360" t="s">
        <v>63</v>
      </c>
      <c r="AK79" s="360" t="s">
        <v>387</v>
      </c>
      <c r="AL79" s="360" t="s">
        <v>388</v>
      </c>
      <c r="AM79" s="360" t="s">
        <v>389</v>
      </c>
      <c r="AN79" s="360" t="s">
        <v>390</v>
      </c>
      <c r="AO79" s="360" t="s">
        <v>391</v>
      </c>
      <c r="AP79" s="360" t="s">
        <v>392</v>
      </c>
      <c r="AQ79" s="360" t="s">
        <v>393</v>
      </c>
      <c r="AR79" s="360" t="s">
        <v>394</v>
      </c>
      <c r="AS79" s="360" t="s">
        <v>395</v>
      </c>
      <c r="AT79" s="360" t="s">
        <v>396</v>
      </c>
      <c r="AU79" s="359"/>
    </row>
    <row r="80" spans="1:54">
      <c r="AH80" s="288" t="s">
        <v>397</v>
      </c>
      <c r="AI80" s="313">
        <f>+AI2+AI3+AI4+AI5+AI6+AI7+AI8+AI9+AI10+AI11+AI12+AI13+AI14+AI15+AI16+AI17+AI18+AI19+AI20+AI21+AI22+AI23+AI24+AI25+AI26+AI27+AI28+AI29+AI30+AI31+AI53+AI54+AI56+AI57+AI59+AI61+AI63+AI64+AI65+AI67+AI69+AI71+AI75+AI77</f>
        <v>93098268.096666679</v>
      </c>
      <c r="AJ80" s="313">
        <f t="shared" ref="AJ80:AT80" si="43">+AJ2+AJ3+AJ4+AJ5+AJ6+AJ7+AJ8+AJ9+AJ10+AJ11+AJ12+AJ13+AJ14+AJ15+AJ16+AJ17+AJ18+AJ19+AJ20+AJ21+AJ22+AJ23+AJ24+AJ25+AJ26+AJ27+AJ28+AJ29+AJ30+AJ31+AJ53+AJ54+AJ56+AJ57+AJ59+AJ61+AJ63+AJ64+AJ65+AJ67+AJ69+AJ71+AJ75+AJ77</f>
        <v>167652934.76333335</v>
      </c>
      <c r="AK80" s="313">
        <f t="shared" si="43"/>
        <v>167652934.76333335</v>
      </c>
      <c r="AL80" s="313">
        <f t="shared" si="43"/>
        <v>167652934.76333335</v>
      </c>
      <c r="AM80" s="313">
        <f t="shared" si="43"/>
        <v>168278559.76333335</v>
      </c>
      <c r="AN80" s="313">
        <f t="shared" si="43"/>
        <v>213550774.04904768</v>
      </c>
      <c r="AO80" s="313">
        <f t="shared" si="43"/>
        <v>202142440.71571437</v>
      </c>
      <c r="AP80" s="313">
        <f t="shared" si="43"/>
        <v>218642440.71571437</v>
      </c>
      <c r="AQ80" s="313">
        <f t="shared" si="43"/>
        <v>216925688.71571437</v>
      </c>
      <c r="AR80" s="313">
        <f t="shared" si="43"/>
        <v>311250816.71571434</v>
      </c>
      <c r="AS80" s="313">
        <f t="shared" si="43"/>
        <v>300289816.71571434</v>
      </c>
      <c r="AT80" s="313">
        <f t="shared" si="43"/>
        <v>174733177.38238099</v>
      </c>
      <c r="AU80" s="316">
        <f>SUM(AI80:AT80)</f>
        <v>2401870787.1600008</v>
      </c>
      <c r="AV80" s="313">
        <v>2501937000</v>
      </c>
      <c r="AW80" s="318">
        <f>+AV80-AU80</f>
        <v>100066212.8399992</v>
      </c>
      <c r="AX80" s="313"/>
      <c r="AY80" s="313"/>
    </row>
    <row r="81" spans="1:51">
      <c r="AA81" s="358">
        <f>SUM(AA2:AA52)+AA73+AA74</f>
        <v>2997679000</v>
      </c>
      <c r="AH81" s="288" t="s">
        <v>398</v>
      </c>
      <c r="AI81" s="313">
        <f>+AI55</f>
        <v>0</v>
      </c>
      <c r="AJ81" s="313">
        <f t="shared" ref="AJ81:AT81" si="44">+AJ55</f>
        <v>0</v>
      </c>
      <c r="AK81" s="313">
        <f t="shared" si="44"/>
        <v>0</v>
      </c>
      <c r="AL81" s="313">
        <f t="shared" si="44"/>
        <v>0</v>
      </c>
      <c r="AM81" s="313">
        <f t="shared" si="44"/>
        <v>0</v>
      </c>
      <c r="AN81" s="313">
        <f t="shared" si="44"/>
        <v>0</v>
      </c>
      <c r="AO81" s="313">
        <f t="shared" si="44"/>
        <v>0</v>
      </c>
      <c r="AP81" s="313">
        <f t="shared" si="44"/>
        <v>73904600</v>
      </c>
      <c r="AQ81" s="313">
        <f t="shared" si="44"/>
        <v>0</v>
      </c>
      <c r="AR81" s="313">
        <f t="shared" si="44"/>
        <v>55428450</v>
      </c>
      <c r="AS81" s="313">
        <f t="shared" si="44"/>
        <v>0</v>
      </c>
      <c r="AT81" s="313">
        <f t="shared" si="44"/>
        <v>55428450</v>
      </c>
      <c r="AU81" s="316">
        <f t="shared" ref="AU81:AU83" si="45">SUM(AI81:AT81)</f>
        <v>184761500</v>
      </c>
      <c r="AV81" s="313">
        <v>184762000</v>
      </c>
      <c r="AW81" s="318">
        <f>+AV81-AU81</f>
        <v>500</v>
      </c>
      <c r="AX81" s="313"/>
      <c r="AY81" s="313"/>
    </row>
    <row r="82" spans="1:51">
      <c r="AH82" s="288" t="s">
        <v>399</v>
      </c>
      <c r="AI82" s="313">
        <f>+AI32+AI33+AI34+AI35+AI36+AI37+AI38+AI39+AI40+AI41+AI42+AI43+AI44+AI45+AI46+AI47+AI48+AI49+AI50+AI51+AI52+AI58+AI60+AI62+AI66+AI68+AI70+AI76</f>
        <v>47124065.236666664</v>
      </c>
      <c r="AJ82" s="313">
        <f t="shared" ref="AJ82:AT82" si="46">+AJ32+AJ33+AJ34+AJ35+AJ36+AJ37+AJ38+AJ39+AJ40+AJ41+AJ42+AJ43+AJ44+AJ45+AJ46+AJ47+AJ48+AJ49+AJ50+AJ51+AJ52+AJ58+AJ60+AJ62+AJ66+AJ68+AJ70+AJ76</f>
        <v>135175398.56999999</v>
      </c>
      <c r="AK82" s="313">
        <f t="shared" si="46"/>
        <v>135175398.56999999</v>
      </c>
      <c r="AL82" s="313">
        <f t="shared" si="46"/>
        <v>135175398.56999999</v>
      </c>
      <c r="AM82" s="313">
        <f t="shared" si="46"/>
        <v>135237273.56999999</v>
      </c>
      <c r="AN82" s="313">
        <f t="shared" si="46"/>
        <v>170752273.56999999</v>
      </c>
      <c r="AO82" s="313">
        <f t="shared" si="46"/>
        <v>137252273.56999999</v>
      </c>
      <c r="AP82" s="313">
        <f t="shared" si="46"/>
        <v>170752273.56999999</v>
      </c>
      <c r="AQ82" s="313">
        <f t="shared" si="46"/>
        <v>137252273.56999999</v>
      </c>
      <c r="AR82" s="313">
        <f t="shared" si="46"/>
        <v>170752273.56999999</v>
      </c>
      <c r="AS82" s="313">
        <f t="shared" si="46"/>
        <v>137252273.56999999</v>
      </c>
      <c r="AT82" s="313">
        <f t="shared" si="46"/>
        <v>96725536.903333321</v>
      </c>
      <c r="AU82" s="316">
        <f t="shared" si="45"/>
        <v>1608626712.8399997</v>
      </c>
      <c r="AV82" s="313">
        <v>1508560000</v>
      </c>
      <c r="AW82" s="318">
        <f>+AV82-AU82</f>
        <v>-100066712.83999968</v>
      </c>
      <c r="AX82" s="313"/>
      <c r="AY82" s="313"/>
    </row>
    <row r="83" spans="1:51">
      <c r="AH83" s="288" t="s">
        <v>400</v>
      </c>
      <c r="AI83" s="313">
        <f>+AI72+AI73+AI74</f>
        <v>4666666.666666667</v>
      </c>
      <c r="AJ83" s="313">
        <f t="shared" ref="AJ83:AT83" si="47">+AJ72+AJ73+AJ74</f>
        <v>14000000</v>
      </c>
      <c r="AK83" s="313">
        <f t="shared" si="47"/>
        <v>14000000</v>
      </c>
      <c r="AL83" s="313">
        <f t="shared" si="47"/>
        <v>14000000</v>
      </c>
      <c r="AM83" s="313">
        <f t="shared" si="47"/>
        <v>14000000</v>
      </c>
      <c r="AN83" s="313">
        <f t="shared" si="47"/>
        <v>167714285.7142857</v>
      </c>
      <c r="AO83" s="313">
        <f t="shared" si="47"/>
        <v>167714285.7142857</v>
      </c>
      <c r="AP83" s="313">
        <f t="shared" si="47"/>
        <v>167714285.7142857</v>
      </c>
      <c r="AQ83" s="313">
        <f t="shared" si="47"/>
        <v>167714285.7142857</v>
      </c>
      <c r="AR83" s="313">
        <f t="shared" si="47"/>
        <v>167714285.7142857</v>
      </c>
      <c r="AS83" s="313">
        <f t="shared" si="47"/>
        <v>167714285.7142857</v>
      </c>
      <c r="AT83" s="313">
        <f t="shared" si="47"/>
        <v>163047619.04761901</v>
      </c>
      <c r="AU83" s="316">
        <f t="shared" si="45"/>
        <v>1230000000</v>
      </c>
      <c r="AV83" s="313">
        <v>1230000000</v>
      </c>
      <c r="AW83" s="318">
        <f>+AV83-AU83</f>
        <v>0</v>
      </c>
      <c r="AX83" s="313"/>
      <c r="AY83" s="313"/>
    </row>
    <row r="85" spans="1:51">
      <c r="A85" s="384" t="s">
        <v>593</v>
      </c>
      <c r="B85" s="385" t="s">
        <v>594</v>
      </c>
      <c r="C85" s="385" t="s">
        <v>595</v>
      </c>
      <c r="D85" s="385" t="s">
        <v>596</v>
      </c>
      <c r="E85" s="385" t="s">
        <v>597</v>
      </c>
      <c r="F85" s="385" t="s">
        <v>598</v>
      </c>
      <c r="G85" s="385" t="s">
        <v>381</v>
      </c>
      <c r="H85" s="385" t="s">
        <v>382</v>
      </c>
      <c r="I85" s="385" t="s">
        <v>599</v>
      </c>
      <c r="J85" s="385" t="s">
        <v>600</v>
      </c>
      <c r="K85" s="386"/>
    </row>
    <row r="86" spans="1:51">
      <c r="A86" s="387" t="s">
        <v>601</v>
      </c>
      <c r="B86" s="387" t="s">
        <v>602</v>
      </c>
      <c r="C86" s="387" t="s">
        <v>603</v>
      </c>
      <c r="D86" s="387" t="s">
        <v>285</v>
      </c>
      <c r="E86" s="387" t="s">
        <v>604</v>
      </c>
      <c r="F86" s="387" t="s">
        <v>605</v>
      </c>
      <c r="G86" s="387" t="s">
        <v>606</v>
      </c>
      <c r="H86" s="387" t="s">
        <v>607</v>
      </c>
      <c r="I86" s="388">
        <v>73200000</v>
      </c>
      <c r="J86" s="388">
        <v>73200000</v>
      </c>
      <c r="K86" s="386"/>
    </row>
    <row r="87" spans="1:51">
      <c r="A87" s="387" t="s">
        <v>490</v>
      </c>
      <c r="B87" s="387" t="s">
        <v>608</v>
      </c>
      <c r="C87" s="387" t="s">
        <v>603</v>
      </c>
      <c r="D87" s="387" t="s">
        <v>285</v>
      </c>
      <c r="E87" s="387" t="s">
        <v>609</v>
      </c>
      <c r="F87" s="387" t="s">
        <v>605</v>
      </c>
      <c r="G87" s="387" t="s">
        <v>610</v>
      </c>
      <c r="H87" s="387" t="s">
        <v>607</v>
      </c>
      <c r="I87" s="388">
        <v>87226500</v>
      </c>
      <c r="J87" s="388">
        <v>87226500</v>
      </c>
      <c r="K87" s="386"/>
    </row>
    <row r="88" spans="1:51">
      <c r="A88" s="387" t="s">
        <v>611</v>
      </c>
      <c r="B88" s="387" t="s">
        <v>612</v>
      </c>
      <c r="C88" s="387" t="s">
        <v>613</v>
      </c>
      <c r="D88" s="387" t="s">
        <v>613</v>
      </c>
      <c r="E88" s="387" t="s">
        <v>614</v>
      </c>
      <c r="F88" s="387" t="s">
        <v>605</v>
      </c>
      <c r="G88" s="387" t="s">
        <v>615</v>
      </c>
      <c r="H88" s="387" t="s">
        <v>607</v>
      </c>
      <c r="I88" s="388">
        <v>1240568013</v>
      </c>
      <c r="J88" s="388">
        <v>1240568013</v>
      </c>
      <c r="K88" s="386"/>
    </row>
    <row r="89" spans="1:51">
      <c r="A89" s="387" t="s">
        <v>507</v>
      </c>
      <c r="B89" s="387" t="s">
        <v>616</v>
      </c>
      <c r="C89" s="387" t="s">
        <v>387</v>
      </c>
      <c r="D89" s="387" t="s">
        <v>613</v>
      </c>
      <c r="E89" s="387" t="s">
        <v>617</v>
      </c>
      <c r="F89" s="387" t="s">
        <v>605</v>
      </c>
      <c r="G89" s="387" t="s">
        <v>610</v>
      </c>
      <c r="H89" s="387" t="s">
        <v>607</v>
      </c>
      <c r="I89" s="388">
        <v>176753000</v>
      </c>
      <c r="J89" s="388">
        <v>176753000</v>
      </c>
      <c r="K89" s="386"/>
    </row>
    <row r="90" spans="1:51">
      <c r="A90" s="387" t="s">
        <v>618</v>
      </c>
      <c r="B90" s="387" t="s">
        <v>619</v>
      </c>
      <c r="C90" s="387" t="s">
        <v>285</v>
      </c>
      <c r="D90" s="387" t="s">
        <v>613</v>
      </c>
      <c r="E90" s="387" t="s">
        <v>609</v>
      </c>
      <c r="F90" s="387" t="s">
        <v>605</v>
      </c>
      <c r="G90" s="387" t="s">
        <v>615</v>
      </c>
      <c r="H90" s="387" t="s">
        <v>607</v>
      </c>
      <c r="I90" s="388">
        <v>1214626088</v>
      </c>
      <c r="J90" s="388">
        <v>1214626088</v>
      </c>
      <c r="K90" s="386"/>
    </row>
    <row r="91" spans="1:51">
      <c r="A91" s="387" t="s">
        <v>524</v>
      </c>
      <c r="B91" s="387" t="s">
        <v>620</v>
      </c>
      <c r="C91" s="387" t="s">
        <v>603</v>
      </c>
      <c r="D91" s="387" t="s">
        <v>603</v>
      </c>
      <c r="E91" s="387" t="s">
        <v>614</v>
      </c>
      <c r="F91" s="387" t="s">
        <v>605</v>
      </c>
      <c r="G91" s="387" t="s">
        <v>606</v>
      </c>
      <c r="H91" s="387" t="s">
        <v>607</v>
      </c>
      <c r="I91" s="388">
        <v>16072165</v>
      </c>
      <c r="J91" s="388">
        <v>16072165</v>
      </c>
      <c r="K91" s="386"/>
    </row>
    <row r="92" spans="1:51">
      <c r="A92" s="387" t="s">
        <v>621</v>
      </c>
      <c r="B92" s="387" t="s">
        <v>622</v>
      </c>
      <c r="C92" s="387" t="s">
        <v>613</v>
      </c>
      <c r="D92" s="387" t="s">
        <v>613</v>
      </c>
      <c r="E92" s="387" t="s">
        <v>614</v>
      </c>
      <c r="F92" s="387" t="s">
        <v>605</v>
      </c>
      <c r="G92" s="387" t="s">
        <v>610</v>
      </c>
      <c r="H92" s="387" t="s">
        <v>607</v>
      </c>
      <c r="I92" s="388">
        <v>50181055</v>
      </c>
      <c r="J92" s="388">
        <v>50181055</v>
      </c>
      <c r="K92" s="386"/>
    </row>
    <row r="93" spans="1:51">
      <c r="A93" s="387" t="s">
        <v>536</v>
      </c>
      <c r="B93" s="387" t="s">
        <v>623</v>
      </c>
      <c r="C93" s="387" t="s">
        <v>613</v>
      </c>
      <c r="D93" s="387" t="s">
        <v>613</v>
      </c>
      <c r="E93" s="387" t="s">
        <v>614</v>
      </c>
      <c r="F93" s="387" t="s">
        <v>605</v>
      </c>
      <c r="G93" s="387" t="s">
        <v>606</v>
      </c>
      <c r="H93" s="387" t="s">
        <v>607</v>
      </c>
      <c r="I93" s="388">
        <v>1376964398</v>
      </c>
      <c r="J93" s="388">
        <v>1376964398</v>
      </c>
      <c r="K93" s="386"/>
    </row>
    <row r="94" spans="1:51">
      <c r="A94" s="387" t="s">
        <v>543</v>
      </c>
      <c r="B94" s="387" t="s">
        <v>624</v>
      </c>
      <c r="C94" s="387" t="s">
        <v>285</v>
      </c>
      <c r="D94" s="387" t="s">
        <v>387</v>
      </c>
      <c r="E94" s="387" t="s">
        <v>625</v>
      </c>
      <c r="F94" s="387" t="s">
        <v>605</v>
      </c>
      <c r="G94" s="387" t="s">
        <v>610</v>
      </c>
      <c r="H94" s="387" t="s">
        <v>607</v>
      </c>
      <c r="I94" s="388">
        <v>24402000</v>
      </c>
      <c r="J94" s="388">
        <v>24402000</v>
      </c>
      <c r="K94" s="386"/>
    </row>
    <row r="95" spans="1:51">
      <c r="A95" s="387" t="s">
        <v>626</v>
      </c>
      <c r="B95" s="387" t="s">
        <v>627</v>
      </c>
      <c r="C95" s="387" t="s">
        <v>613</v>
      </c>
      <c r="D95" s="387" t="s">
        <v>628</v>
      </c>
      <c r="E95" s="387" t="s">
        <v>609</v>
      </c>
      <c r="F95" s="387" t="s">
        <v>605</v>
      </c>
      <c r="G95" s="387" t="s">
        <v>615</v>
      </c>
      <c r="H95" s="387" t="s">
        <v>607</v>
      </c>
      <c r="I95" s="388">
        <v>490322584</v>
      </c>
      <c r="J95" s="388">
        <v>490322584</v>
      </c>
      <c r="K95" s="386"/>
    </row>
    <row r="96" spans="1:51">
      <c r="A96" s="387" t="s">
        <v>559</v>
      </c>
      <c r="B96" s="387" t="s">
        <v>629</v>
      </c>
      <c r="C96" s="387" t="s">
        <v>603</v>
      </c>
      <c r="D96" s="387" t="s">
        <v>603</v>
      </c>
      <c r="E96" s="387" t="s">
        <v>630</v>
      </c>
      <c r="F96" s="387" t="s">
        <v>605</v>
      </c>
      <c r="G96" s="387" t="s">
        <v>606</v>
      </c>
      <c r="H96" s="387" t="s">
        <v>607</v>
      </c>
      <c r="I96" s="388">
        <v>1002549647</v>
      </c>
      <c r="J96" s="388">
        <v>1002549647</v>
      </c>
      <c r="K96" s="386"/>
    </row>
    <row r="97" spans="1:11">
      <c r="A97" s="387" t="s">
        <v>566</v>
      </c>
      <c r="B97" s="387" t="s">
        <v>631</v>
      </c>
      <c r="C97" s="387" t="s">
        <v>632</v>
      </c>
      <c r="D97" s="387" t="s">
        <v>632</v>
      </c>
      <c r="E97" s="387" t="s">
        <v>614</v>
      </c>
      <c r="F97" s="387" t="s">
        <v>605</v>
      </c>
      <c r="G97" s="387" t="s">
        <v>606</v>
      </c>
      <c r="H97" s="387" t="s">
        <v>607</v>
      </c>
      <c r="I97" s="388">
        <v>111567387</v>
      </c>
      <c r="J97" s="388">
        <v>111567387</v>
      </c>
      <c r="K97" s="386"/>
    </row>
    <row r="98" spans="1:11">
      <c r="A98" s="387" t="s">
        <v>633</v>
      </c>
      <c r="B98" s="387" t="s">
        <v>634</v>
      </c>
      <c r="C98" s="387" t="s">
        <v>285</v>
      </c>
      <c r="D98" s="387" t="s">
        <v>613</v>
      </c>
      <c r="E98" s="387" t="s">
        <v>635</v>
      </c>
      <c r="F98" s="387" t="s">
        <v>605</v>
      </c>
      <c r="G98" s="387" t="s">
        <v>615</v>
      </c>
      <c r="H98" s="387" t="s">
        <v>607</v>
      </c>
      <c r="I98" s="388">
        <v>157760500</v>
      </c>
      <c r="J98" s="388">
        <v>157760500</v>
      </c>
      <c r="K98" s="386"/>
    </row>
    <row r="99" spans="1:11">
      <c r="A99" s="387" t="s">
        <v>636</v>
      </c>
      <c r="B99" s="387" t="s">
        <v>637</v>
      </c>
      <c r="C99" s="387" t="s">
        <v>285</v>
      </c>
      <c r="D99" s="387" t="s">
        <v>613</v>
      </c>
      <c r="E99" s="387" t="s">
        <v>614</v>
      </c>
      <c r="F99" s="387" t="s">
        <v>605</v>
      </c>
      <c r="G99" s="387" t="s">
        <v>610</v>
      </c>
      <c r="H99" s="387" t="s">
        <v>607</v>
      </c>
      <c r="I99" s="388">
        <v>92608376</v>
      </c>
      <c r="J99" s="388">
        <v>92608376</v>
      </c>
      <c r="K99" s="386"/>
    </row>
    <row r="100" spans="1:11">
      <c r="A100" s="387" t="s">
        <v>638</v>
      </c>
      <c r="B100" s="387" t="s">
        <v>639</v>
      </c>
      <c r="C100" s="387" t="s">
        <v>387</v>
      </c>
      <c r="D100" s="387" t="s">
        <v>613</v>
      </c>
      <c r="E100" s="387" t="s">
        <v>625</v>
      </c>
      <c r="F100" s="387" t="s">
        <v>605</v>
      </c>
      <c r="G100" s="387" t="s">
        <v>640</v>
      </c>
      <c r="H100" s="387" t="s">
        <v>607</v>
      </c>
      <c r="I100" s="388">
        <v>184761500</v>
      </c>
      <c r="J100" s="388">
        <v>184761500</v>
      </c>
      <c r="K100" s="386"/>
    </row>
    <row r="101" spans="1:11">
      <c r="A101" s="386"/>
      <c r="B101" s="386"/>
      <c r="C101" s="386"/>
      <c r="D101" s="386"/>
      <c r="E101" s="386"/>
      <c r="F101" s="386"/>
      <c r="G101" s="386"/>
      <c r="H101" s="386"/>
      <c r="I101" s="386"/>
      <c r="J101" s="386"/>
      <c r="K101" s="386"/>
    </row>
    <row r="102" spans="1:11">
      <c r="A102" s="386"/>
      <c r="B102" s="386"/>
      <c r="C102" s="386"/>
      <c r="D102" s="386"/>
      <c r="E102" s="386"/>
      <c r="F102" s="386"/>
      <c r="G102" s="386"/>
      <c r="H102" s="386"/>
      <c r="I102" s="386"/>
      <c r="J102" s="386"/>
      <c r="K102" s="386"/>
    </row>
    <row r="103" spans="1:11">
      <c r="A103" s="386"/>
      <c r="B103" s="386"/>
      <c r="C103" s="386"/>
      <c r="D103" s="386"/>
      <c r="E103" s="386"/>
      <c r="F103" s="386"/>
      <c r="G103" s="386"/>
      <c r="H103" s="386"/>
      <c r="I103" s="386"/>
      <c r="J103" s="386"/>
      <c r="K103" s="386"/>
    </row>
    <row r="104" spans="1:11">
      <c r="A104" s="386"/>
      <c r="B104" s="386"/>
      <c r="C104" s="386"/>
      <c r="D104" s="386"/>
      <c r="E104" s="386"/>
      <c r="F104" s="386"/>
      <c r="G104" s="386"/>
      <c r="H104" s="386"/>
      <c r="I104" s="386"/>
      <c r="J104" s="386"/>
      <c r="K104" s="386"/>
    </row>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432E-2378-4504-91D6-036845131148}">
  <sheetPr>
    <tabColor rgb="FF00B0F0"/>
    <pageSetUpPr fitToPage="1"/>
  </sheetPr>
  <dimension ref="A1:BN48"/>
  <sheetViews>
    <sheetView topLeftCell="AU1" zoomScale="90" zoomScaleNormal="90" workbookViewId="0">
      <selection activeCell="BC12" sqref="BC12"/>
    </sheetView>
  </sheetViews>
  <sheetFormatPr baseColWidth="10" defaultColWidth="11.42578125" defaultRowHeight="15"/>
  <cols>
    <col min="3" max="9" width="11.42578125" style="419"/>
    <col min="11" max="11" width="11.42578125" style="419"/>
    <col min="12" max="13" width="11.85546875" style="419" bestFit="1" customWidth="1"/>
    <col min="14" max="15" width="11.42578125" style="419"/>
    <col min="17" max="18" width="11.42578125" style="419"/>
    <col min="28" max="28" width="11.42578125" style="419"/>
    <col min="35" max="35" width="12.5703125" customWidth="1"/>
    <col min="38" max="38" width="12.42578125" customWidth="1"/>
    <col min="39" max="39" width="13.85546875" customWidth="1"/>
    <col min="40" max="40" width="12" bestFit="1" customWidth="1"/>
    <col min="42" max="45" width="0" hidden="1" customWidth="1"/>
    <col min="46" max="46" width="6.85546875" customWidth="1"/>
    <col min="47" max="47" width="8" customWidth="1"/>
    <col min="48" max="48" width="18.85546875" style="560" bestFit="1" customWidth="1"/>
    <col min="49" max="50" width="18.140625" style="560" bestFit="1" customWidth="1"/>
    <col min="51" max="51" width="18.5703125" style="560" bestFit="1" customWidth="1"/>
    <col min="52" max="52" width="4.28515625" style="563" customWidth="1"/>
    <col min="53" max="53" width="18.7109375" style="560" bestFit="1" customWidth="1"/>
    <col min="54" max="54" width="18.140625" style="560" bestFit="1" customWidth="1"/>
    <col min="55" max="55" width="17.5703125" style="560" bestFit="1" customWidth="1"/>
    <col min="56" max="56" width="19.140625" style="560" bestFit="1" customWidth="1"/>
    <col min="57" max="57" width="4.140625" style="563" customWidth="1"/>
    <col min="58" max="58" width="16.42578125" style="560" bestFit="1" customWidth="1"/>
    <col min="59" max="59" width="12.5703125" style="480" customWidth="1"/>
    <col min="60" max="61" width="12.5703125" customWidth="1"/>
    <col min="62" max="66" width="14.42578125" bestFit="1" customWidth="1"/>
  </cols>
  <sheetData>
    <row r="1" spans="1:66">
      <c r="AV1" s="1087" t="s">
        <v>641</v>
      </c>
      <c r="AW1" s="1087"/>
      <c r="AX1" s="1087"/>
      <c r="AY1" s="1087"/>
      <c r="BA1" s="1087" t="s">
        <v>642</v>
      </c>
      <c r="BB1" s="1087"/>
      <c r="BC1" s="1087"/>
      <c r="BD1" s="1087"/>
    </row>
    <row r="2" spans="1:66" ht="60">
      <c r="A2" s="283" t="s">
        <v>643</v>
      </c>
      <c r="B2" s="283" t="s">
        <v>644</v>
      </c>
      <c r="C2" s="551" t="s">
        <v>645</v>
      </c>
      <c r="D2" s="508" t="s">
        <v>646</v>
      </c>
      <c r="E2" s="508" t="s">
        <v>647</v>
      </c>
      <c r="F2" s="508" t="s">
        <v>648</v>
      </c>
      <c r="G2" s="508" t="s">
        <v>649</v>
      </c>
      <c r="H2" s="508" t="s">
        <v>650</v>
      </c>
      <c r="I2" s="508" t="s">
        <v>651</v>
      </c>
      <c r="J2" s="508" t="s">
        <v>652</v>
      </c>
      <c r="K2" s="509" t="s">
        <v>653</v>
      </c>
      <c r="L2" s="508" t="s">
        <v>647</v>
      </c>
      <c r="M2" s="508" t="s">
        <v>648</v>
      </c>
      <c r="N2" s="508" t="s">
        <v>654</v>
      </c>
      <c r="O2" s="508" t="s">
        <v>655</v>
      </c>
      <c r="P2" s="508" t="s">
        <v>594</v>
      </c>
      <c r="Q2" s="508" t="s">
        <v>656</v>
      </c>
      <c r="R2" s="508" t="s">
        <v>657</v>
      </c>
      <c r="S2" s="508" t="s">
        <v>658</v>
      </c>
      <c r="T2" s="508" t="s">
        <v>659</v>
      </c>
      <c r="U2" s="508" t="s">
        <v>660</v>
      </c>
      <c r="V2" s="508" t="s">
        <v>661</v>
      </c>
      <c r="W2" s="508" t="s">
        <v>662</v>
      </c>
      <c r="X2" s="508" t="s">
        <v>663</v>
      </c>
      <c r="Y2" s="508" t="s">
        <v>664</v>
      </c>
      <c r="Z2" s="508" t="s">
        <v>665</v>
      </c>
      <c r="AA2" s="508" t="s">
        <v>666</v>
      </c>
      <c r="AB2" s="508" t="s">
        <v>667</v>
      </c>
      <c r="AC2" s="508" t="s">
        <v>594</v>
      </c>
      <c r="AD2" s="508" t="s">
        <v>668</v>
      </c>
      <c r="AE2" s="508" t="s">
        <v>669</v>
      </c>
      <c r="AF2" s="508" t="s">
        <v>670</v>
      </c>
      <c r="AG2" s="508" t="s">
        <v>671</v>
      </c>
      <c r="AH2" s="508" t="s">
        <v>672</v>
      </c>
      <c r="AI2" s="508" t="s">
        <v>673</v>
      </c>
      <c r="AJ2" s="508" t="s">
        <v>674</v>
      </c>
      <c r="AK2" s="508" t="s">
        <v>675</v>
      </c>
      <c r="AL2" s="508" t="s">
        <v>676</v>
      </c>
      <c r="AM2" s="508" t="s">
        <v>677</v>
      </c>
      <c r="AN2" s="508" t="s">
        <v>678</v>
      </c>
      <c r="AO2" s="508" t="s">
        <v>679</v>
      </c>
      <c r="AP2" s="508" t="s">
        <v>680</v>
      </c>
      <c r="AQ2" s="508" t="s">
        <v>681</v>
      </c>
      <c r="AR2" s="508" t="s">
        <v>682</v>
      </c>
      <c r="AS2" s="508" t="s">
        <v>683</v>
      </c>
      <c r="AT2" s="72"/>
      <c r="AU2" s="451"/>
      <c r="AV2" s="556" t="s">
        <v>397</v>
      </c>
      <c r="AW2" s="556" t="s">
        <v>398</v>
      </c>
      <c r="AX2" s="556" t="s">
        <v>399</v>
      </c>
      <c r="AY2" s="564"/>
      <c r="AZ2" s="565"/>
      <c r="BA2" s="556" t="s">
        <v>397</v>
      </c>
      <c r="BB2" s="556" t="s">
        <v>398</v>
      </c>
      <c r="BC2" s="556" t="s">
        <v>399</v>
      </c>
      <c r="BD2" s="564"/>
      <c r="BE2" s="565"/>
      <c r="BF2" s="565"/>
      <c r="BG2" s="498"/>
      <c r="BH2" s="72"/>
      <c r="BJ2" s="451" t="s">
        <v>684</v>
      </c>
      <c r="BK2" s="451" t="s">
        <v>685</v>
      </c>
      <c r="BL2" s="451" t="s">
        <v>686</v>
      </c>
      <c r="BM2" s="451" t="s">
        <v>687</v>
      </c>
      <c r="BN2" s="451" t="s">
        <v>688</v>
      </c>
    </row>
    <row r="3" spans="1:66">
      <c r="A3" s="284" t="s">
        <v>689</v>
      </c>
      <c r="B3" s="284">
        <v>7673</v>
      </c>
      <c r="C3" s="548" t="s">
        <v>690</v>
      </c>
      <c r="D3" s="549" t="s">
        <v>691</v>
      </c>
      <c r="E3" s="552">
        <v>44562</v>
      </c>
      <c r="F3" s="552">
        <v>44620</v>
      </c>
      <c r="G3" s="549" t="s">
        <v>692</v>
      </c>
      <c r="H3" s="552">
        <v>44562</v>
      </c>
      <c r="I3" s="549" t="s">
        <v>693</v>
      </c>
      <c r="J3" s="504" t="s">
        <v>694</v>
      </c>
      <c r="K3" s="549" t="s">
        <v>695</v>
      </c>
      <c r="L3" s="552">
        <v>44230</v>
      </c>
      <c r="M3" s="552">
        <v>44561</v>
      </c>
      <c r="N3" s="549" t="s">
        <v>696</v>
      </c>
      <c r="O3" s="549" t="s">
        <v>697</v>
      </c>
      <c r="P3" s="504" t="s">
        <v>698</v>
      </c>
      <c r="Q3" s="549" t="s">
        <v>699</v>
      </c>
      <c r="R3" s="549" t="s">
        <v>700</v>
      </c>
      <c r="S3" s="504" t="s">
        <v>701</v>
      </c>
      <c r="T3" s="504" t="s">
        <v>702</v>
      </c>
      <c r="U3" s="504" t="s">
        <v>403</v>
      </c>
      <c r="V3" s="504" t="s">
        <v>703</v>
      </c>
      <c r="W3" s="504" t="s">
        <v>704</v>
      </c>
      <c r="X3" s="504" t="s">
        <v>705</v>
      </c>
      <c r="Y3" s="504" t="s">
        <v>706</v>
      </c>
      <c r="Z3" s="504" t="s">
        <v>707</v>
      </c>
      <c r="AA3" s="504" t="s">
        <v>708</v>
      </c>
      <c r="AB3" s="549" t="s">
        <v>709</v>
      </c>
      <c r="AC3" s="504" t="s">
        <v>710</v>
      </c>
      <c r="AD3" s="504" t="s">
        <v>711</v>
      </c>
      <c r="AE3" s="504" t="s">
        <v>712</v>
      </c>
      <c r="AF3" s="504" t="s">
        <v>713</v>
      </c>
      <c r="AG3" s="504" t="s">
        <v>714</v>
      </c>
      <c r="AH3" s="504" t="s">
        <v>715</v>
      </c>
      <c r="AI3" s="506">
        <v>5250000</v>
      </c>
      <c r="AJ3" s="506">
        <v>0</v>
      </c>
      <c r="AK3" s="506">
        <v>0</v>
      </c>
      <c r="AL3" s="506">
        <v>5250000</v>
      </c>
      <c r="AM3" s="506">
        <v>0</v>
      </c>
      <c r="AN3" s="506">
        <f>AI3-AJ3-AK3-AM3</f>
        <v>5250000</v>
      </c>
      <c r="AO3" s="504" t="s">
        <v>716</v>
      </c>
      <c r="AP3" s="504" t="s">
        <v>691</v>
      </c>
      <c r="AQ3" s="504" t="s">
        <v>717</v>
      </c>
      <c r="AR3" s="504" t="s">
        <v>691</v>
      </c>
      <c r="AS3" s="505">
        <v>44564</v>
      </c>
      <c r="AT3" s="503"/>
      <c r="AU3" s="507" t="s">
        <v>397</v>
      </c>
      <c r="AV3" s="557">
        <f>AL3</f>
        <v>5250000</v>
      </c>
      <c r="AW3" s="557">
        <v>0</v>
      </c>
      <c r="AX3" s="557">
        <v>0</v>
      </c>
      <c r="AY3" s="566">
        <f t="shared" ref="AY3:AY14" si="0">SUM(AV3:AX3)</f>
        <v>5250000</v>
      </c>
      <c r="AZ3" s="562"/>
      <c r="BA3" s="557">
        <f>AM3</f>
        <v>0</v>
      </c>
      <c r="BB3" s="557">
        <v>0</v>
      </c>
      <c r="BC3" s="557">
        <v>0</v>
      </c>
      <c r="BD3" s="566">
        <f t="shared" ref="BD3:BD14" si="1">SUM(BA3:BC3)</f>
        <v>0</v>
      </c>
      <c r="BE3" s="562"/>
      <c r="BF3" s="566">
        <f t="shared" ref="BF3:BF14" si="2">BD3-AM3</f>
        <v>0</v>
      </c>
      <c r="BG3" s="481"/>
      <c r="BH3" s="281"/>
      <c r="BJ3" s="511"/>
      <c r="BK3" s="511"/>
      <c r="BL3" s="511"/>
      <c r="BM3" s="511"/>
      <c r="BN3" s="511"/>
    </row>
    <row r="4" spans="1:66">
      <c r="A4" s="284" t="s">
        <v>718</v>
      </c>
      <c r="B4" s="284">
        <v>7673</v>
      </c>
      <c r="C4" s="548" t="s">
        <v>690</v>
      </c>
      <c r="D4" s="549" t="s">
        <v>691</v>
      </c>
      <c r="E4" s="552">
        <v>44562</v>
      </c>
      <c r="F4" s="552">
        <v>44620</v>
      </c>
      <c r="G4" s="549" t="s">
        <v>692</v>
      </c>
      <c r="H4" s="552">
        <v>44562</v>
      </c>
      <c r="I4" s="549" t="s">
        <v>719</v>
      </c>
      <c r="J4" s="504" t="s">
        <v>720</v>
      </c>
      <c r="K4" s="549" t="s">
        <v>721</v>
      </c>
      <c r="L4" s="552">
        <v>44561</v>
      </c>
      <c r="M4" s="552">
        <v>44561</v>
      </c>
      <c r="N4" s="549" t="s">
        <v>722</v>
      </c>
      <c r="O4" s="549" t="s">
        <v>697</v>
      </c>
      <c r="P4" s="504" t="s">
        <v>698</v>
      </c>
      <c r="Q4" s="549" t="s">
        <v>723</v>
      </c>
      <c r="R4" s="549" t="s">
        <v>724</v>
      </c>
      <c r="S4" s="504" t="s">
        <v>725</v>
      </c>
      <c r="T4" s="504" t="s">
        <v>702</v>
      </c>
      <c r="U4" s="504" t="s">
        <v>403</v>
      </c>
      <c r="V4" s="504" t="s">
        <v>703</v>
      </c>
      <c r="W4" s="504" t="s">
        <v>704</v>
      </c>
      <c r="X4" s="504" t="s">
        <v>705</v>
      </c>
      <c r="Y4" s="504" t="s">
        <v>706</v>
      </c>
      <c r="Z4" s="504" t="s">
        <v>726</v>
      </c>
      <c r="AA4" s="504" t="s">
        <v>727</v>
      </c>
      <c r="AB4" s="549" t="s">
        <v>709</v>
      </c>
      <c r="AC4" s="504" t="s">
        <v>710</v>
      </c>
      <c r="AD4" s="504" t="s">
        <v>728</v>
      </c>
      <c r="AE4" s="504" t="s">
        <v>712</v>
      </c>
      <c r="AF4" s="504" t="s">
        <v>729</v>
      </c>
      <c r="AG4" s="504" t="s">
        <v>336</v>
      </c>
      <c r="AH4" s="504" t="s">
        <v>715</v>
      </c>
      <c r="AI4" s="506">
        <v>2833333</v>
      </c>
      <c r="AJ4" s="506">
        <v>0</v>
      </c>
      <c r="AK4" s="506">
        <v>0</v>
      </c>
      <c r="AL4" s="506">
        <v>2833333</v>
      </c>
      <c r="AM4" s="506">
        <v>2833333</v>
      </c>
      <c r="AN4" s="506">
        <f t="shared" ref="AN4:AN14" si="3">AI4-AJ4-AK4-AM4</f>
        <v>0</v>
      </c>
      <c r="AO4" s="504" t="s">
        <v>730</v>
      </c>
      <c r="AP4" s="504" t="s">
        <v>691</v>
      </c>
      <c r="AQ4" s="504" t="s">
        <v>731</v>
      </c>
      <c r="AR4" s="504" t="s">
        <v>691</v>
      </c>
      <c r="AS4" s="505">
        <v>44564</v>
      </c>
      <c r="AT4" s="503"/>
      <c r="AU4" s="507" t="s">
        <v>399</v>
      </c>
      <c r="AV4" s="557">
        <v>0</v>
      </c>
      <c r="AW4" s="557">
        <v>0</v>
      </c>
      <c r="AX4" s="557">
        <v>2833333</v>
      </c>
      <c r="AY4" s="566">
        <f t="shared" si="0"/>
        <v>2833333</v>
      </c>
      <c r="AZ4" s="562"/>
      <c r="BA4" s="557">
        <v>0</v>
      </c>
      <c r="BB4" s="557">
        <v>0</v>
      </c>
      <c r="BC4" s="557">
        <f>AM4</f>
        <v>2833333</v>
      </c>
      <c r="BD4" s="566">
        <f t="shared" si="1"/>
        <v>2833333</v>
      </c>
      <c r="BE4" s="562"/>
      <c r="BF4" s="566">
        <f t="shared" si="2"/>
        <v>0</v>
      </c>
      <c r="BG4" s="481"/>
      <c r="BH4" s="281"/>
      <c r="BJ4" s="511">
        <v>2833333</v>
      </c>
      <c r="BK4" s="511"/>
      <c r="BL4" s="511"/>
      <c r="BM4" s="511"/>
      <c r="BN4" s="511"/>
    </row>
    <row r="5" spans="1:66">
      <c r="A5" s="284" t="s">
        <v>732</v>
      </c>
      <c r="B5" s="284">
        <v>7673</v>
      </c>
      <c r="C5" s="548" t="s">
        <v>690</v>
      </c>
      <c r="D5" s="549" t="s">
        <v>691</v>
      </c>
      <c r="E5" s="552">
        <v>44562</v>
      </c>
      <c r="F5" s="552">
        <v>44620</v>
      </c>
      <c r="G5" s="549" t="s">
        <v>692</v>
      </c>
      <c r="H5" s="552">
        <v>44562</v>
      </c>
      <c r="I5" s="549" t="s">
        <v>733</v>
      </c>
      <c r="J5" s="504" t="s">
        <v>734</v>
      </c>
      <c r="K5" s="549" t="s">
        <v>735</v>
      </c>
      <c r="L5" s="552">
        <v>44378</v>
      </c>
      <c r="M5" s="552">
        <v>44561</v>
      </c>
      <c r="N5" s="549" t="s">
        <v>736</v>
      </c>
      <c r="O5" s="549" t="s">
        <v>697</v>
      </c>
      <c r="P5" s="504" t="s">
        <v>698</v>
      </c>
      <c r="Q5" s="549" t="s">
        <v>737</v>
      </c>
      <c r="R5" s="549" t="s">
        <v>738</v>
      </c>
      <c r="S5" s="504" t="s">
        <v>739</v>
      </c>
      <c r="T5" s="504" t="s">
        <v>702</v>
      </c>
      <c r="U5" s="504" t="s">
        <v>403</v>
      </c>
      <c r="V5" s="504" t="s">
        <v>703</v>
      </c>
      <c r="W5" s="504" t="s">
        <v>704</v>
      </c>
      <c r="X5" s="504" t="s">
        <v>740</v>
      </c>
      <c r="Y5" s="504" t="s">
        <v>481</v>
      </c>
      <c r="Z5" s="504" t="s">
        <v>726</v>
      </c>
      <c r="AA5" s="504" t="s">
        <v>727</v>
      </c>
      <c r="AB5" s="549" t="s">
        <v>709</v>
      </c>
      <c r="AC5" s="504" t="s">
        <v>710</v>
      </c>
      <c r="AD5" s="504" t="s">
        <v>741</v>
      </c>
      <c r="AE5" s="504" t="s">
        <v>742</v>
      </c>
      <c r="AF5" s="504" t="s">
        <v>743</v>
      </c>
      <c r="AG5" s="504" t="s">
        <v>744</v>
      </c>
      <c r="AH5" s="504" t="s">
        <v>715</v>
      </c>
      <c r="AI5" s="506">
        <v>253060895</v>
      </c>
      <c r="AJ5" s="506">
        <v>0</v>
      </c>
      <c r="AK5" s="506">
        <v>0</v>
      </c>
      <c r="AL5" s="506">
        <v>253060895</v>
      </c>
      <c r="AM5" s="506">
        <v>88461332</v>
      </c>
      <c r="AN5" s="506">
        <f t="shared" si="3"/>
        <v>164599563</v>
      </c>
      <c r="AO5" s="504" t="s">
        <v>745</v>
      </c>
      <c r="AP5" s="504" t="s">
        <v>691</v>
      </c>
      <c r="AQ5" s="504" t="s">
        <v>746</v>
      </c>
      <c r="AR5" s="504" t="s">
        <v>691</v>
      </c>
      <c r="AS5" s="505">
        <v>44564</v>
      </c>
      <c r="AT5" s="503"/>
      <c r="AU5" s="507" t="s">
        <v>397</v>
      </c>
      <c r="AV5" s="557">
        <f>AL5*94%</f>
        <v>237877241.29999998</v>
      </c>
      <c r="AW5" s="557">
        <v>0</v>
      </c>
      <c r="AX5" s="557">
        <f>AL5*6%</f>
        <v>15183653.699999999</v>
      </c>
      <c r="AY5" s="566">
        <f t="shared" si="0"/>
        <v>253060894.99999997</v>
      </c>
      <c r="AZ5" s="562"/>
      <c r="BA5" s="557">
        <f>AM5*94%</f>
        <v>83153652.079999998</v>
      </c>
      <c r="BB5" s="557">
        <v>0</v>
      </c>
      <c r="BC5" s="557">
        <f>AM5*6%</f>
        <v>5307679.92</v>
      </c>
      <c r="BD5" s="566">
        <f t="shared" si="1"/>
        <v>88461332</v>
      </c>
      <c r="BE5" s="562"/>
      <c r="BF5" s="566">
        <f t="shared" si="2"/>
        <v>0</v>
      </c>
      <c r="BG5" s="481"/>
      <c r="BH5" s="281"/>
      <c r="BI5" s="390"/>
      <c r="BJ5" s="511"/>
      <c r="BK5" s="511">
        <f>BF5/4</f>
        <v>0</v>
      </c>
      <c r="BL5" s="511">
        <v>3795913.4249999998</v>
      </c>
      <c r="BM5" s="511">
        <f>3795913.425+3795913.425</f>
        <v>7591826.8499999996</v>
      </c>
      <c r="BN5" s="511"/>
    </row>
    <row r="6" spans="1:66">
      <c r="A6" s="284" t="s">
        <v>747</v>
      </c>
      <c r="B6" s="284">
        <v>7673</v>
      </c>
      <c r="C6" s="548" t="s">
        <v>690</v>
      </c>
      <c r="D6" s="549" t="s">
        <v>691</v>
      </c>
      <c r="E6" s="552">
        <v>44562</v>
      </c>
      <c r="F6" s="552">
        <v>44620</v>
      </c>
      <c r="G6" s="549" t="s">
        <v>692</v>
      </c>
      <c r="H6" s="552">
        <v>44562</v>
      </c>
      <c r="I6" s="549" t="s">
        <v>719</v>
      </c>
      <c r="J6" s="504" t="s">
        <v>720</v>
      </c>
      <c r="K6" s="549" t="s">
        <v>748</v>
      </c>
      <c r="L6" s="552">
        <v>44561</v>
      </c>
      <c r="M6" s="552">
        <v>44561</v>
      </c>
      <c r="N6" s="549" t="s">
        <v>722</v>
      </c>
      <c r="O6" s="549" t="s">
        <v>697</v>
      </c>
      <c r="P6" s="504" t="s">
        <v>698</v>
      </c>
      <c r="Q6" s="549" t="s">
        <v>749</v>
      </c>
      <c r="R6" s="549" t="s">
        <v>750</v>
      </c>
      <c r="S6" s="504" t="s">
        <v>751</v>
      </c>
      <c r="T6" s="504" t="s">
        <v>702</v>
      </c>
      <c r="U6" s="504" t="s">
        <v>403</v>
      </c>
      <c r="V6" s="504" t="s">
        <v>703</v>
      </c>
      <c r="W6" s="504" t="s">
        <v>704</v>
      </c>
      <c r="X6" s="504" t="s">
        <v>705</v>
      </c>
      <c r="Y6" s="504" t="s">
        <v>706</v>
      </c>
      <c r="Z6" s="504" t="s">
        <v>726</v>
      </c>
      <c r="AA6" s="504" t="s">
        <v>727</v>
      </c>
      <c r="AB6" s="549" t="s">
        <v>709</v>
      </c>
      <c r="AC6" s="504" t="s">
        <v>710</v>
      </c>
      <c r="AD6" s="504" t="s">
        <v>752</v>
      </c>
      <c r="AE6" s="504" t="s">
        <v>712</v>
      </c>
      <c r="AF6" s="504" t="s">
        <v>753</v>
      </c>
      <c r="AG6" s="504" t="s">
        <v>332</v>
      </c>
      <c r="AH6" s="504" t="s">
        <v>715</v>
      </c>
      <c r="AI6" s="506">
        <v>1700000</v>
      </c>
      <c r="AJ6" s="506">
        <v>0</v>
      </c>
      <c r="AK6" s="506">
        <v>0</v>
      </c>
      <c r="AL6" s="506">
        <v>1700000</v>
      </c>
      <c r="AM6" s="506">
        <v>1700000</v>
      </c>
      <c r="AN6" s="506">
        <f t="shared" si="3"/>
        <v>0</v>
      </c>
      <c r="AO6" s="504" t="s">
        <v>754</v>
      </c>
      <c r="AP6" s="504" t="s">
        <v>691</v>
      </c>
      <c r="AQ6" s="504" t="s">
        <v>755</v>
      </c>
      <c r="AR6" s="504" t="s">
        <v>691</v>
      </c>
      <c r="AS6" s="505">
        <v>44564</v>
      </c>
      <c r="AT6" s="503"/>
      <c r="AU6" s="507" t="s">
        <v>399</v>
      </c>
      <c r="AV6" s="557">
        <v>0</v>
      </c>
      <c r="AW6" s="557">
        <v>0</v>
      </c>
      <c r="AX6" s="557">
        <v>1700000</v>
      </c>
      <c r="AY6" s="566">
        <f t="shared" si="0"/>
        <v>1700000</v>
      </c>
      <c r="AZ6" s="562"/>
      <c r="BA6" s="557">
        <v>0</v>
      </c>
      <c r="BB6" s="557">
        <v>0</v>
      </c>
      <c r="BC6" s="557">
        <v>1700000</v>
      </c>
      <c r="BD6" s="566">
        <f t="shared" si="1"/>
        <v>1700000</v>
      </c>
      <c r="BE6" s="562"/>
      <c r="BF6" s="566">
        <f t="shared" si="2"/>
        <v>0</v>
      </c>
      <c r="BG6" s="481"/>
      <c r="BH6" s="281"/>
      <c r="BJ6" s="511">
        <v>1700000</v>
      </c>
      <c r="BK6" s="511"/>
      <c r="BL6" s="511"/>
      <c r="BM6" s="511"/>
      <c r="BN6" s="511"/>
    </row>
    <row r="7" spans="1:66">
      <c r="A7" s="284" t="s">
        <v>756</v>
      </c>
      <c r="B7" s="284">
        <v>7673</v>
      </c>
      <c r="C7" s="548" t="s">
        <v>690</v>
      </c>
      <c r="D7" s="549" t="s">
        <v>691</v>
      </c>
      <c r="E7" s="552">
        <v>44562</v>
      </c>
      <c r="F7" s="552">
        <v>44620</v>
      </c>
      <c r="G7" s="549" t="s">
        <v>692</v>
      </c>
      <c r="H7" s="552">
        <v>44562</v>
      </c>
      <c r="I7" s="549" t="s">
        <v>757</v>
      </c>
      <c r="J7" s="504" t="s">
        <v>758</v>
      </c>
      <c r="K7" s="549" t="s">
        <v>759</v>
      </c>
      <c r="L7" s="552">
        <v>44411</v>
      </c>
      <c r="M7" s="552">
        <v>44561</v>
      </c>
      <c r="N7" s="549" t="s">
        <v>760</v>
      </c>
      <c r="O7" s="549" t="s">
        <v>697</v>
      </c>
      <c r="P7" s="504" t="s">
        <v>698</v>
      </c>
      <c r="Q7" s="549" t="s">
        <v>761</v>
      </c>
      <c r="R7" s="549" t="s">
        <v>762</v>
      </c>
      <c r="S7" s="504" t="s">
        <v>763</v>
      </c>
      <c r="T7" s="504" t="s">
        <v>702</v>
      </c>
      <c r="U7" s="504" t="s">
        <v>403</v>
      </c>
      <c r="V7" s="504" t="s">
        <v>703</v>
      </c>
      <c r="W7" s="504" t="s">
        <v>704</v>
      </c>
      <c r="X7" s="504" t="s">
        <v>740</v>
      </c>
      <c r="Y7" s="504" t="s">
        <v>481</v>
      </c>
      <c r="Z7" s="504" t="s">
        <v>726</v>
      </c>
      <c r="AA7" s="504" t="s">
        <v>727</v>
      </c>
      <c r="AB7" s="549" t="s">
        <v>764</v>
      </c>
      <c r="AC7" s="504" t="s">
        <v>765</v>
      </c>
      <c r="AD7" s="504" t="s">
        <v>766</v>
      </c>
      <c r="AE7" s="504" t="s">
        <v>742</v>
      </c>
      <c r="AF7" s="504" t="s">
        <v>767</v>
      </c>
      <c r="AG7" s="504" t="s">
        <v>768</v>
      </c>
      <c r="AH7" s="504" t="s">
        <v>715</v>
      </c>
      <c r="AI7" s="506">
        <v>2712013</v>
      </c>
      <c r="AJ7" s="506">
        <v>0</v>
      </c>
      <c r="AK7" s="506">
        <v>0</v>
      </c>
      <c r="AL7" s="506">
        <v>2712013</v>
      </c>
      <c r="AM7" s="506">
        <v>2712013</v>
      </c>
      <c r="AN7" s="506">
        <f t="shared" si="3"/>
        <v>0</v>
      </c>
      <c r="AO7" s="504" t="s">
        <v>769</v>
      </c>
      <c r="AP7" s="504" t="s">
        <v>691</v>
      </c>
      <c r="AQ7" s="504" t="s">
        <v>770</v>
      </c>
      <c r="AR7" s="504" t="s">
        <v>691</v>
      </c>
      <c r="AS7" s="505">
        <v>44564</v>
      </c>
      <c r="AT7" s="503"/>
      <c r="AU7" s="507" t="s">
        <v>399</v>
      </c>
      <c r="AV7" s="557">
        <v>0</v>
      </c>
      <c r="AW7" s="557">
        <v>0</v>
      </c>
      <c r="AX7" s="557">
        <v>2712013</v>
      </c>
      <c r="AY7" s="566">
        <f t="shared" si="0"/>
        <v>2712013</v>
      </c>
      <c r="AZ7" s="562"/>
      <c r="BA7" s="557">
        <v>0</v>
      </c>
      <c r="BB7" s="557">
        <v>0</v>
      </c>
      <c r="BC7" s="557">
        <v>2712013</v>
      </c>
      <c r="BD7" s="566">
        <f t="shared" si="1"/>
        <v>2712013</v>
      </c>
      <c r="BE7" s="562"/>
      <c r="BF7" s="566">
        <f t="shared" si="2"/>
        <v>0</v>
      </c>
      <c r="BG7" s="481"/>
      <c r="BH7" s="281"/>
      <c r="BJ7" s="511"/>
      <c r="BK7" s="511"/>
      <c r="BL7" s="511">
        <v>2712013</v>
      </c>
      <c r="BM7" s="511"/>
      <c r="BN7" s="511"/>
    </row>
    <row r="8" spans="1:66" s="281" customFormat="1">
      <c r="A8" s="594" t="s">
        <v>771</v>
      </c>
      <c r="B8" s="594">
        <v>7673</v>
      </c>
      <c r="C8" s="595" t="s">
        <v>690</v>
      </c>
      <c r="D8" s="596" t="s">
        <v>691</v>
      </c>
      <c r="E8" s="597">
        <v>44562</v>
      </c>
      <c r="F8" s="597">
        <v>44620</v>
      </c>
      <c r="G8" s="596" t="s">
        <v>692</v>
      </c>
      <c r="H8" s="597">
        <v>44562</v>
      </c>
      <c r="I8" s="596" t="s">
        <v>733</v>
      </c>
      <c r="J8" s="598" t="s">
        <v>734</v>
      </c>
      <c r="K8" s="596" t="s">
        <v>772</v>
      </c>
      <c r="L8" s="597">
        <v>44477</v>
      </c>
      <c r="M8" s="597">
        <v>44561</v>
      </c>
      <c r="N8" s="596" t="s">
        <v>773</v>
      </c>
      <c r="O8" s="596" t="s">
        <v>697</v>
      </c>
      <c r="P8" s="598" t="s">
        <v>698</v>
      </c>
      <c r="Q8" s="596" t="s">
        <v>774</v>
      </c>
      <c r="R8" s="596" t="s">
        <v>775</v>
      </c>
      <c r="S8" s="598" t="s">
        <v>776</v>
      </c>
      <c r="T8" s="598" t="s">
        <v>702</v>
      </c>
      <c r="U8" s="598" t="s">
        <v>403</v>
      </c>
      <c r="V8" s="598" t="s">
        <v>703</v>
      </c>
      <c r="W8" s="598" t="s">
        <v>704</v>
      </c>
      <c r="X8" s="598" t="s">
        <v>740</v>
      </c>
      <c r="Y8" s="598" t="s">
        <v>481</v>
      </c>
      <c r="Z8" s="598" t="s">
        <v>726</v>
      </c>
      <c r="AA8" s="598" t="s">
        <v>727</v>
      </c>
      <c r="AB8" s="596" t="s">
        <v>709</v>
      </c>
      <c r="AC8" s="598" t="s">
        <v>710</v>
      </c>
      <c r="AD8" s="598" t="s">
        <v>777</v>
      </c>
      <c r="AE8" s="598" t="s">
        <v>742</v>
      </c>
      <c r="AF8" s="598" t="s">
        <v>778</v>
      </c>
      <c r="AG8" s="598" t="s">
        <v>779</v>
      </c>
      <c r="AH8" s="598" t="s">
        <v>715</v>
      </c>
      <c r="AI8" s="599">
        <v>24000003</v>
      </c>
      <c r="AJ8" s="599">
        <v>0</v>
      </c>
      <c r="AK8" s="599">
        <v>0</v>
      </c>
      <c r="AL8" s="599">
        <v>24000003</v>
      </c>
      <c r="AM8" s="599">
        <v>24000003</v>
      </c>
      <c r="AN8" s="599">
        <f t="shared" si="3"/>
        <v>0</v>
      </c>
      <c r="AO8" s="598" t="s">
        <v>780</v>
      </c>
      <c r="AP8" s="598" t="s">
        <v>691</v>
      </c>
      <c r="AQ8" s="598" t="s">
        <v>781</v>
      </c>
      <c r="AR8" s="598" t="s">
        <v>691</v>
      </c>
      <c r="AS8" s="600">
        <v>44564</v>
      </c>
      <c r="AU8" s="594" t="s">
        <v>398</v>
      </c>
      <c r="AV8" s="601">
        <v>0</v>
      </c>
      <c r="AW8" s="557">
        <f>AL8</f>
        <v>24000003</v>
      </c>
      <c r="AX8" s="601">
        <v>0</v>
      </c>
      <c r="AY8" s="566">
        <f t="shared" si="0"/>
        <v>24000003</v>
      </c>
      <c r="AZ8" s="562"/>
      <c r="BA8" s="601">
        <v>0</v>
      </c>
      <c r="BB8" s="601">
        <f>AM8</f>
        <v>24000003</v>
      </c>
      <c r="BC8" s="601">
        <v>0</v>
      </c>
      <c r="BD8" s="566">
        <f t="shared" si="1"/>
        <v>24000003</v>
      </c>
      <c r="BE8" s="562"/>
      <c r="BF8" s="566">
        <f t="shared" si="2"/>
        <v>0</v>
      </c>
      <c r="BG8" s="481"/>
      <c r="BJ8" s="602"/>
      <c r="BK8" s="602"/>
      <c r="BL8" s="602"/>
      <c r="BM8" s="602"/>
      <c r="BN8" s="602"/>
    </row>
    <row r="9" spans="1:66" s="281" customFormat="1">
      <c r="A9" s="594" t="s">
        <v>782</v>
      </c>
      <c r="B9" s="594">
        <v>7673</v>
      </c>
      <c r="C9" s="595" t="s">
        <v>690</v>
      </c>
      <c r="D9" s="596" t="s">
        <v>691</v>
      </c>
      <c r="E9" s="597">
        <v>44562</v>
      </c>
      <c r="F9" s="597">
        <v>44620</v>
      </c>
      <c r="G9" s="596" t="s">
        <v>692</v>
      </c>
      <c r="H9" s="597">
        <v>44562</v>
      </c>
      <c r="I9" s="596" t="s">
        <v>783</v>
      </c>
      <c r="J9" s="598" t="s">
        <v>784</v>
      </c>
      <c r="K9" s="596" t="s">
        <v>785</v>
      </c>
      <c r="L9" s="597">
        <v>44525</v>
      </c>
      <c r="M9" s="597">
        <v>44561</v>
      </c>
      <c r="N9" s="596" t="s">
        <v>786</v>
      </c>
      <c r="O9" s="596" t="s">
        <v>697</v>
      </c>
      <c r="P9" s="598" t="s">
        <v>698</v>
      </c>
      <c r="Q9" s="596" t="s">
        <v>787</v>
      </c>
      <c r="R9" s="596" t="s">
        <v>788</v>
      </c>
      <c r="S9" s="598" t="s">
        <v>789</v>
      </c>
      <c r="T9" s="598" t="s">
        <v>702</v>
      </c>
      <c r="U9" s="598" t="s">
        <v>403</v>
      </c>
      <c r="V9" s="598" t="s">
        <v>703</v>
      </c>
      <c r="W9" s="598" t="s">
        <v>704</v>
      </c>
      <c r="X9" s="598" t="s">
        <v>790</v>
      </c>
      <c r="Y9" s="598" t="s">
        <v>791</v>
      </c>
      <c r="Z9" s="598" t="s">
        <v>726</v>
      </c>
      <c r="AA9" s="598" t="s">
        <v>727</v>
      </c>
      <c r="AB9" s="596" t="s">
        <v>709</v>
      </c>
      <c r="AC9" s="598" t="s">
        <v>710</v>
      </c>
      <c r="AD9" s="598" t="s">
        <v>792</v>
      </c>
      <c r="AE9" s="598" t="s">
        <v>742</v>
      </c>
      <c r="AF9" s="598" t="s">
        <v>793</v>
      </c>
      <c r="AG9" s="598" t="s">
        <v>794</v>
      </c>
      <c r="AH9" s="598" t="s">
        <v>715</v>
      </c>
      <c r="AI9" s="599">
        <v>84577253</v>
      </c>
      <c r="AJ9" s="599">
        <v>0</v>
      </c>
      <c r="AK9" s="599">
        <v>0</v>
      </c>
      <c r="AL9" s="599">
        <v>84577253</v>
      </c>
      <c r="AM9" s="599">
        <v>0</v>
      </c>
      <c r="AN9" s="599">
        <f t="shared" si="3"/>
        <v>84577253</v>
      </c>
      <c r="AO9" s="598" t="s">
        <v>795</v>
      </c>
      <c r="AP9" s="598" t="s">
        <v>691</v>
      </c>
      <c r="AQ9" s="598" t="s">
        <v>796</v>
      </c>
      <c r="AR9" s="598" t="s">
        <v>691</v>
      </c>
      <c r="AS9" s="600">
        <v>44564</v>
      </c>
      <c r="AU9" s="594" t="s">
        <v>397</v>
      </c>
      <c r="AV9" s="557">
        <f t="shared" ref="AV9:AV14" si="4">AL9</f>
        <v>84577253</v>
      </c>
      <c r="AW9" s="601">
        <v>0</v>
      </c>
      <c r="AX9" s="601">
        <v>0</v>
      </c>
      <c r="AY9" s="566">
        <f t="shared" si="0"/>
        <v>84577253</v>
      </c>
      <c r="AZ9" s="562"/>
      <c r="BA9" s="601">
        <v>0</v>
      </c>
      <c r="BB9" s="601">
        <v>0</v>
      </c>
      <c r="BC9" s="601">
        <v>0</v>
      </c>
      <c r="BD9" s="566">
        <f t="shared" si="1"/>
        <v>0</v>
      </c>
      <c r="BE9" s="562"/>
      <c r="BF9" s="566">
        <f t="shared" si="2"/>
        <v>0</v>
      </c>
      <c r="BG9" s="481"/>
      <c r="BJ9" s="602"/>
      <c r="BK9" s="602"/>
      <c r="BL9" s="602"/>
      <c r="BM9" s="602"/>
      <c r="BN9" s="602"/>
    </row>
    <row r="10" spans="1:66">
      <c r="A10" s="284" t="s">
        <v>797</v>
      </c>
      <c r="B10" s="284">
        <v>7673</v>
      </c>
      <c r="C10" s="548" t="s">
        <v>690</v>
      </c>
      <c r="D10" s="549" t="s">
        <v>691</v>
      </c>
      <c r="E10" s="552">
        <v>44562</v>
      </c>
      <c r="F10" s="552">
        <v>44620</v>
      </c>
      <c r="G10" s="549" t="s">
        <v>692</v>
      </c>
      <c r="H10" s="552">
        <v>44562</v>
      </c>
      <c r="I10" s="549" t="s">
        <v>798</v>
      </c>
      <c r="J10" s="504" t="s">
        <v>799</v>
      </c>
      <c r="K10" s="549" t="s">
        <v>800</v>
      </c>
      <c r="L10" s="552">
        <v>44530</v>
      </c>
      <c r="M10" s="552">
        <v>44561</v>
      </c>
      <c r="N10" s="549" t="s">
        <v>801</v>
      </c>
      <c r="O10" s="549" t="s">
        <v>697</v>
      </c>
      <c r="P10" s="504" t="s">
        <v>698</v>
      </c>
      <c r="Q10" s="549" t="s">
        <v>802</v>
      </c>
      <c r="R10" s="549" t="s">
        <v>803</v>
      </c>
      <c r="S10" s="504" t="s">
        <v>804</v>
      </c>
      <c r="T10" s="504" t="s">
        <v>702</v>
      </c>
      <c r="U10" s="504" t="s">
        <v>403</v>
      </c>
      <c r="V10" s="504" t="s">
        <v>703</v>
      </c>
      <c r="W10" s="504" t="s">
        <v>704</v>
      </c>
      <c r="X10" s="504" t="s">
        <v>805</v>
      </c>
      <c r="Y10" s="504" t="s">
        <v>806</v>
      </c>
      <c r="Z10" s="504" t="s">
        <v>726</v>
      </c>
      <c r="AA10" s="504" t="s">
        <v>727</v>
      </c>
      <c r="AB10" s="549" t="s">
        <v>807</v>
      </c>
      <c r="AC10" s="504" t="s">
        <v>808</v>
      </c>
      <c r="AD10" s="504" t="s">
        <v>809</v>
      </c>
      <c r="AE10" s="504" t="s">
        <v>742</v>
      </c>
      <c r="AF10" s="504" t="s">
        <v>810</v>
      </c>
      <c r="AG10" s="504" t="s">
        <v>811</v>
      </c>
      <c r="AH10" s="504" t="s">
        <v>715</v>
      </c>
      <c r="AI10" s="506">
        <v>16000000</v>
      </c>
      <c r="AJ10" s="506">
        <v>0</v>
      </c>
      <c r="AK10" s="506">
        <v>0</v>
      </c>
      <c r="AL10" s="506">
        <v>16000000</v>
      </c>
      <c r="AM10" s="506">
        <v>3514700</v>
      </c>
      <c r="AN10" s="506">
        <f t="shared" si="3"/>
        <v>12485300</v>
      </c>
      <c r="AO10" s="504" t="s">
        <v>812</v>
      </c>
      <c r="AP10" s="504" t="s">
        <v>691</v>
      </c>
      <c r="AQ10" s="504" t="s">
        <v>813</v>
      </c>
      <c r="AR10" s="504" t="s">
        <v>691</v>
      </c>
      <c r="AS10" s="505">
        <v>44564</v>
      </c>
      <c r="AT10" s="503"/>
      <c r="AU10" s="507" t="s">
        <v>397</v>
      </c>
      <c r="AV10" s="557">
        <f t="shared" si="4"/>
        <v>16000000</v>
      </c>
      <c r="AW10" s="557">
        <v>0</v>
      </c>
      <c r="AX10" s="557">
        <v>0</v>
      </c>
      <c r="AY10" s="566">
        <f t="shared" si="0"/>
        <v>16000000</v>
      </c>
      <c r="AZ10" s="562"/>
      <c r="BA10" s="557">
        <v>3514700</v>
      </c>
      <c r="BB10" s="557">
        <v>0</v>
      </c>
      <c r="BC10" s="557">
        <v>0</v>
      </c>
      <c r="BD10" s="566">
        <f t="shared" si="1"/>
        <v>3514700</v>
      </c>
      <c r="BE10" s="562"/>
      <c r="BF10" s="566">
        <f t="shared" si="2"/>
        <v>0</v>
      </c>
      <c r="BG10" s="481"/>
      <c r="BH10" s="281"/>
      <c r="BJ10" s="511"/>
      <c r="BK10" s="511"/>
      <c r="BL10" s="511"/>
      <c r="BM10" s="511"/>
      <c r="BN10" s="511"/>
    </row>
    <row r="11" spans="1:66" s="281" customFormat="1">
      <c r="A11" s="594" t="s">
        <v>814</v>
      </c>
      <c r="B11" s="594">
        <v>7673</v>
      </c>
      <c r="C11" s="595" t="s">
        <v>690</v>
      </c>
      <c r="D11" s="596" t="s">
        <v>691</v>
      </c>
      <c r="E11" s="597">
        <v>44562</v>
      </c>
      <c r="F11" s="597">
        <v>44620</v>
      </c>
      <c r="G11" s="596" t="s">
        <v>692</v>
      </c>
      <c r="H11" s="597">
        <v>44562</v>
      </c>
      <c r="I11" s="596" t="s">
        <v>783</v>
      </c>
      <c r="J11" s="598" t="s">
        <v>784</v>
      </c>
      <c r="K11" s="596">
        <v>963</v>
      </c>
      <c r="L11" s="597">
        <v>44554</v>
      </c>
      <c r="M11" s="597">
        <v>44561</v>
      </c>
      <c r="N11" s="596" t="s">
        <v>816</v>
      </c>
      <c r="O11" s="596" t="s">
        <v>697</v>
      </c>
      <c r="P11" s="598" t="s">
        <v>698</v>
      </c>
      <c r="Q11" s="596" t="s">
        <v>817</v>
      </c>
      <c r="R11" s="596">
        <v>1634</v>
      </c>
      <c r="S11" s="598" t="s">
        <v>819</v>
      </c>
      <c r="T11" s="598" t="s">
        <v>702</v>
      </c>
      <c r="U11" s="598" t="s">
        <v>403</v>
      </c>
      <c r="V11" s="598" t="s">
        <v>703</v>
      </c>
      <c r="W11" s="598" t="s">
        <v>704</v>
      </c>
      <c r="X11" s="598" t="s">
        <v>740</v>
      </c>
      <c r="Y11" s="598" t="s">
        <v>481</v>
      </c>
      <c r="Z11" s="598" t="s">
        <v>726</v>
      </c>
      <c r="AA11" s="598" t="s">
        <v>727</v>
      </c>
      <c r="AB11" s="596" t="s">
        <v>820</v>
      </c>
      <c r="AC11" s="598" t="s">
        <v>821</v>
      </c>
      <c r="AD11" s="598" t="s">
        <v>822</v>
      </c>
      <c r="AE11" s="598" t="s">
        <v>742</v>
      </c>
      <c r="AF11" s="598" t="s">
        <v>823</v>
      </c>
      <c r="AG11" s="598" t="s">
        <v>824</v>
      </c>
      <c r="AH11" s="598" t="s">
        <v>715</v>
      </c>
      <c r="AI11" s="599">
        <v>31500000</v>
      </c>
      <c r="AJ11" s="599">
        <v>0</v>
      </c>
      <c r="AK11" s="599">
        <v>0</v>
      </c>
      <c r="AL11" s="599">
        <v>31500000</v>
      </c>
      <c r="AM11" s="599">
        <v>31500000</v>
      </c>
      <c r="AN11" s="599">
        <f t="shared" si="3"/>
        <v>0</v>
      </c>
      <c r="AO11" s="598" t="s">
        <v>825</v>
      </c>
      <c r="AP11" s="598" t="s">
        <v>691</v>
      </c>
      <c r="AQ11" s="598" t="s">
        <v>826</v>
      </c>
      <c r="AR11" s="598" t="s">
        <v>691</v>
      </c>
      <c r="AS11" s="600">
        <v>44564</v>
      </c>
      <c r="AU11" s="594" t="s">
        <v>397</v>
      </c>
      <c r="AV11" s="601">
        <f t="shared" si="4"/>
        <v>31500000</v>
      </c>
      <c r="AW11" s="601">
        <v>0</v>
      </c>
      <c r="AX11" s="601">
        <v>0</v>
      </c>
      <c r="AY11" s="566">
        <f t="shared" si="0"/>
        <v>31500000</v>
      </c>
      <c r="AZ11" s="562"/>
      <c r="BA11" s="557">
        <v>31500000</v>
      </c>
      <c r="BB11" s="557">
        <v>0</v>
      </c>
      <c r="BC11" s="557">
        <v>0</v>
      </c>
      <c r="BD11" s="566">
        <f t="shared" si="1"/>
        <v>31500000</v>
      </c>
      <c r="BE11" s="562"/>
      <c r="BF11" s="566">
        <f t="shared" si="2"/>
        <v>0</v>
      </c>
      <c r="BG11" s="481"/>
      <c r="BJ11" s="602"/>
      <c r="BK11" s="602"/>
      <c r="BL11" s="602"/>
      <c r="BM11" s="602"/>
      <c r="BN11" s="602"/>
    </row>
    <row r="12" spans="1:66" s="281" customFormat="1">
      <c r="A12" s="594" t="s">
        <v>827</v>
      </c>
      <c r="B12" s="594">
        <v>7673</v>
      </c>
      <c r="C12" s="595" t="s">
        <v>690</v>
      </c>
      <c r="D12" s="596" t="s">
        <v>691</v>
      </c>
      <c r="E12" s="597">
        <v>44562</v>
      </c>
      <c r="F12" s="597">
        <v>44620</v>
      </c>
      <c r="G12" s="596" t="s">
        <v>692</v>
      </c>
      <c r="H12" s="597">
        <v>44562</v>
      </c>
      <c r="I12" s="596" t="s">
        <v>820</v>
      </c>
      <c r="J12" s="598" t="s">
        <v>828</v>
      </c>
      <c r="K12" s="596">
        <v>78092</v>
      </c>
      <c r="L12" s="597">
        <v>44490</v>
      </c>
      <c r="M12" s="597">
        <v>44497</v>
      </c>
      <c r="N12" s="596" t="s">
        <v>816</v>
      </c>
      <c r="O12" s="596" t="s">
        <v>697</v>
      </c>
      <c r="P12" s="598" t="s">
        <v>698</v>
      </c>
      <c r="Q12" s="596" t="s">
        <v>830</v>
      </c>
      <c r="R12" s="596" t="s">
        <v>831</v>
      </c>
      <c r="S12" s="598" t="s">
        <v>832</v>
      </c>
      <c r="T12" s="598" t="s">
        <v>702</v>
      </c>
      <c r="U12" s="598" t="s">
        <v>403</v>
      </c>
      <c r="V12" s="598" t="s">
        <v>703</v>
      </c>
      <c r="W12" s="598" t="s">
        <v>704</v>
      </c>
      <c r="X12" s="598" t="s">
        <v>805</v>
      </c>
      <c r="Y12" s="598" t="s">
        <v>806</v>
      </c>
      <c r="Z12" s="598" t="s">
        <v>726</v>
      </c>
      <c r="AA12" s="598" t="s">
        <v>727</v>
      </c>
      <c r="AB12" s="596" t="s">
        <v>820</v>
      </c>
      <c r="AC12" s="598" t="s">
        <v>821</v>
      </c>
      <c r="AD12" s="598" t="s">
        <v>833</v>
      </c>
      <c r="AE12" s="598" t="s">
        <v>742</v>
      </c>
      <c r="AF12" s="598" t="s">
        <v>834</v>
      </c>
      <c r="AG12" s="598" t="s">
        <v>835</v>
      </c>
      <c r="AH12" s="598" t="s">
        <v>715</v>
      </c>
      <c r="AI12" s="599">
        <v>4759996</v>
      </c>
      <c r="AJ12" s="599">
        <v>4759996</v>
      </c>
      <c r="AK12" s="599">
        <v>0</v>
      </c>
      <c r="AL12" s="599">
        <v>0</v>
      </c>
      <c r="AM12" s="599">
        <v>0</v>
      </c>
      <c r="AN12" s="599">
        <f t="shared" si="3"/>
        <v>0</v>
      </c>
      <c r="AO12" s="598" t="s">
        <v>836</v>
      </c>
      <c r="AP12" s="598" t="s">
        <v>691</v>
      </c>
      <c r="AQ12" s="598" t="s">
        <v>837</v>
      </c>
      <c r="AR12" s="598" t="s">
        <v>691</v>
      </c>
      <c r="AS12" s="600">
        <v>44564</v>
      </c>
      <c r="AU12" s="594" t="s">
        <v>397</v>
      </c>
      <c r="AV12" s="601">
        <f t="shared" si="4"/>
        <v>0</v>
      </c>
      <c r="AW12" s="601">
        <v>0</v>
      </c>
      <c r="AX12" s="601">
        <v>0</v>
      </c>
      <c r="AY12" s="566">
        <f t="shared" si="0"/>
        <v>0</v>
      </c>
      <c r="AZ12" s="562"/>
      <c r="BA12" s="601">
        <v>0</v>
      </c>
      <c r="BB12" s="601">
        <v>0</v>
      </c>
      <c r="BC12" s="601">
        <v>0</v>
      </c>
      <c r="BD12" s="566">
        <f t="shared" si="1"/>
        <v>0</v>
      </c>
      <c r="BE12" s="562"/>
      <c r="BF12" s="566">
        <f t="shared" si="2"/>
        <v>0</v>
      </c>
      <c r="BG12" s="481"/>
      <c r="BJ12" s="602"/>
      <c r="BK12" s="602"/>
      <c r="BL12" s="602"/>
      <c r="BM12" s="602"/>
      <c r="BN12" s="602"/>
    </row>
    <row r="13" spans="1:66">
      <c r="A13" s="284" t="s">
        <v>838</v>
      </c>
      <c r="B13" s="284">
        <v>7673</v>
      </c>
      <c r="C13" s="548" t="s">
        <v>690</v>
      </c>
      <c r="D13" s="549" t="s">
        <v>691</v>
      </c>
      <c r="E13" s="552">
        <v>44562</v>
      </c>
      <c r="F13" s="552">
        <v>44620</v>
      </c>
      <c r="G13" s="549" t="s">
        <v>692</v>
      </c>
      <c r="H13" s="552">
        <v>44562</v>
      </c>
      <c r="I13" s="549" t="s">
        <v>820</v>
      </c>
      <c r="J13" s="504" t="s">
        <v>828</v>
      </c>
      <c r="K13" s="549" t="s">
        <v>839</v>
      </c>
      <c r="L13" s="552">
        <v>44557</v>
      </c>
      <c r="M13" s="552">
        <v>44561</v>
      </c>
      <c r="N13" s="549" t="s">
        <v>840</v>
      </c>
      <c r="O13" s="549" t="s">
        <v>697</v>
      </c>
      <c r="P13" s="504" t="s">
        <v>698</v>
      </c>
      <c r="Q13" s="549" t="s">
        <v>841</v>
      </c>
      <c r="R13" s="549" t="s">
        <v>842</v>
      </c>
      <c r="S13" s="504" t="s">
        <v>843</v>
      </c>
      <c r="T13" s="504" t="s">
        <v>702</v>
      </c>
      <c r="U13" s="504" t="s">
        <v>403</v>
      </c>
      <c r="V13" s="504" t="s">
        <v>703</v>
      </c>
      <c r="W13" s="504" t="s">
        <v>704</v>
      </c>
      <c r="X13" s="504" t="s">
        <v>844</v>
      </c>
      <c r="Y13" s="504" t="s">
        <v>845</v>
      </c>
      <c r="Z13" s="504" t="s">
        <v>726</v>
      </c>
      <c r="AA13" s="504" t="s">
        <v>727</v>
      </c>
      <c r="AB13" s="549" t="s">
        <v>846</v>
      </c>
      <c r="AC13" s="504" t="s">
        <v>847</v>
      </c>
      <c r="AD13" s="504" t="s">
        <v>848</v>
      </c>
      <c r="AE13" s="504" t="s">
        <v>742</v>
      </c>
      <c r="AF13" s="504" t="s">
        <v>849</v>
      </c>
      <c r="AG13" s="504" t="s">
        <v>850</v>
      </c>
      <c r="AH13" s="504" t="s">
        <v>715</v>
      </c>
      <c r="AI13" s="506">
        <v>130507157</v>
      </c>
      <c r="AJ13" s="506">
        <v>0</v>
      </c>
      <c r="AK13" s="506">
        <v>0</v>
      </c>
      <c r="AL13" s="506">
        <v>130507157</v>
      </c>
      <c r="AM13" s="506">
        <v>130507157</v>
      </c>
      <c r="AN13" s="506">
        <f t="shared" si="3"/>
        <v>0</v>
      </c>
      <c r="AO13" s="504" t="s">
        <v>851</v>
      </c>
      <c r="AP13" s="504" t="s">
        <v>691</v>
      </c>
      <c r="AQ13" s="504" t="s">
        <v>852</v>
      </c>
      <c r="AR13" s="504" t="s">
        <v>691</v>
      </c>
      <c r="AS13" s="505">
        <v>44564</v>
      </c>
      <c r="AT13" s="503"/>
      <c r="AU13" s="507" t="s">
        <v>853</v>
      </c>
      <c r="AV13" s="557">
        <f t="shared" si="4"/>
        <v>130507157</v>
      </c>
      <c r="AW13" s="557">
        <v>0</v>
      </c>
      <c r="AX13" s="557">
        <v>0</v>
      </c>
      <c r="AY13" s="566">
        <f t="shared" si="0"/>
        <v>130507157</v>
      </c>
      <c r="AZ13" s="562"/>
      <c r="BA13" s="557">
        <f>120066584.44+10440572.56</f>
        <v>130507157</v>
      </c>
      <c r="BB13" s="557">
        <v>0</v>
      </c>
      <c r="BC13" s="557"/>
      <c r="BD13" s="566">
        <f t="shared" si="1"/>
        <v>130507157</v>
      </c>
      <c r="BE13" s="562"/>
      <c r="BF13" s="566">
        <f t="shared" si="2"/>
        <v>0</v>
      </c>
      <c r="BG13" s="481"/>
      <c r="BH13" s="281"/>
      <c r="BJ13" s="511"/>
      <c r="BK13" s="511"/>
      <c r="BL13" s="511"/>
      <c r="BM13" s="511"/>
      <c r="BN13" s="511"/>
    </row>
    <row r="14" spans="1:66">
      <c r="A14" s="284" t="s">
        <v>854</v>
      </c>
      <c r="B14" s="284">
        <v>7673</v>
      </c>
      <c r="C14" s="548" t="s">
        <v>690</v>
      </c>
      <c r="D14" s="549" t="s">
        <v>691</v>
      </c>
      <c r="E14" s="552">
        <v>44562</v>
      </c>
      <c r="F14" s="552">
        <v>44620</v>
      </c>
      <c r="G14" s="549" t="s">
        <v>692</v>
      </c>
      <c r="H14" s="552">
        <v>44562</v>
      </c>
      <c r="I14" s="549" t="s">
        <v>733</v>
      </c>
      <c r="J14" s="504" t="s">
        <v>734</v>
      </c>
      <c r="K14" s="549" t="s">
        <v>855</v>
      </c>
      <c r="L14" s="552">
        <v>44319</v>
      </c>
      <c r="M14" s="552">
        <v>44377</v>
      </c>
      <c r="N14" s="549" t="s">
        <v>856</v>
      </c>
      <c r="O14" s="549" t="s">
        <v>697</v>
      </c>
      <c r="P14" s="504" t="s">
        <v>698</v>
      </c>
      <c r="Q14" s="549" t="s">
        <v>857</v>
      </c>
      <c r="R14" s="549" t="s">
        <v>858</v>
      </c>
      <c r="S14" s="504" t="s">
        <v>859</v>
      </c>
      <c r="T14" s="504" t="s">
        <v>702</v>
      </c>
      <c r="U14" s="504" t="s">
        <v>403</v>
      </c>
      <c r="V14" s="504" t="s">
        <v>703</v>
      </c>
      <c r="W14" s="504" t="s">
        <v>704</v>
      </c>
      <c r="X14" s="504" t="s">
        <v>740</v>
      </c>
      <c r="Y14" s="504" t="s">
        <v>481</v>
      </c>
      <c r="Z14" s="504" t="s">
        <v>726</v>
      </c>
      <c r="AA14" s="504" t="s">
        <v>727</v>
      </c>
      <c r="AB14" s="549" t="s">
        <v>709</v>
      </c>
      <c r="AC14" s="504" t="s">
        <v>710</v>
      </c>
      <c r="AD14" s="504" t="s">
        <v>741</v>
      </c>
      <c r="AE14" s="504" t="s">
        <v>742</v>
      </c>
      <c r="AF14" s="504" t="s">
        <v>743</v>
      </c>
      <c r="AG14" s="504" t="s">
        <v>744</v>
      </c>
      <c r="AH14" s="504" t="s">
        <v>715</v>
      </c>
      <c r="AI14" s="506">
        <v>4167765</v>
      </c>
      <c r="AJ14" s="506">
        <v>0</v>
      </c>
      <c r="AK14" s="506">
        <v>0</v>
      </c>
      <c r="AL14" s="506">
        <v>4167765</v>
      </c>
      <c r="AM14" s="506">
        <v>0</v>
      </c>
      <c r="AN14" s="506">
        <f t="shared" si="3"/>
        <v>4167765</v>
      </c>
      <c r="AO14" s="504" t="s">
        <v>860</v>
      </c>
      <c r="AP14" s="504" t="s">
        <v>691</v>
      </c>
      <c r="AQ14" s="504" t="s">
        <v>861</v>
      </c>
      <c r="AR14" s="504" t="s">
        <v>691</v>
      </c>
      <c r="AS14" s="505">
        <v>44564</v>
      </c>
      <c r="AT14" s="503"/>
      <c r="AU14" s="507" t="s">
        <v>397</v>
      </c>
      <c r="AV14" s="557">
        <f t="shared" si="4"/>
        <v>4167765</v>
      </c>
      <c r="AW14" s="557">
        <v>0</v>
      </c>
      <c r="AX14" s="557">
        <v>0</v>
      </c>
      <c r="AY14" s="566">
        <f t="shared" si="0"/>
        <v>4167765</v>
      </c>
      <c r="AZ14" s="562"/>
      <c r="BA14" s="557">
        <v>0</v>
      </c>
      <c r="BB14" s="557">
        <v>0</v>
      </c>
      <c r="BC14" s="557">
        <v>0</v>
      </c>
      <c r="BD14" s="566">
        <f t="shared" si="1"/>
        <v>0</v>
      </c>
      <c r="BE14" s="562"/>
      <c r="BF14" s="566">
        <f t="shared" si="2"/>
        <v>0</v>
      </c>
      <c r="BG14" s="481"/>
      <c r="BH14" s="281"/>
      <c r="BJ14" s="511"/>
      <c r="BK14" s="511"/>
      <c r="BL14" s="511"/>
      <c r="BM14" s="511"/>
      <c r="BN14" s="511"/>
    </row>
    <row r="15" spans="1:66" s="281" customFormat="1">
      <c r="A15" s="603"/>
      <c r="B15" s="603"/>
      <c r="C15" s="595"/>
      <c r="D15" s="595"/>
      <c r="E15" s="595"/>
      <c r="F15" s="595"/>
      <c r="G15" s="595"/>
      <c r="H15" s="595"/>
      <c r="I15" s="595"/>
      <c r="J15" s="603"/>
      <c r="K15" s="595"/>
      <c r="L15" s="595"/>
      <c r="M15" s="595"/>
      <c r="N15" s="595"/>
      <c r="O15" s="595"/>
      <c r="P15" s="603"/>
      <c r="Q15" s="595"/>
      <c r="R15" s="595"/>
      <c r="S15" s="603"/>
      <c r="T15" s="603"/>
      <c r="U15" s="603"/>
      <c r="V15" s="603"/>
      <c r="W15" s="603"/>
      <c r="X15" s="603"/>
      <c r="Y15" s="603"/>
      <c r="Z15" s="603"/>
      <c r="AA15" s="603"/>
      <c r="AB15" s="595"/>
      <c r="AC15" s="603"/>
      <c r="AD15" s="603"/>
      <c r="AE15" s="603"/>
      <c r="AF15" s="603"/>
      <c r="AG15" s="603"/>
      <c r="AH15" s="603"/>
      <c r="AI15" s="604">
        <f t="shared" ref="AI15:AN15" si="5">SUM(AI3:AI14)</f>
        <v>561068415</v>
      </c>
      <c r="AJ15" s="604">
        <f t="shared" si="5"/>
        <v>4759996</v>
      </c>
      <c r="AK15" s="604">
        <f t="shared" si="5"/>
        <v>0</v>
      </c>
      <c r="AL15" s="604">
        <f t="shared" si="5"/>
        <v>556308419</v>
      </c>
      <c r="AM15" s="604">
        <f t="shared" si="5"/>
        <v>285228538</v>
      </c>
      <c r="AN15" s="604">
        <f t="shared" si="5"/>
        <v>271079881</v>
      </c>
      <c r="AO15" s="603"/>
      <c r="AP15" s="603"/>
      <c r="AQ15" s="603"/>
      <c r="AR15" s="603"/>
      <c r="AS15" s="603"/>
      <c r="AT15" s="603"/>
      <c r="AU15" s="603"/>
      <c r="AV15" s="605"/>
      <c r="AW15" s="605"/>
      <c r="AX15" s="605"/>
      <c r="AY15" s="605"/>
      <c r="AZ15" s="606"/>
      <c r="BA15" s="605"/>
      <c r="BB15" s="605"/>
      <c r="BC15" s="605"/>
      <c r="BD15" s="605"/>
      <c r="BE15" s="606"/>
      <c r="BF15" s="605"/>
      <c r="BG15" s="481"/>
      <c r="BJ15" s="602"/>
      <c r="BK15" s="602"/>
      <c r="BL15" s="602"/>
      <c r="BM15" s="602"/>
      <c r="BN15" s="602"/>
    </row>
    <row r="16" spans="1:66">
      <c r="A16" s="285"/>
      <c r="B16" s="285"/>
      <c r="C16" s="548"/>
      <c r="D16" s="548"/>
      <c r="E16" s="548"/>
      <c r="F16" s="548"/>
      <c r="G16" s="548"/>
      <c r="H16" s="548"/>
      <c r="I16" s="548"/>
      <c r="J16" s="285"/>
      <c r="K16" s="548"/>
      <c r="L16" s="548"/>
      <c r="M16" s="548"/>
      <c r="N16" s="548"/>
      <c r="O16" s="548"/>
      <c r="P16" s="285"/>
      <c r="Q16" s="548"/>
      <c r="R16" s="548"/>
      <c r="S16" s="285"/>
      <c r="T16" s="285"/>
      <c r="U16" s="285"/>
      <c r="V16" s="285"/>
      <c r="W16" s="285"/>
      <c r="X16" s="285"/>
      <c r="Y16" s="285"/>
      <c r="Z16" s="285"/>
      <c r="AA16" s="285"/>
      <c r="AB16" s="548"/>
      <c r="AC16" s="285"/>
      <c r="AD16" s="285"/>
      <c r="AE16" s="285"/>
      <c r="AF16" s="285"/>
      <c r="AG16" s="285"/>
      <c r="AH16" s="285"/>
      <c r="AI16" s="285"/>
      <c r="AJ16" s="285"/>
      <c r="AK16" s="285"/>
      <c r="AL16" s="285"/>
      <c r="AM16" s="285"/>
      <c r="AN16" s="285"/>
      <c r="AO16" s="285"/>
      <c r="AP16" s="285"/>
      <c r="AQ16" s="285"/>
      <c r="AR16" s="286">
        <v>5753056358</v>
      </c>
      <c r="AS16" s="285"/>
      <c r="AT16" s="285"/>
      <c r="AU16" s="285"/>
      <c r="AV16" s="559">
        <f>SUM(AV3:AV14)</f>
        <v>509879416.29999995</v>
      </c>
      <c r="AW16" s="559">
        <f t="shared" ref="AW16:AY16" si="6">SUM(AW3:AW14)</f>
        <v>24000003</v>
      </c>
      <c r="AX16" s="559">
        <f t="shared" si="6"/>
        <v>22428999.699999999</v>
      </c>
      <c r="AY16" s="559">
        <f t="shared" si="6"/>
        <v>556308419</v>
      </c>
      <c r="AZ16" s="567"/>
      <c r="BA16" s="559">
        <f>SUM(BA3:BA14)</f>
        <v>248675509.07999998</v>
      </c>
      <c r="BB16" s="559">
        <f t="shared" ref="BB16:BD16" si="7">SUM(BB3:BB14)</f>
        <v>24000003</v>
      </c>
      <c r="BC16" s="559">
        <f t="shared" si="7"/>
        <v>12553025.92</v>
      </c>
      <c r="BD16" s="559">
        <f t="shared" si="7"/>
        <v>285228538</v>
      </c>
      <c r="BE16" s="567">
        <f t="shared" ref="BE16:BF16" si="8">SUM(BE3:BE15)</f>
        <v>0</v>
      </c>
      <c r="BF16" s="558">
        <f t="shared" si="8"/>
        <v>0</v>
      </c>
      <c r="BG16" s="481"/>
      <c r="BJ16" s="511">
        <f>SUM(BJ3:BJ15)</f>
        <v>4533333</v>
      </c>
      <c r="BK16" s="511">
        <f>SUM(BK3:BK15)</f>
        <v>0</v>
      </c>
      <c r="BL16" s="511">
        <f>SUM(BL3:BL15)</f>
        <v>6507926.4249999998</v>
      </c>
      <c r="BM16" s="511">
        <f>SUM(BM3:BM15)</f>
        <v>7591826.8499999996</v>
      </c>
      <c r="BN16" s="511">
        <f>SUM(BN3:BN15)</f>
        <v>0</v>
      </c>
    </row>
    <row r="18" spans="48:59">
      <c r="BD18" s="558"/>
      <c r="BE18" s="567"/>
      <c r="BF18" s="558"/>
      <c r="BG18" s="481"/>
    </row>
    <row r="19" spans="48:59">
      <c r="BE19" s="567"/>
      <c r="BF19" s="558"/>
    </row>
    <row r="32" spans="48:59">
      <c r="AV32" s="1086" t="s">
        <v>641</v>
      </c>
      <c r="AW32" s="1086"/>
      <c r="AX32" s="1086"/>
      <c r="BA32" s="1086" t="s">
        <v>642</v>
      </c>
      <c r="BB32" s="1086"/>
      <c r="BC32" s="1086"/>
    </row>
    <row r="33" spans="1:59" s="72" customFormat="1" ht="60">
      <c r="D33" s="508" t="s">
        <v>646</v>
      </c>
      <c r="E33" s="508" t="s">
        <v>647</v>
      </c>
      <c r="F33" s="508" t="s">
        <v>648</v>
      </c>
      <c r="G33" s="508" t="s">
        <v>649</v>
      </c>
      <c r="H33" s="508" t="s">
        <v>650</v>
      </c>
      <c r="I33" s="508" t="s">
        <v>651</v>
      </c>
      <c r="J33" s="508" t="s">
        <v>652</v>
      </c>
      <c r="K33" s="509" t="s">
        <v>653</v>
      </c>
      <c r="L33" s="508" t="s">
        <v>647</v>
      </c>
      <c r="M33" s="508" t="s">
        <v>648</v>
      </c>
      <c r="N33" s="508" t="s">
        <v>654</v>
      </c>
      <c r="O33" s="508" t="s">
        <v>655</v>
      </c>
      <c r="P33" s="508" t="s">
        <v>594</v>
      </c>
      <c r="Q33" s="508" t="s">
        <v>656</v>
      </c>
      <c r="R33" s="508" t="s">
        <v>657</v>
      </c>
      <c r="S33" s="508" t="s">
        <v>658</v>
      </c>
      <c r="T33" s="508" t="s">
        <v>659</v>
      </c>
      <c r="U33" s="508" t="s">
        <v>660</v>
      </c>
      <c r="V33" s="508" t="s">
        <v>661</v>
      </c>
      <c r="W33" s="508" t="s">
        <v>662</v>
      </c>
      <c r="X33" s="508" t="s">
        <v>663</v>
      </c>
      <c r="Y33" s="508" t="s">
        <v>664</v>
      </c>
      <c r="Z33" s="508" t="s">
        <v>665</v>
      </c>
      <c r="AA33" s="508" t="s">
        <v>666</v>
      </c>
      <c r="AB33" s="508" t="s">
        <v>667</v>
      </c>
      <c r="AC33" s="508" t="s">
        <v>594</v>
      </c>
      <c r="AD33" s="508" t="s">
        <v>668</v>
      </c>
      <c r="AE33" s="508" t="s">
        <v>669</v>
      </c>
      <c r="AF33" s="508" t="s">
        <v>670</v>
      </c>
      <c r="AG33" s="508" t="s">
        <v>671</v>
      </c>
      <c r="AH33" s="508" t="s">
        <v>672</v>
      </c>
      <c r="AI33" s="508" t="s">
        <v>673</v>
      </c>
      <c r="AJ33" s="508" t="s">
        <v>674</v>
      </c>
      <c r="AK33" s="508" t="s">
        <v>675</v>
      </c>
      <c r="AL33" s="508" t="s">
        <v>676</v>
      </c>
      <c r="AM33" s="508" t="s">
        <v>677</v>
      </c>
      <c r="AN33" s="508" t="s">
        <v>678</v>
      </c>
      <c r="AO33" s="508" t="s">
        <v>679</v>
      </c>
      <c r="AP33" s="508" t="s">
        <v>680</v>
      </c>
      <c r="AQ33" s="508" t="s">
        <v>681</v>
      </c>
      <c r="AR33" s="508" t="s">
        <v>682</v>
      </c>
      <c r="AS33" s="508" t="s">
        <v>683</v>
      </c>
      <c r="AU33" s="451"/>
      <c r="AV33" s="556" t="s">
        <v>397</v>
      </c>
      <c r="AW33" s="556" t="s">
        <v>398</v>
      </c>
      <c r="AX33" s="556" t="s">
        <v>399</v>
      </c>
      <c r="AY33" s="565"/>
      <c r="AZ33" s="568"/>
      <c r="BA33" s="556" t="s">
        <v>397</v>
      </c>
      <c r="BB33" s="556" t="s">
        <v>398</v>
      </c>
      <c r="BC33" s="556" t="s">
        <v>399</v>
      </c>
      <c r="BD33" s="565"/>
      <c r="BE33" s="568"/>
      <c r="BF33" s="565"/>
      <c r="BG33" s="498"/>
    </row>
    <row r="34" spans="1:59" s="281" customFormat="1">
      <c r="A34" s="503"/>
      <c r="B34" s="503">
        <f>K34-K3</f>
        <v>0</v>
      </c>
      <c r="C34" s="554"/>
      <c r="D34" s="549" t="s">
        <v>691</v>
      </c>
      <c r="E34" s="552">
        <v>44562</v>
      </c>
      <c r="F34" s="552">
        <v>44620</v>
      </c>
      <c r="G34" s="549" t="s">
        <v>692</v>
      </c>
      <c r="H34" s="552">
        <v>44562</v>
      </c>
      <c r="I34" s="549" t="s">
        <v>693</v>
      </c>
      <c r="J34" s="504" t="s">
        <v>694</v>
      </c>
      <c r="K34" s="549" t="s">
        <v>695</v>
      </c>
      <c r="L34" s="552">
        <v>44230</v>
      </c>
      <c r="M34" s="552">
        <v>44561</v>
      </c>
      <c r="N34" s="549" t="s">
        <v>696</v>
      </c>
      <c r="O34" s="549" t="s">
        <v>697</v>
      </c>
      <c r="P34" s="504" t="s">
        <v>698</v>
      </c>
      <c r="Q34" s="549" t="s">
        <v>699</v>
      </c>
      <c r="R34" s="549" t="s">
        <v>700</v>
      </c>
      <c r="S34" s="504" t="s">
        <v>701</v>
      </c>
      <c r="T34" s="504" t="s">
        <v>702</v>
      </c>
      <c r="U34" s="504" t="s">
        <v>403</v>
      </c>
      <c r="V34" s="504" t="s">
        <v>703</v>
      </c>
      <c r="W34" s="504" t="s">
        <v>704</v>
      </c>
      <c r="X34" s="504" t="s">
        <v>705</v>
      </c>
      <c r="Y34" s="504" t="s">
        <v>706</v>
      </c>
      <c r="Z34" s="504" t="s">
        <v>707</v>
      </c>
      <c r="AA34" s="504" t="s">
        <v>708</v>
      </c>
      <c r="AB34" s="549" t="s">
        <v>709</v>
      </c>
      <c r="AC34" s="504" t="s">
        <v>710</v>
      </c>
      <c r="AD34" s="504" t="s">
        <v>711</v>
      </c>
      <c r="AE34" s="504" t="s">
        <v>712</v>
      </c>
      <c r="AF34" s="504" t="s">
        <v>713</v>
      </c>
      <c r="AG34" s="504" t="s">
        <v>714</v>
      </c>
      <c r="AH34" s="504" t="s">
        <v>715</v>
      </c>
      <c r="AI34" s="506">
        <v>5250000</v>
      </c>
      <c r="AJ34" s="506">
        <v>0</v>
      </c>
      <c r="AK34" s="506">
        <v>0</v>
      </c>
      <c r="AL34" s="506">
        <v>5250000</v>
      </c>
      <c r="AM34" s="506">
        <v>0</v>
      </c>
      <c r="AN34" s="506">
        <f>AI34-AJ34-AK34-AM34</f>
        <v>5250000</v>
      </c>
      <c r="AO34" s="504" t="s">
        <v>716</v>
      </c>
      <c r="AP34" s="504" t="s">
        <v>691</v>
      </c>
      <c r="AQ34" s="504" t="s">
        <v>717</v>
      </c>
      <c r="AR34" s="504" t="s">
        <v>691</v>
      </c>
      <c r="AS34" s="505">
        <v>44564</v>
      </c>
      <c r="AT34" s="503"/>
      <c r="AU34" s="507" t="s">
        <v>397</v>
      </c>
      <c r="AV34" s="557">
        <f>AL34</f>
        <v>5250000</v>
      </c>
      <c r="AW34" s="557">
        <v>0</v>
      </c>
      <c r="AX34" s="557">
        <v>0</v>
      </c>
      <c r="AY34" s="566">
        <f t="shared" ref="AY34:AY45" si="9">SUM(AV34:AX34)</f>
        <v>5250000</v>
      </c>
      <c r="AZ34" s="569"/>
      <c r="BA34" s="557">
        <f>AM34</f>
        <v>0</v>
      </c>
      <c r="BB34" s="557">
        <v>0</v>
      </c>
      <c r="BC34" s="557">
        <v>0</v>
      </c>
      <c r="BD34" s="566">
        <f t="shared" ref="BD34:BD47" si="10">SUM(BA34:BC34)</f>
        <v>0</v>
      </c>
      <c r="BE34" s="569"/>
      <c r="BF34" s="566">
        <f>BD34-AM34</f>
        <v>0</v>
      </c>
      <c r="BG34" s="481"/>
    </row>
    <row r="35" spans="1:59" s="281" customFormat="1">
      <c r="A35" s="503"/>
      <c r="B35" s="503">
        <f t="shared" ref="B35:B45" si="11">K35-K4</f>
        <v>0</v>
      </c>
      <c r="C35" s="554"/>
      <c r="D35" s="549" t="s">
        <v>691</v>
      </c>
      <c r="E35" s="552">
        <v>44562</v>
      </c>
      <c r="F35" s="552">
        <v>44620</v>
      </c>
      <c r="G35" s="549" t="s">
        <v>692</v>
      </c>
      <c r="H35" s="552">
        <v>44562</v>
      </c>
      <c r="I35" s="549" t="s">
        <v>719</v>
      </c>
      <c r="J35" s="504" t="s">
        <v>720</v>
      </c>
      <c r="K35" s="549" t="s">
        <v>721</v>
      </c>
      <c r="L35" s="552">
        <v>44561</v>
      </c>
      <c r="M35" s="552">
        <v>44561</v>
      </c>
      <c r="N35" s="549" t="s">
        <v>722</v>
      </c>
      <c r="O35" s="549" t="s">
        <v>697</v>
      </c>
      <c r="P35" s="504" t="s">
        <v>698</v>
      </c>
      <c r="Q35" s="549" t="s">
        <v>723</v>
      </c>
      <c r="R35" s="549" t="s">
        <v>724</v>
      </c>
      <c r="S35" s="504" t="s">
        <v>725</v>
      </c>
      <c r="T35" s="504" t="s">
        <v>702</v>
      </c>
      <c r="U35" s="504" t="s">
        <v>403</v>
      </c>
      <c r="V35" s="504" t="s">
        <v>703</v>
      </c>
      <c r="W35" s="504" t="s">
        <v>704</v>
      </c>
      <c r="X35" s="504" t="s">
        <v>705</v>
      </c>
      <c r="Y35" s="504" t="s">
        <v>706</v>
      </c>
      <c r="Z35" s="504" t="s">
        <v>726</v>
      </c>
      <c r="AA35" s="504" t="s">
        <v>727</v>
      </c>
      <c r="AB35" s="549" t="s">
        <v>709</v>
      </c>
      <c r="AC35" s="504" t="s">
        <v>710</v>
      </c>
      <c r="AD35" s="504" t="s">
        <v>728</v>
      </c>
      <c r="AE35" s="504" t="s">
        <v>712</v>
      </c>
      <c r="AF35" s="504" t="s">
        <v>729</v>
      </c>
      <c r="AG35" s="504" t="s">
        <v>336</v>
      </c>
      <c r="AH35" s="504" t="s">
        <v>715</v>
      </c>
      <c r="AI35" s="506">
        <v>2833333</v>
      </c>
      <c r="AJ35" s="506">
        <v>0</v>
      </c>
      <c r="AK35" s="506">
        <v>0</v>
      </c>
      <c r="AL35" s="506">
        <v>2833333</v>
      </c>
      <c r="AM35" s="506">
        <v>2833333</v>
      </c>
      <c r="AN35" s="506">
        <f t="shared" ref="AN35:AN45" si="12">AI35-AJ35-AK35-AM35</f>
        <v>0</v>
      </c>
      <c r="AO35" s="504" t="s">
        <v>730</v>
      </c>
      <c r="AP35" s="504" t="s">
        <v>691</v>
      </c>
      <c r="AQ35" s="504" t="s">
        <v>731</v>
      </c>
      <c r="AR35" s="504" t="s">
        <v>691</v>
      </c>
      <c r="AS35" s="505">
        <v>44564</v>
      </c>
      <c r="AT35" s="503"/>
      <c r="AU35" s="507" t="s">
        <v>399</v>
      </c>
      <c r="AV35" s="557">
        <v>0</v>
      </c>
      <c r="AW35" s="557">
        <v>0</v>
      </c>
      <c r="AX35" s="557">
        <v>2833333</v>
      </c>
      <c r="AY35" s="566">
        <f t="shared" si="9"/>
        <v>2833333</v>
      </c>
      <c r="AZ35" s="569"/>
      <c r="BA35" s="557">
        <v>0</v>
      </c>
      <c r="BB35" s="557">
        <v>0</v>
      </c>
      <c r="BC35" s="557">
        <f>AM35</f>
        <v>2833333</v>
      </c>
      <c r="BD35" s="566">
        <f t="shared" si="10"/>
        <v>2833333</v>
      </c>
      <c r="BE35" s="569"/>
      <c r="BF35" s="566">
        <f t="shared" ref="BF35:BF45" si="13">BD35-AM35</f>
        <v>0</v>
      </c>
      <c r="BG35" s="481"/>
    </row>
    <row r="36" spans="1:59" s="281" customFormat="1">
      <c r="A36" s="503"/>
      <c r="B36" s="503">
        <f t="shared" si="11"/>
        <v>0</v>
      </c>
      <c r="C36" s="554"/>
      <c r="D36" s="549" t="s">
        <v>691</v>
      </c>
      <c r="E36" s="552">
        <v>44562</v>
      </c>
      <c r="F36" s="552">
        <v>44620</v>
      </c>
      <c r="G36" s="549" t="s">
        <v>692</v>
      </c>
      <c r="H36" s="552">
        <v>44562</v>
      </c>
      <c r="I36" s="549" t="s">
        <v>733</v>
      </c>
      <c r="J36" s="504" t="s">
        <v>734</v>
      </c>
      <c r="K36" s="549" t="s">
        <v>735</v>
      </c>
      <c r="L36" s="552">
        <v>44378</v>
      </c>
      <c r="M36" s="552">
        <v>44561</v>
      </c>
      <c r="N36" s="549" t="s">
        <v>736</v>
      </c>
      <c r="O36" s="549" t="s">
        <v>697</v>
      </c>
      <c r="P36" s="504" t="s">
        <v>698</v>
      </c>
      <c r="Q36" s="549" t="s">
        <v>737</v>
      </c>
      <c r="R36" s="549" t="s">
        <v>738</v>
      </c>
      <c r="S36" s="504" t="s">
        <v>739</v>
      </c>
      <c r="T36" s="504" t="s">
        <v>702</v>
      </c>
      <c r="U36" s="504" t="s">
        <v>403</v>
      </c>
      <c r="V36" s="504" t="s">
        <v>703</v>
      </c>
      <c r="W36" s="504" t="s">
        <v>704</v>
      </c>
      <c r="X36" s="504" t="s">
        <v>740</v>
      </c>
      <c r="Y36" s="504" t="s">
        <v>481</v>
      </c>
      <c r="Z36" s="504" t="s">
        <v>726</v>
      </c>
      <c r="AA36" s="504" t="s">
        <v>727</v>
      </c>
      <c r="AB36" s="549" t="s">
        <v>709</v>
      </c>
      <c r="AC36" s="504" t="s">
        <v>710</v>
      </c>
      <c r="AD36" s="504" t="s">
        <v>741</v>
      </c>
      <c r="AE36" s="504" t="s">
        <v>742</v>
      </c>
      <c r="AF36" s="504" t="s">
        <v>743</v>
      </c>
      <c r="AG36" s="504" t="s">
        <v>744</v>
      </c>
      <c r="AH36" s="504" t="s">
        <v>715</v>
      </c>
      <c r="AI36" s="506">
        <v>253060895</v>
      </c>
      <c r="AJ36" s="506">
        <v>0</v>
      </c>
      <c r="AK36" s="506">
        <v>0</v>
      </c>
      <c r="AL36" s="506">
        <v>253060895</v>
      </c>
      <c r="AM36" s="506">
        <v>88461332</v>
      </c>
      <c r="AN36" s="506">
        <f t="shared" si="12"/>
        <v>164599563</v>
      </c>
      <c r="AO36" s="504" t="s">
        <v>745</v>
      </c>
      <c r="AP36" s="504" t="s">
        <v>691</v>
      </c>
      <c r="AQ36" s="504" t="s">
        <v>746</v>
      </c>
      <c r="AR36" s="504" t="s">
        <v>691</v>
      </c>
      <c r="AS36" s="505">
        <v>44564</v>
      </c>
      <c r="AT36" s="503"/>
      <c r="AU36" s="507" t="s">
        <v>397</v>
      </c>
      <c r="AV36" s="557">
        <f>AL36*94%</f>
        <v>237877241.29999998</v>
      </c>
      <c r="AW36" s="557">
        <v>0</v>
      </c>
      <c r="AX36" s="557">
        <f>AL36*6%</f>
        <v>15183653.699999999</v>
      </c>
      <c r="AY36" s="566">
        <f t="shared" si="9"/>
        <v>253060894.99999997</v>
      </c>
      <c r="AZ36" s="569"/>
      <c r="BA36" s="557">
        <f>AM36*94%</f>
        <v>83153652.079999998</v>
      </c>
      <c r="BB36" s="557">
        <v>0</v>
      </c>
      <c r="BC36" s="557">
        <f>AM36*6%</f>
        <v>5307679.92</v>
      </c>
      <c r="BD36" s="566">
        <f t="shared" si="10"/>
        <v>88461332</v>
      </c>
      <c r="BE36" s="569"/>
      <c r="BF36" s="566">
        <f t="shared" si="13"/>
        <v>0</v>
      </c>
      <c r="BG36" s="481"/>
    </row>
    <row r="37" spans="1:59" s="281" customFormat="1">
      <c r="A37" s="503"/>
      <c r="B37" s="503">
        <f t="shared" si="11"/>
        <v>0</v>
      </c>
      <c r="C37" s="554"/>
      <c r="D37" s="549" t="s">
        <v>691</v>
      </c>
      <c r="E37" s="552">
        <v>44562</v>
      </c>
      <c r="F37" s="552">
        <v>44620</v>
      </c>
      <c r="G37" s="549" t="s">
        <v>692</v>
      </c>
      <c r="H37" s="552">
        <v>44562</v>
      </c>
      <c r="I37" s="549" t="s">
        <v>719</v>
      </c>
      <c r="J37" s="504" t="s">
        <v>720</v>
      </c>
      <c r="K37" s="549" t="s">
        <v>748</v>
      </c>
      <c r="L37" s="552">
        <v>44561</v>
      </c>
      <c r="M37" s="552">
        <v>44561</v>
      </c>
      <c r="N37" s="549" t="s">
        <v>722</v>
      </c>
      <c r="O37" s="549" t="s">
        <v>697</v>
      </c>
      <c r="P37" s="504" t="s">
        <v>698</v>
      </c>
      <c r="Q37" s="549" t="s">
        <v>749</v>
      </c>
      <c r="R37" s="549" t="s">
        <v>750</v>
      </c>
      <c r="S37" s="504" t="s">
        <v>751</v>
      </c>
      <c r="T37" s="504" t="s">
        <v>702</v>
      </c>
      <c r="U37" s="504" t="s">
        <v>403</v>
      </c>
      <c r="V37" s="504" t="s">
        <v>703</v>
      </c>
      <c r="W37" s="504" t="s">
        <v>704</v>
      </c>
      <c r="X37" s="504" t="s">
        <v>705</v>
      </c>
      <c r="Y37" s="504" t="s">
        <v>706</v>
      </c>
      <c r="Z37" s="504" t="s">
        <v>726</v>
      </c>
      <c r="AA37" s="504" t="s">
        <v>727</v>
      </c>
      <c r="AB37" s="549" t="s">
        <v>709</v>
      </c>
      <c r="AC37" s="504" t="s">
        <v>710</v>
      </c>
      <c r="AD37" s="504" t="s">
        <v>752</v>
      </c>
      <c r="AE37" s="504" t="s">
        <v>712</v>
      </c>
      <c r="AF37" s="504" t="s">
        <v>753</v>
      </c>
      <c r="AG37" s="504" t="s">
        <v>332</v>
      </c>
      <c r="AH37" s="504" t="s">
        <v>715</v>
      </c>
      <c r="AI37" s="506">
        <v>1700000</v>
      </c>
      <c r="AJ37" s="506">
        <v>0</v>
      </c>
      <c r="AK37" s="506">
        <v>0</v>
      </c>
      <c r="AL37" s="506">
        <v>1700000</v>
      </c>
      <c r="AM37" s="506">
        <v>1700000</v>
      </c>
      <c r="AN37" s="506">
        <f t="shared" si="12"/>
        <v>0</v>
      </c>
      <c r="AO37" s="504" t="s">
        <v>754</v>
      </c>
      <c r="AP37" s="504" t="s">
        <v>691</v>
      </c>
      <c r="AQ37" s="504" t="s">
        <v>755</v>
      </c>
      <c r="AR37" s="504" t="s">
        <v>691</v>
      </c>
      <c r="AS37" s="505">
        <v>44564</v>
      </c>
      <c r="AT37" s="503"/>
      <c r="AU37" s="507" t="s">
        <v>399</v>
      </c>
      <c r="AV37" s="557">
        <v>0</v>
      </c>
      <c r="AW37" s="557">
        <v>0</v>
      </c>
      <c r="AX37" s="557">
        <v>1700000</v>
      </c>
      <c r="AY37" s="566">
        <f t="shared" si="9"/>
        <v>1700000</v>
      </c>
      <c r="AZ37" s="569"/>
      <c r="BA37" s="557">
        <v>0</v>
      </c>
      <c r="BB37" s="557">
        <v>0</v>
      </c>
      <c r="BC37" s="557">
        <v>1700000</v>
      </c>
      <c r="BD37" s="566">
        <f t="shared" si="10"/>
        <v>1700000</v>
      </c>
      <c r="BE37" s="569"/>
      <c r="BF37" s="566">
        <f t="shared" si="13"/>
        <v>0</v>
      </c>
      <c r="BG37" s="481"/>
    </row>
    <row r="38" spans="1:59" s="281" customFormat="1">
      <c r="A38" s="503"/>
      <c r="B38" s="503">
        <f t="shared" si="11"/>
        <v>0</v>
      </c>
      <c r="C38" s="554"/>
      <c r="D38" s="549" t="s">
        <v>691</v>
      </c>
      <c r="E38" s="552">
        <v>44562</v>
      </c>
      <c r="F38" s="552">
        <v>44620</v>
      </c>
      <c r="G38" s="549" t="s">
        <v>692</v>
      </c>
      <c r="H38" s="552">
        <v>44562</v>
      </c>
      <c r="I38" s="549" t="s">
        <v>757</v>
      </c>
      <c r="J38" s="504" t="s">
        <v>758</v>
      </c>
      <c r="K38" s="549" t="s">
        <v>759</v>
      </c>
      <c r="L38" s="552">
        <v>44411</v>
      </c>
      <c r="M38" s="552">
        <v>44561</v>
      </c>
      <c r="N38" s="549" t="s">
        <v>760</v>
      </c>
      <c r="O38" s="549" t="s">
        <v>697</v>
      </c>
      <c r="P38" s="504" t="s">
        <v>698</v>
      </c>
      <c r="Q38" s="549" t="s">
        <v>761</v>
      </c>
      <c r="R38" s="549" t="s">
        <v>762</v>
      </c>
      <c r="S38" s="504" t="s">
        <v>763</v>
      </c>
      <c r="T38" s="504" t="s">
        <v>702</v>
      </c>
      <c r="U38" s="504" t="s">
        <v>403</v>
      </c>
      <c r="V38" s="504" t="s">
        <v>703</v>
      </c>
      <c r="W38" s="504" t="s">
        <v>704</v>
      </c>
      <c r="X38" s="504" t="s">
        <v>740</v>
      </c>
      <c r="Y38" s="504" t="s">
        <v>481</v>
      </c>
      <c r="Z38" s="504" t="s">
        <v>726</v>
      </c>
      <c r="AA38" s="504" t="s">
        <v>727</v>
      </c>
      <c r="AB38" s="549" t="s">
        <v>764</v>
      </c>
      <c r="AC38" s="504" t="s">
        <v>765</v>
      </c>
      <c r="AD38" s="504" t="s">
        <v>766</v>
      </c>
      <c r="AE38" s="504" t="s">
        <v>742</v>
      </c>
      <c r="AF38" s="504" t="s">
        <v>767</v>
      </c>
      <c r="AG38" s="504" t="s">
        <v>768</v>
      </c>
      <c r="AH38" s="504" t="s">
        <v>715</v>
      </c>
      <c r="AI38" s="506">
        <v>2712013</v>
      </c>
      <c r="AJ38" s="506">
        <v>0</v>
      </c>
      <c r="AK38" s="506">
        <v>0</v>
      </c>
      <c r="AL38" s="506">
        <v>2712013</v>
      </c>
      <c r="AM38" s="506">
        <v>2712013</v>
      </c>
      <c r="AN38" s="506">
        <f t="shared" si="12"/>
        <v>0</v>
      </c>
      <c r="AO38" s="504" t="s">
        <v>769</v>
      </c>
      <c r="AP38" s="504" t="s">
        <v>691</v>
      </c>
      <c r="AQ38" s="504" t="s">
        <v>770</v>
      </c>
      <c r="AR38" s="504" t="s">
        <v>691</v>
      </c>
      <c r="AS38" s="505">
        <v>44564</v>
      </c>
      <c r="AT38" s="503"/>
      <c r="AU38" s="507" t="s">
        <v>399</v>
      </c>
      <c r="AV38" s="557">
        <v>0</v>
      </c>
      <c r="AW38" s="557">
        <v>0</v>
      </c>
      <c r="AX38" s="557">
        <v>2712013</v>
      </c>
      <c r="AY38" s="566">
        <f t="shared" si="9"/>
        <v>2712013</v>
      </c>
      <c r="AZ38" s="569"/>
      <c r="BA38" s="557">
        <v>0</v>
      </c>
      <c r="BB38" s="557">
        <v>0</v>
      </c>
      <c r="BC38" s="557">
        <v>2712013</v>
      </c>
      <c r="BD38" s="566">
        <f t="shared" si="10"/>
        <v>2712013</v>
      </c>
      <c r="BE38" s="569"/>
      <c r="BF38" s="566">
        <f t="shared" si="13"/>
        <v>0</v>
      </c>
      <c r="BG38" s="481"/>
    </row>
    <row r="39" spans="1:59">
      <c r="B39">
        <f t="shared" si="11"/>
        <v>0</v>
      </c>
      <c r="D39" s="550" t="s">
        <v>691</v>
      </c>
      <c r="E39" s="553">
        <v>44562</v>
      </c>
      <c r="F39" s="553">
        <v>44620</v>
      </c>
      <c r="G39" s="550" t="s">
        <v>692</v>
      </c>
      <c r="H39" s="553">
        <v>44562</v>
      </c>
      <c r="I39" s="550" t="s">
        <v>733</v>
      </c>
      <c r="J39" s="475" t="s">
        <v>734</v>
      </c>
      <c r="K39" s="550" t="s">
        <v>772</v>
      </c>
      <c r="L39" s="553">
        <v>44477</v>
      </c>
      <c r="M39" s="553">
        <v>44561</v>
      </c>
      <c r="N39" s="550" t="s">
        <v>773</v>
      </c>
      <c r="O39" s="550" t="s">
        <v>697</v>
      </c>
      <c r="P39" s="475" t="s">
        <v>698</v>
      </c>
      <c r="Q39" s="550" t="s">
        <v>774</v>
      </c>
      <c r="R39" s="550" t="s">
        <v>775</v>
      </c>
      <c r="S39" s="475" t="s">
        <v>776</v>
      </c>
      <c r="T39" s="475" t="s">
        <v>702</v>
      </c>
      <c r="U39" s="475" t="s">
        <v>403</v>
      </c>
      <c r="V39" s="475" t="s">
        <v>703</v>
      </c>
      <c r="W39" s="475" t="s">
        <v>704</v>
      </c>
      <c r="X39" s="475" t="s">
        <v>740</v>
      </c>
      <c r="Y39" s="475" t="s">
        <v>481</v>
      </c>
      <c r="Z39" s="475" t="s">
        <v>726</v>
      </c>
      <c r="AA39" s="475" t="s">
        <v>727</v>
      </c>
      <c r="AB39" s="550" t="s">
        <v>709</v>
      </c>
      <c r="AC39" s="475" t="s">
        <v>710</v>
      </c>
      <c r="AD39" s="475" t="s">
        <v>777</v>
      </c>
      <c r="AE39" s="475" t="s">
        <v>742</v>
      </c>
      <c r="AF39" s="475" t="s">
        <v>778</v>
      </c>
      <c r="AG39" s="475" t="s">
        <v>779</v>
      </c>
      <c r="AH39" s="475" t="s">
        <v>715</v>
      </c>
      <c r="AI39" s="477">
        <v>24000003</v>
      </c>
      <c r="AJ39" s="477">
        <v>0</v>
      </c>
      <c r="AK39" s="477">
        <v>0</v>
      </c>
      <c r="AL39" s="477">
        <v>24000003</v>
      </c>
      <c r="AM39" s="477">
        <v>0</v>
      </c>
      <c r="AN39" s="477">
        <f t="shared" si="12"/>
        <v>24000003</v>
      </c>
      <c r="AO39" s="475" t="s">
        <v>780</v>
      </c>
      <c r="AP39" s="475" t="s">
        <v>691</v>
      </c>
      <c r="AQ39" s="475" t="s">
        <v>781</v>
      </c>
      <c r="AR39" s="475" t="s">
        <v>691</v>
      </c>
      <c r="AS39" s="476">
        <v>44564</v>
      </c>
      <c r="AU39" s="284" t="s">
        <v>398</v>
      </c>
      <c r="AV39" s="557">
        <v>0</v>
      </c>
      <c r="AW39" s="557">
        <f>AL39</f>
        <v>24000003</v>
      </c>
      <c r="AX39" s="557">
        <v>0</v>
      </c>
      <c r="AY39" s="566">
        <f t="shared" si="9"/>
        <v>24000003</v>
      </c>
      <c r="AZ39" s="569"/>
      <c r="BA39" s="557">
        <v>0</v>
      </c>
      <c r="BB39" s="557">
        <v>0</v>
      </c>
      <c r="BC39" s="557">
        <v>0</v>
      </c>
      <c r="BD39" s="566">
        <f t="shared" si="10"/>
        <v>0</v>
      </c>
      <c r="BF39" s="566">
        <f t="shared" si="13"/>
        <v>0</v>
      </c>
    </row>
    <row r="40" spans="1:59">
      <c r="B40">
        <f t="shared" si="11"/>
        <v>0</v>
      </c>
      <c r="D40" s="550" t="s">
        <v>691</v>
      </c>
      <c r="E40" s="553">
        <v>44562</v>
      </c>
      <c r="F40" s="553">
        <v>44620</v>
      </c>
      <c r="G40" s="550" t="s">
        <v>692</v>
      </c>
      <c r="H40" s="553">
        <v>44562</v>
      </c>
      <c r="I40" s="550" t="s">
        <v>783</v>
      </c>
      <c r="J40" s="475" t="s">
        <v>784</v>
      </c>
      <c r="K40" s="550" t="s">
        <v>785</v>
      </c>
      <c r="L40" s="553">
        <v>44525</v>
      </c>
      <c r="M40" s="553">
        <v>44561</v>
      </c>
      <c r="N40" s="550" t="s">
        <v>786</v>
      </c>
      <c r="O40" s="550" t="s">
        <v>697</v>
      </c>
      <c r="P40" s="475" t="s">
        <v>698</v>
      </c>
      <c r="Q40" s="550" t="s">
        <v>787</v>
      </c>
      <c r="R40" s="550" t="s">
        <v>788</v>
      </c>
      <c r="S40" s="475" t="s">
        <v>789</v>
      </c>
      <c r="T40" s="475" t="s">
        <v>702</v>
      </c>
      <c r="U40" s="475" t="s">
        <v>403</v>
      </c>
      <c r="V40" s="475" t="s">
        <v>703</v>
      </c>
      <c r="W40" s="475" t="s">
        <v>704</v>
      </c>
      <c r="X40" s="475" t="s">
        <v>790</v>
      </c>
      <c r="Y40" s="475" t="s">
        <v>791</v>
      </c>
      <c r="Z40" s="475" t="s">
        <v>726</v>
      </c>
      <c r="AA40" s="475" t="s">
        <v>727</v>
      </c>
      <c r="AB40" s="550" t="s">
        <v>709</v>
      </c>
      <c r="AC40" s="475" t="s">
        <v>710</v>
      </c>
      <c r="AD40" s="475" t="s">
        <v>792</v>
      </c>
      <c r="AE40" s="475" t="s">
        <v>742</v>
      </c>
      <c r="AF40" s="475" t="s">
        <v>793</v>
      </c>
      <c r="AG40" s="475" t="s">
        <v>794</v>
      </c>
      <c r="AH40" s="475" t="s">
        <v>715</v>
      </c>
      <c r="AI40" s="477">
        <v>84577253</v>
      </c>
      <c r="AJ40" s="477">
        <v>0</v>
      </c>
      <c r="AK40" s="477">
        <v>0</v>
      </c>
      <c r="AL40" s="477">
        <v>84577253</v>
      </c>
      <c r="AM40" s="477">
        <v>0</v>
      </c>
      <c r="AN40" s="477">
        <f t="shared" si="12"/>
        <v>84577253</v>
      </c>
      <c r="AO40" s="475" t="s">
        <v>795</v>
      </c>
      <c r="AP40" s="475" t="s">
        <v>691</v>
      </c>
      <c r="AQ40" s="475" t="s">
        <v>796</v>
      </c>
      <c r="AR40" s="475" t="s">
        <v>691</v>
      </c>
      <c r="AS40" s="476">
        <v>44564</v>
      </c>
      <c r="AU40" s="284" t="s">
        <v>397</v>
      </c>
      <c r="AV40" s="557">
        <f t="shared" ref="AV40:AV45" si="14">AL40</f>
        <v>84577253</v>
      </c>
      <c r="AW40" s="557">
        <v>0</v>
      </c>
      <c r="AX40" s="557">
        <v>0</v>
      </c>
      <c r="AY40" s="566">
        <f t="shared" si="9"/>
        <v>84577253</v>
      </c>
      <c r="AZ40" s="569"/>
      <c r="BA40" s="557">
        <v>0</v>
      </c>
      <c r="BB40" s="557">
        <v>0</v>
      </c>
      <c r="BC40" s="557">
        <v>0</v>
      </c>
      <c r="BD40" s="566">
        <f t="shared" si="10"/>
        <v>0</v>
      </c>
      <c r="BF40" s="566">
        <f t="shared" si="13"/>
        <v>0</v>
      </c>
    </row>
    <row r="41" spans="1:59" s="281" customFormat="1">
      <c r="A41" s="503"/>
      <c r="B41" s="503">
        <f t="shared" si="11"/>
        <v>0</v>
      </c>
      <c r="C41" s="554"/>
      <c r="D41" s="549" t="s">
        <v>691</v>
      </c>
      <c r="E41" s="552">
        <v>44562</v>
      </c>
      <c r="F41" s="552">
        <v>44620</v>
      </c>
      <c r="G41" s="549" t="s">
        <v>692</v>
      </c>
      <c r="H41" s="552">
        <v>44562</v>
      </c>
      <c r="I41" s="549" t="s">
        <v>798</v>
      </c>
      <c r="J41" s="504" t="s">
        <v>799</v>
      </c>
      <c r="K41" s="549" t="s">
        <v>800</v>
      </c>
      <c r="L41" s="552">
        <v>44530</v>
      </c>
      <c r="M41" s="552">
        <v>44561</v>
      </c>
      <c r="N41" s="549" t="s">
        <v>801</v>
      </c>
      <c r="O41" s="549" t="s">
        <v>697</v>
      </c>
      <c r="P41" s="504" t="s">
        <v>698</v>
      </c>
      <c r="Q41" s="549" t="s">
        <v>802</v>
      </c>
      <c r="R41" s="549" t="s">
        <v>803</v>
      </c>
      <c r="S41" s="504" t="s">
        <v>804</v>
      </c>
      <c r="T41" s="504" t="s">
        <v>702</v>
      </c>
      <c r="U41" s="504" t="s">
        <v>403</v>
      </c>
      <c r="V41" s="504" t="s">
        <v>703</v>
      </c>
      <c r="W41" s="504" t="s">
        <v>704</v>
      </c>
      <c r="X41" s="504" t="s">
        <v>805</v>
      </c>
      <c r="Y41" s="504" t="s">
        <v>806</v>
      </c>
      <c r="Z41" s="504" t="s">
        <v>726</v>
      </c>
      <c r="AA41" s="504" t="s">
        <v>727</v>
      </c>
      <c r="AB41" s="549" t="s">
        <v>807</v>
      </c>
      <c r="AC41" s="504" t="s">
        <v>808</v>
      </c>
      <c r="AD41" s="504" t="s">
        <v>809</v>
      </c>
      <c r="AE41" s="504" t="s">
        <v>742</v>
      </c>
      <c r="AF41" s="504" t="s">
        <v>810</v>
      </c>
      <c r="AG41" s="504" t="s">
        <v>811</v>
      </c>
      <c r="AH41" s="504" t="s">
        <v>715</v>
      </c>
      <c r="AI41" s="506">
        <v>16000000</v>
      </c>
      <c r="AJ41" s="506">
        <v>0</v>
      </c>
      <c r="AK41" s="506">
        <v>0</v>
      </c>
      <c r="AL41" s="506">
        <v>16000000</v>
      </c>
      <c r="AM41" s="506">
        <v>3514700</v>
      </c>
      <c r="AN41" s="506">
        <f t="shared" si="12"/>
        <v>12485300</v>
      </c>
      <c r="AO41" s="504" t="s">
        <v>812</v>
      </c>
      <c r="AP41" s="504" t="s">
        <v>691</v>
      </c>
      <c r="AQ41" s="504" t="s">
        <v>813</v>
      </c>
      <c r="AR41" s="504" t="s">
        <v>691</v>
      </c>
      <c r="AS41" s="505">
        <v>44564</v>
      </c>
      <c r="AT41" s="503"/>
      <c r="AU41" s="507" t="s">
        <v>397</v>
      </c>
      <c r="AV41" s="557">
        <f t="shared" si="14"/>
        <v>16000000</v>
      </c>
      <c r="AW41" s="557">
        <v>0</v>
      </c>
      <c r="AX41" s="557">
        <v>0</v>
      </c>
      <c r="AY41" s="566">
        <f t="shared" si="9"/>
        <v>16000000</v>
      </c>
      <c r="AZ41" s="569"/>
      <c r="BA41" s="557">
        <v>3514700</v>
      </c>
      <c r="BB41" s="557">
        <v>0</v>
      </c>
      <c r="BC41" s="557">
        <v>0</v>
      </c>
      <c r="BD41" s="566">
        <f t="shared" si="10"/>
        <v>3514700</v>
      </c>
      <c r="BE41" s="569"/>
      <c r="BF41" s="566">
        <f t="shared" si="13"/>
        <v>0</v>
      </c>
      <c r="BG41" s="481"/>
    </row>
    <row r="42" spans="1:59">
      <c r="B42">
        <f t="shared" si="11"/>
        <v>0</v>
      </c>
      <c r="D42" s="550" t="s">
        <v>691</v>
      </c>
      <c r="E42" s="553">
        <v>44562</v>
      </c>
      <c r="F42" s="553">
        <v>44620</v>
      </c>
      <c r="G42" s="550" t="s">
        <v>692</v>
      </c>
      <c r="H42" s="553">
        <v>44562</v>
      </c>
      <c r="I42" s="550" t="s">
        <v>783</v>
      </c>
      <c r="J42" s="475" t="s">
        <v>784</v>
      </c>
      <c r="K42" s="550" t="s">
        <v>815</v>
      </c>
      <c r="L42" s="553">
        <v>44554</v>
      </c>
      <c r="M42" s="553">
        <v>44561</v>
      </c>
      <c r="N42" s="550" t="s">
        <v>816</v>
      </c>
      <c r="O42" s="550" t="s">
        <v>697</v>
      </c>
      <c r="P42" s="475" t="s">
        <v>698</v>
      </c>
      <c r="Q42" s="550" t="s">
        <v>817</v>
      </c>
      <c r="R42" s="550" t="s">
        <v>818</v>
      </c>
      <c r="S42" s="475" t="s">
        <v>819</v>
      </c>
      <c r="T42" s="475" t="s">
        <v>702</v>
      </c>
      <c r="U42" s="475" t="s">
        <v>403</v>
      </c>
      <c r="V42" s="475" t="s">
        <v>703</v>
      </c>
      <c r="W42" s="475" t="s">
        <v>704</v>
      </c>
      <c r="X42" s="475" t="s">
        <v>740</v>
      </c>
      <c r="Y42" s="475" t="s">
        <v>481</v>
      </c>
      <c r="Z42" s="475" t="s">
        <v>726</v>
      </c>
      <c r="AA42" s="475" t="s">
        <v>727</v>
      </c>
      <c r="AB42" s="550" t="s">
        <v>820</v>
      </c>
      <c r="AC42" s="475" t="s">
        <v>821</v>
      </c>
      <c r="AD42" s="475" t="s">
        <v>822</v>
      </c>
      <c r="AE42" s="475" t="s">
        <v>742</v>
      </c>
      <c r="AF42" s="475" t="s">
        <v>823</v>
      </c>
      <c r="AG42" s="475" t="s">
        <v>824</v>
      </c>
      <c r="AH42" s="475" t="s">
        <v>715</v>
      </c>
      <c r="AI42" s="477">
        <v>31500000</v>
      </c>
      <c r="AJ42" s="477">
        <v>0</v>
      </c>
      <c r="AK42" s="477">
        <v>0</v>
      </c>
      <c r="AL42" s="477">
        <v>31500000</v>
      </c>
      <c r="AM42" s="477">
        <v>0</v>
      </c>
      <c r="AN42" s="477">
        <f t="shared" si="12"/>
        <v>31500000</v>
      </c>
      <c r="AO42" s="475" t="s">
        <v>825</v>
      </c>
      <c r="AP42" s="475" t="s">
        <v>691</v>
      </c>
      <c r="AQ42" s="475" t="s">
        <v>826</v>
      </c>
      <c r="AR42" s="475" t="s">
        <v>691</v>
      </c>
      <c r="AS42" s="476">
        <v>44564</v>
      </c>
      <c r="AU42" s="284" t="s">
        <v>397</v>
      </c>
      <c r="AV42" s="557">
        <f t="shared" si="14"/>
        <v>31500000</v>
      </c>
      <c r="AW42" s="557">
        <v>0</v>
      </c>
      <c r="AX42" s="557">
        <v>0</v>
      </c>
      <c r="AY42" s="566">
        <f t="shared" si="9"/>
        <v>31500000</v>
      </c>
      <c r="AZ42" s="569"/>
      <c r="BA42" s="557">
        <v>0</v>
      </c>
      <c r="BB42" s="557">
        <v>0</v>
      </c>
      <c r="BC42" s="557">
        <v>0</v>
      </c>
      <c r="BD42" s="566">
        <f t="shared" si="10"/>
        <v>0</v>
      </c>
      <c r="BF42" s="566">
        <f t="shared" si="13"/>
        <v>0</v>
      </c>
    </row>
    <row r="43" spans="1:59">
      <c r="B43">
        <f t="shared" si="11"/>
        <v>0</v>
      </c>
      <c r="D43" s="550" t="s">
        <v>691</v>
      </c>
      <c r="E43" s="553">
        <v>44562</v>
      </c>
      <c r="F43" s="553">
        <v>44620</v>
      </c>
      <c r="G43" s="550" t="s">
        <v>692</v>
      </c>
      <c r="H43" s="553">
        <v>44562</v>
      </c>
      <c r="I43" s="550" t="s">
        <v>820</v>
      </c>
      <c r="J43" s="475" t="s">
        <v>828</v>
      </c>
      <c r="K43" s="550" t="s">
        <v>829</v>
      </c>
      <c r="L43" s="553">
        <v>44490</v>
      </c>
      <c r="M43" s="553">
        <v>44497</v>
      </c>
      <c r="N43" s="550" t="s">
        <v>816</v>
      </c>
      <c r="O43" s="550" t="s">
        <v>697</v>
      </c>
      <c r="P43" s="475" t="s">
        <v>698</v>
      </c>
      <c r="Q43" s="550" t="s">
        <v>830</v>
      </c>
      <c r="R43" s="550" t="s">
        <v>831</v>
      </c>
      <c r="S43" s="475" t="s">
        <v>832</v>
      </c>
      <c r="T43" s="475" t="s">
        <v>702</v>
      </c>
      <c r="U43" s="475" t="s">
        <v>403</v>
      </c>
      <c r="V43" s="475" t="s">
        <v>703</v>
      </c>
      <c r="W43" s="475" t="s">
        <v>704</v>
      </c>
      <c r="X43" s="475" t="s">
        <v>805</v>
      </c>
      <c r="Y43" s="475" t="s">
        <v>806</v>
      </c>
      <c r="Z43" s="475" t="s">
        <v>726</v>
      </c>
      <c r="AA43" s="475" t="s">
        <v>727</v>
      </c>
      <c r="AB43" s="550" t="s">
        <v>820</v>
      </c>
      <c r="AC43" s="475" t="s">
        <v>821</v>
      </c>
      <c r="AD43" s="475" t="s">
        <v>833</v>
      </c>
      <c r="AE43" s="475" t="s">
        <v>742</v>
      </c>
      <c r="AF43" s="475" t="s">
        <v>834</v>
      </c>
      <c r="AG43" s="475" t="s">
        <v>835</v>
      </c>
      <c r="AH43" s="475" t="s">
        <v>715</v>
      </c>
      <c r="AI43" s="477">
        <v>4759996</v>
      </c>
      <c r="AJ43" s="477">
        <v>0</v>
      </c>
      <c r="AK43" s="477">
        <v>0</v>
      </c>
      <c r="AL43" s="477">
        <v>4759996</v>
      </c>
      <c r="AM43" s="477">
        <v>0</v>
      </c>
      <c r="AN43" s="477">
        <f t="shared" si="12"/>
        <v>4759996</v>
      </c>
      <c r="AO43" s="475" t="s">
        <v>836</v>
      </c>
      <c r="AP43" s="475" t="s">
        <v>691</v>
      </c>
      <c r="AQ43" s="475" t="s">
        <v>837</v>
      </c>
      <c r="AR43" s="475" t="s">
        <v>691</v>
      </c>
      <c r="AS43" s="476">
        <v>44564</v>
      </c>
      <c r="AU43" s="284" t="s">
        <v>397</v>
      </c>
      <c r="AV43" s="557">
        <f t="shared" si="14"/>
        <v>4759996</v>
      </c>
      <c r="AW43" s="557">
        <v>0</v>
      </c>
      <c r="AX43" s="557">
        <v>0</v>
      </c>
      <c r="AY43" s="566">
        <f t="shared" si="9"/>
        <v>4759996</v>
      </c>
      <c r="AZ43" s="569"/>
      <c r="BA43" s="557">
        <v>0</v>
      </c>
      <c r="BB43" s="557">
        <v>0</v>
      </c>
      <c r="BC43" s="557">
        <v>0</v>
      </c>
      <c r="BD43" s="566">
        <f t="shared" si="10"/>
        <v>0</v>
      </c>
      <c r="BF43" s="566">
        <f t="shared" si="13"/>
        <v>0</v>
      </c>
    </row>
    <row r="44" spans="1:59" s="281" customFormat="1">
      <c r="A44" s="503"/>
      <c r="B44" s="503">
        <f t="shared" si="11"/>
        <v>0</v>
      </c>
      <c r="C44" s="554"/>
      <c r="D44" s="549" t="s">
        <v>691</v>
      </c>
      <c r="E44" s="552">
        <v>44562</v>
      </c>
      <c r="F44" s="552">
        <v>44620</v>
      </c>
      <c r="G44" s="549" t="s">
        <v>692</v>
      </c>
      <c r="H44" s="552">
        <v>44562</v>
      </c>
      <c r="I44" s="549" t="s">
        <v>820</v>
      </c>
      <c r="J44" s="504" t="s">
        <v>828</v>
      </c>
      <c r="K44" s="549" t="s">
        <v>839</v>
      </c>
      <c r="L44" s="552">
        <v>44557</v>
      </c>
      <c r="M44" s="552">
        <v>44561</v>
      </c>
      <c r="N44" s="549" t="s">
        <v>840</v>
      </c>
      <c r="O44" s="549" t="s">
        <v>697</v>
      </c>
      <c r="P44" s="504" t="s">
        <v>698</v>
      </c>
      <c r="Q44" s="549" t="s">
        <v>841</v>
      </c>
      <c r="R44" s="549" t="s">
        <v>842</v>
      </c>
      <c r="S44" s="504" t="s">
        <v>843</v>
      </c>
      <c r="T44" s="504" t="s">
        <v>702</v>
      </c>
      <c r="U44" s="504" t="s">
        <v>403</v>
      </c>
      <c r="V44" s="504" t="s">
        <v>703</v>
      </c>
      <c r="W44" s="504" t="s">
        <v>704</v>
      </c>
      <c r="X44" s="504" t="s">
        <v>844</v>
      </c>
      <c r="Y44" s="504" t="s">
        <v>845</v>
      </c>
      <c r="Z44" s="504" t="s">
        <v>726</v>
      </c>
      <c r="AA44" s="504" t="s">
        <v>727</v>
      </c>
      <c r="AB44" s="549" t="s">
        <v>846</v>
      </c>
      <c r="AC44" s="504" t="s">
        <v>847</v>
      </c>
      <c r="AD44" s="504" t="s">
        <v>848</v>
      </c>
      <c r="AE44" s="504" t="s">
        <v>742</v>
      </c>
      <c r="AF44" s="504" t="s">
        <v>849</v>
      </c>
      <c r="AG44" s="504" t="s">
        <v>850</v>
      </c>
      <c r="AH44" s="504" t="s">
        <v>715</v>
      </c>
      <c r="AI44" s="506">
        <v>130507157</v>
      </c>
      <c r="AJ44" s="506">
        <v>0</v>
      </c>
      <c r="AK44" s="506">
        <v>0</v>
      </c>
      <c r="AL44" s="506">
        <v>130507157</v>
      </c>
      <c r="AM44" s="506">
        <v>130507157</v>
      </c>
      <c r="AN44" s="506">
        <f t="shared" si="12"/>
        <v>0</v>
      </c>
      <c r="AO44" s="504" t="s">
        <v>851</v>
      </c>
      <c r="AP44" s="504" t="s">
        <v>691</v>
      </c>
      <c r="AQ44" s="504" t="s">
        <v>852</v>
      </c>
      <c r="AR44" s="504" t="s">
        <v>691</v>
      </c>
      <c r="AS44" s="505">
        <v>44564</v>
      </c>
      <c r="AT44" s="503"/>
      <c r="AU44" s="507" t="s">
        <v>853</v>
      </c>
      <c r="AV44" s="557">
        <f t="shared" si="14"/>
        <v>130507157</v>
      </c>
      <c r="AW44" s="557">
        <v>0</v>
      </c>
      <c r="AX44" s="557">
        <v>0</v>
      </c>
      <c r="AY44" s="566">
        <f t="shared" si="9"/>
        <v>130507157</v>
      </c>
      <c r="AZ44" s="569"/>
      <c r="BA44" s="557">
        <f>120066584.44+10440572.56</f>
        <v>130507157</v>
      </c>
      <c r="BB44" s="557">
        <v>0</v>
      </c>
      <c r="BC44" s="557"/>
      <c r="BD44" s="566">
        <f t="shared" si="10"/>
        <v>130507157</v>
      </c>
      <c r="BE44" s="569"/>
      <c r="BF44" s="566">
        <f t="shared" si="13"/>
        <v>0</v>
      </c>
      <c r="BG44" s="481"/>
    </row>
    <row r="45" spans="1:59" s="281" customFormat="1">
      <c r="A45" s="503"/>
      <c r="B45" s="503" t="e">
        <f t="shared" si="11"/>
        <v>#VALUE!</v>
      </c>
      <c r="C45" s="554"/>
      <c r="D45" s="549" t="s">
        <v>691</v>
      </c>
      <c r="E45" s="552">
        <v>44562</v>
      </c>
      <c r="F45" s="552">
        <v>44620</v>
      </c>
      <c r="G45" s="549" t="s">
        <v>692</v>
      </c>
      <c r="H45" s="552">
        <v>44562</v>
      </c>
      <c r="I45" s="549" t="s">
        <v>733</v>
      </c>
      <c r="J45" s="504" t="s">
        <v>734</v>
      </c>
      <c r="K45" s="549" t="s">
        <v>855</v>
      </c>
      <c r="L45" s="552">
        <v>44319</v>
      </c>
      <c r="M45" s="552">
        <v>44377</v>
      </c>
      <c r="N45" s="549" t="s">
        <v>856</v>
      </c>
      <c r="O45" s="549" t="s">
        <v>697</v>
      </c>
      <c r="P45" s="504" t="s">
        <v>698</v>
      </c>
      <c r="Q45" s="549" t="s">
        <v>857</v>
      </c>
      <c r="R45" s="549" t="s">
        <v>858</v>
      </c>
      <c r="S45" s="504" t="s">
        <v>859</v>
      </c>
      <c r="T45" s="504" t="s">
        <v>702</v>
      </c>
      <c r="U45" s="504" t="s">
        <v>403</v>
      </c>
      <c r="V45" s="504" t="s">
        <v>703</v>
      </c>
      <c r="W45" s="504" t="s">
        <v>704</v>
      </c>
      <c r="X45" s="504" t="s">
        <v>740</v>
      </c>
      <c r="Y45" s="504" t="s">
        <v>481</v>
      </c>
      <c r="Z45" s="504" t="s">
        <v>726</v>
      </c>
      <c r="AA45" s="504" t="s">
        <v>727</v>
      </c>
      <c r="AB45" s="549" t="s">
        <v>709</v>
      </c>
      <c r="AC45" s="504" t="s">
        <v>710</v>
      </c>
      <c r="AD45" s="504" t="s">
        <v>741</v>
      </c>
      <c r="AE45" s="504" t="s">
        <v>742</v>
      </c>
      <c r="AF45" s="504" t="s">
        <v>743</v>
      </c>
      <c r="AG45" s="504" t="s">
        <v>744</v>
      </c>
      <c r="AH45" s="504" t="s">
        <v>715</v>
      </c>
      <c r="AI45" s="506">
        <v>4167765</v>
      </c>
      <c r="AJ45" s="506">
        <v>0</v>
      </c>
      <c r="AK45" s="506">
        <v>0</v>
      </c>
      <c r="AL45" s="506">
        <v>4167765</v>
      </c>
      <c r="AM45" s="506">
        <v>0</v>
      </c>
      <c r="AN45" s="506">
        <f t="shared" si="12"/>
        <v>4167765</v>
      </c>
      <c r="AO45" s="504" t="s">
        <v>860</v>
      </c>
      <c r="AP45" s="504" t="s">
        <v>691</v>
      </c>
      <c r="AQ45" s="504" t="s">
        <v>861</v>
      </c>
      <c r="AR45" s="504" t="s">
        <v>691</v>
      </c>
      <c r="AS45" s="505">
        <v>44564</v>
      </c>
      <c r="AT45" s="503"/>
      <c r="AU45" s="507" t="s">
        <v>397</v>
      </c>
      <c r="AV45" s="557">
        <f t="shared" si="14"/>
        <v>4167765</v>
      </c>
      <c r="AW45" s="557">
        <v>0</v>
      </c>
      <c r="AX45" s="557">
        <v>0</v>
      </c>
      <c r="AY45" s="566">
        <f t="shared" si="9"/>
        <v>4167765</v>
      </c>
      <c r="AZ45" s="569"/>
      <c r="BA45" s="557">
        <v>0</v>
      </c>
      <c r="BB45" s="557">
        <v>0</v>
      </c>
      <c r="BC45" s="557">
        <v>0</v>
      </c>
      <c r="BD45" s="566">
        <f t="shared" si="10"/>
        <v>0</v>
      </c>
      <c r="BE45" s="569"/>
      <c r="BF45" s="566">
        <f t="shared" si="13"/>
        <v>0</v>
      </c>
      <c r="BG45" s="481"/>
    </row>
    <row r="46" spans="1:59">
      <c r="AZ46" s="569"/>
      <c r="BA46" s="561"/>
      <c r="BB46" s="561"/>
      <c r="BC46" s="561"/>
      <c r="BD46" s="569">
        <f t="shared" si="10"/>
        <v>0</v>
      </c>
      <c r="BF46" s="566">
        <f>BD46-AM46</f>
        <v>0</v>
      </c>
    </row>
    <row r="47" spans="1:59">
      <c r="AL47" s="510">
        <f>AL34+AL35+AL36+AL37+AL38+AL39+AL40+AL41+AL42+AL43+AL44+AL45</f>
        <v>561068415</v>
      </c>
      <c r="AM47" s="510">
        <f>AM34+AM35+AM36+AM37+AM38+AM39+AM40+AM41+AM42+AM43+AM44+AM45</f>
        <v>229728535</v>
      </c>
      <c r="AN47" s="510">
        <f>AN34+AN35+AN36+AN37+AN38+AN39+AN40+AN41+AN42+AN43+AN44+AN45</f>
        <v>331339880</v>
      </c>
      <c r="AV47" s="569">
        <f>SUM(AV34:AV45)</f>
        <v>514639412.29999995</v>
      </c>
      <c r="AW47" s="569">
        <f>SUM(AW34:AW45)</f>
        <v>24000003</v>
      </c>
      <c r="AX47" s="569">
        <f>SUM(AX34:AX45)</f>
        <v>22428999.699999999</v>
      </c>
      <c r="AY47" s="569">
        <f>SUM(AV47:AX47)</f>
        <v>561068415</v>
      </c>
      <c r="BA47" s="562">
        <f>SUM(BA34:BA46)</f>
        <v>217175509.07999998</v>
      </c>
      <c r="BB47" s="562">
        <f>SUM(BB34:BB46)</f>
        <v>0</v>
      </c>
      <c r="BC47" s="562">
        <f>SUM(BC34:BC46)</f>
        <v>12553025.92</v>
      </c>
      <c r="BD47" s="562">
        <f t="shared" si="10"/>
        <v>229728534.99999997</v>
      </c>
    </row>
    <row r="48" spans="1:59">
      <c r="BA48" s="562"/>
      <c r="BB48" s="562"/>
      <c r="BC48" s="562"/>
      <c r="BD48" s="562"/>
    </row>
  </sheetData>
  <sortState xmlns:xlrd2="http://schemas.microsoft.com/office/spreadsheetml/2017/richdata2" ref="A34:BN45">
    <sortCondition ref="K34:K45"/>
  </sortState>
  <mergeCells count="4">
    <mergeCell ref="AV32:AX32"/>
    <mergeCell ref="BA32:BC32"/>
    <mergeCell ref="AV1:AY1"/>
    <mergeCell ref="BA1:BD1"/>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topLeftCell="M1" workbookViewId="0">
      <selection activeCell="P6" sqref="P6"/>
    </sheetView>
  </sheetViews>
  <sheetFormatPr baseColWidth="10" defaultColWidth="11.42578125" defaultRowHeight="15"/>
  <cols>
    <col min="1" max="1" width="12.7109375" customWidth="1"/>
    <col min="14" max="14" width="16.7109375" bestFit="1" customWidth="1"/>
  </cols>
  <sheetData>
    <row r="1" spans="1:27" s="419" customFormat="1" ht="26.25" thickBot="1">
      <c r="A1" s="424" t="s">
        <v>594</v>
      </c>
      <c r="B1" s="424">
        <v>2020</v>
      </c>
      <c r="C1" s="424">
        <v>2021</v>
      </c>
      <c r="D1" s="424">
        <v>2022</v>
      </c>
      <c r="E1" s="424">
        <v>2023</v>
      </c>
      <c r="F1" s="424">
        <v>2024</v>
      </c>
      <c r="G1" s="424" t="s">
        <v>862</v>
      </c>
      <c r="H1" s="425"/>
      <c r="I1" s="426" t="s">
        <v>863</v>
      </c>
      <c r="J1" s="426" t="s">
        <v>864</v>
      </c>
      <c r="K1" s="426" t="s">
        <v>865</v>
      </c>
      <c r="L1" s="426" t="s">
        <v>866</v>
      </c>
      <c r="M1" s="426"/>
      <c r="O1" s="426" t="s">
        <v>867</v>
      </c>
      <c r="P1" s="426" t="s">
        <v>868</v>
      </c>
      <c r="Q1" s="426" t="s">
        <v>869</v>
      </c>
      <c r="R1" s="426" t="s">
        <v>870</v>
      </c>
      <c r="S1" s="426" t="s">
        <v>871</v>
      </c>
      <c r="T1" s="426" t="s">
        <v>872</v>
      </c>
      <c r="U1" s="426" t="s">
        <v>873</v>
      </c>
      <c r="V1" s="426" t="s">
        <v>874</v>
      </c>
      <c r="W1" s="426" t="s">
        <v>875</v>
      </c>
      <c r="X1" s="426" t="s">
        <v>876</v>
      </c>
      <c r="Y1" s="426" t="s">
        <v>877</v>
      </c>
      <c r="Z1" s="426" t="s">
        <v>878</v>
      </c>
    </row>
    <row r="2" spans="1:27" ht="15.75" thickBot="1">
      <c r="A2" s="427" t="s">
        <v>879</v>
      </c>
      <c r="B2" s="428">
        <v>2000</v>
      </c>
      <c r="C2" s="429">
        <v>7000</v>
      </c>
      <c r="D2" s="430">
        <v>7000</v>
      </c>
      <c r="E2" s="431">
        <v>7000</v>
      </c>
      <c r="F2" s="432">
        <v>3100</v>
      </c>
      <c r="G2" s="427">
        <f t="shared" ref="G2:G6" si="0">SUM(B2:F2)</f>
        <v>26100</v>
      </c>
      <c r="H2" s="120"/>
      <c r="I2" s="433">
        <f>'Meta 1'!D35+'Meta 1'!E35+'Meta 1'!F35</f>
        <v>1481</v>
      </c>
      <c r="J2" s="433">
        <f>'Meta 1'!G35+'Meta 1'!H35+'Meta 1'!I35</f>
        <v>740</v>
      </c>
      <c r="K2" s="433">
        <f>'[3]Meta 1'!J35+'[3]Meta 1'!K35+'[3]Meta 1'!L35</f>
        <v>0</v>
      </c>
      <c r="L2" s="433">
        <f>'[3]Meta 1'!M35+'[3]Meta 1'!N35+'[3]Meta 1'!O35</f>
        <v>0</v>
      </c>
      <c r="M2" s="390">
        <f>SUM(I2:L2)</f>
        <v>2221</v>
      </c>
      <c r="O2" s="433">
        <f>'Meta 1'!D34</f>
        <v>0</v>
      </c>
      <c r="P2" s="433">
        <f>'Meta 1'!E34</f>
        <v>500</v>
      </c>
      <c r="Q2" s="433">
        <f>'Meta 1'!F34</f>
        <v>700</v>
      </c>
      <c r="R2" s="433">
        <f>'Meta 1'!G34</f>
        <v>700</v>
      </c>
      <c r="S2" s="433">
        <f>'Meta 1'!H34</f>
        <v>700</v>
      </c>
      <c r="T2" s="433">
        <f>'Meta 1'!I34</f>
        <v>700</v>
      </c>
      <c r="U2" s="433">
        <f>'Meta 1'!J34</f>
        <v>700</v>
      </c>
      <c r="V2" s="433">
        <f>'Meta 1'!K34</f>
        <v>700</v>
      </c>
      <c r="W2" s="433">
        <f>'Meta 1'!L34</f>
        <v>700</v>
      </c>
      <c r="X2" s="433">
        <f>'Meta 1'!M34</f>
        <v>700</v>
      </c>
      <c r="Y2" s="433">
        <f>'Meta 1'!N34</f>
        <v>700</v>
      </c>
      <c r="Z2" s="433">
        <f>'Meta 1'!O34</f>
        <v>200</v>
      </c>
      <c r="AA2" s="446">
        <f>SUM(O2:Z2)</f>
        <v>7000</v>
      </c>
    </row>
    <row r="3" spans="1:27">
      <c r="A3" s="427" t="s">
        <v>880</v>
      </c>
      <c r="B3" s="428">
        <v>15</v>
      </c>
      <c r="C3" s="429">
        <v>31</v>
      </c>
      <c r="D3" s="430">
        <v>31</v>
      </c>
      <c r="E3" s="431">
        <v>23</v>
      </c>
      <c r="F3" s="432">
        <v>0</v>
      </c>
      <c r="G3" s="427">
        <f t="shared" si="0"/>
        <v>100</v>
      </c>
      <c r="H3" s="120"/>
      <c r="I3" s="434">
        <f>('Meta 2'!D35+'Meta 2'!E35+'Meta 2'!F35)*100/13</f>
        <v>0</v>
      </c>
      <c r="J3" s="434">
        <f>('Meta 2'!G35+'Meta 2'!H35+'Meta 2'!I35)*100/13</f>
        <v>0</v>
      </c>
      <c r="K3" s="434">
        <f>('Meta 2'!J35+'Meta 2'!K35+'Meta 2'!L35)*100/13</f>
        <v>0</v>
      </c>
      <c r="L3" s="434">
        <f>('Meta 2'!M35+'Meta 2'!N35+'Meta 2'!O35)*100/13</f>
        <v>0</v>
      </c>
      <c r="M3" s="435">
        <f>SUM(I3:L3)</f>
        <v>0</v>
      </c>
      <c r="O3" s="434">
        <f>(('Meta 2'!D35)*100)/13</f>
        <v>0</v>
      </c>
      <c r="P3" s="434">
        <f>(('Meta 2'!E35)*100)/13</f>
        <v>0</v>
      </c>
      <c r="Q3" s="434">
        <f>(('Meta 2'!F35)*100)/13</f>
        <v>0</v>
      </c>
      <c r="R3" s="434">
        <f>(('Meta 2'!G35)*100)/13</f>
        <v>0</v>
      </c>
      <c r="S3" s="434">
        <f>(('Meta 2'!H35)*100)/13</f>
        <v>0</v>
      </c>
      <c r="T3" s="434">
        <f>(('Meta 2'!I35)*100)/13</f>
        <v>0</v>
      </c>
      <c r="U3" s="434">
        <f>(('Meta 2'!J35)*100)/13</f>
        <v>0</v>
      </c>
      <c r="V3" s="434">
        <f>(('Meta 2'!K35)*100)/13</f>
        <v>0</v>
      </c>
      <c r="W3" s="434">
        <f>(('Meta 2'!L35)*100)/13</f>
        <v>0</v>
      </c>
      <c r="X3" s="434">
        <f>(('Meta 2'!M35)*100)/13</f>
        <v>0</v>
      </c>
      <c r="Y3" s="434">
        <f>(('Meta 2'!N35)*100)/13</f>
        <v>0</v>
      </c>
      <c r="Z3" s="434">
        <f>(('Meta 2'!O35)*100)/13</f>
        <v>0</v>
      </c>
      <c r="AA3" s="447">
        <f t="shared" ref="AA3:AA4" si="1">SUM(O3:Z3)</f>
        <v>0</v>
      </c>
    </row>
    <row r="4" spans="1:27" ht="15.75" thickBot="1">
      <c r="A4" s="436" t="s">
        <v>881</v>
      </c>
      <c r="B4" s="437">
        <v>20</v>
      </c>
      <c r="C4" s="438">
        <v>20</v>
      </c>
      <c r="D4" s="439">
        <v>20</v>
      </c>
      <c r="E4" s="440">
        <v>20</v>
      </c>
      <c r="F4" s="441">
        <v>20</v>
      </c>
      <c r="G4" s="436">
        <f t="shared" si="0"/>
        <v>100</v>
      </c>
      <c r="H4" s="120"/>
      <c r="I4" s="434">
        <f>(('Meta 3'!D35+'Meta 3'!E35+'Meta 3'!F35)*20)/0.2</f>
        <v>2.9920000000000004</v>
      </c>
      <c r="J4" s="434">
        <f>(('Meta 3'!G35+'Meta 3'!H35+'Meta 3'!I35)*20)/0.2</f>
        <v>1.7280000000000006</v>
      </c>
      <c r="K4" s="434">
        <f>(('Meta 3'!J35+'Meta 3'!K35+'Meta 3'!L35)*20)/0.2</f>
        <v>0</v>
      </c>
      <c r="L4" s="434">
        <f>(('Meta 3'!M35+'Meta 3'!N35+'Meta 3'!O35)*20)/0.2</f>
        <v>0</v>
      </c>
      <c r="M4" s="358">
        <f>SUM(I4:L4)</f>
        <v>4.7200000000000006</v>
      </c>
      <c r="O4" s="434">
        <f>(('Meta 3'!D35)*20)/0.2</f>
        <v>0</v>
      </c>
      <c r="P4" s="434">
        <f>(('Meta 3'!E35)*20)/0.2</f>
        <v>1.0480000000000003</v>
      </c>
      <c r="Q4" s="434">
        <f>(('Meta 3'!F35)*20)/0.2</f>
        <v>1.9440000000000006</v>
      </c>
      <c r="R4" s="434">
        <f>(('Meta 3'!G35)*20)/0.2</f>
        <v>1.7280000000000006</v>
      </c>
      <c r="S4" s="434">
        <f>(('Meta 3'!H35)*20)/0.2</f>
        <v>0</v>
      </c>
      <c r="T4" s="434">
        <f>(('Meta 3'!I35)*20)/0.2</f>
        <v>0</v>
      </c>
      <c r="U4" s="434">
        <f>(('Meta 3'!J35)*20)/0.2</f>
        <v>0</v>
      </c>
      <c r="V4" s="434">
        <f>(('Meta 3'!K35)*20)/0.2</f>
        <v>0</v>
      </c>
      <c r="W4" s="434">
        <f>(('Meta 3'!L35)*20)/0.2</f>
        <v>0</v>
      </c>
      <c r="X4" s="434">
        <f>(('Meta 3'!M35)*20)/0.2</f>
        <v>0</v>
      </c>
      <c r="Y4" s="434">
        <f>(('Meta 3'!N35)*20)/0.2</f>
        <v>0</v>
      </c>
      <c r="Z4" s="434">
        <f>(('Meta 3'!O35)*20)/0.2</f>
        <v>0</v>
      </c>
      <c r="AA4" s="447">
        <f t="shared" si="1"/>
        <v>4.7200000000000015</v>
      </c>
    </row>
    <row r="5" spans="1:27">
      <c r="A5" s="427" t="s">
        <v>882</v>
      </c>
      <c r="B5" s="428">
        <f t="shared" ref="B5:F5" si="2">AVERAGE(B3:B4)</f>
        <v>17.5</v>
      </c>
      <c r="C5" s="429">
        <f t="shared" si="2"/>
        <v>25.5</v>
      </c>
      <c r="D5" s="430">
        <f t="shared" si="2"/>
        <v>25.5</v>
      </c>
      <c r="E5" s="431">
        <f t="shared" si="2"/>
        <v>21.5</v>
      </c>
      <c r="F5" s="432">
        <f t="shared" si="2"/>
        <v>10</v>
      </c>
      <c r="G5" s="427">
        <f t="shared" si="0"/>
        <v>100</v>
      </c>
      <c r="H5" s="120"/>
      <c r="I5" s="483">
        <f>AVERAGE(I3,I4)</f>
        <v>1.4960000000000002</v>
      </c>
      <c r="J5" s="442">
        <f>AVERAGE(J3,J4)</f>
        <v>0.86400000000000032</v>
      </c>
      <c r="K5" s="442">
        <f>AVERAGE(K3,K4)</f>
        <v>0</v>
      </c>
      <c r="L5" s="442">
        <f>AVERAGE(L3,L4)</f>
        <v>0</v>
      </c>
      <c r="M5" s="358">
        <f>AVERAGE(M3:M4)</f>
        <v>2.3600000000000003</v>
      </c>
      <c r="N5" s="443"/>
      <c r="O5" s="442">
        <f>AVERAGE(O3,O4)</f>
        <v>0</v>
      </c>
      <c r="P5" s="483">
        <f>AVERAGE(P3,P4)</f>
        <v>0.52400000000000013</v>
      </c>
      <c r="Q5" s="442">
        <f>AVERAGE(Q3,Q4)</f>
        <v>0.97200000000000031</v>
      </c>
      <c r="R5" s="442">
        <f t="shared" ref="R5:Y5" si="3">AVERAGE(R3,R4)</f>
        <v>0.86400000000000032</v>
      </c>
      <c r="S5" s="442">
        <f t="shared" si="3"/>
        <v>0</v>
      </c>
      <c r="T5" s="442">
        <f t="shared" si="3"/>
        <v>0</v>
      </c>
      <c r="U5" s="442">
        <f t="shared" si="3"/>
        <v>0</v>
      </c>
      <c r="V5" s="442">
        <f t="shared" si="3"/>
        <v>0</v>
      </c>
      <c r="W5" s="442">
        <f t="shared" si="3"/>
        <v>0</v>
      </c>
      <c r="X5" s="442">
        <f t="shared" si="3"/>
        <v>0</v>
      </c>
      <c r="Y5" s="442">
        <f t="shared" si="3"/>
        <v>0</v>
      </c>
      <c r="Z5" s="442">
        <f>AVERAGE(Z3,Z4)</f>
        <v>0</v>
      </c>
      <c r="AA5" s="450">
        <f>SUM(O5:Z5)</f>
        <v>2.3600000000000008</v>
      </c>
    </row>
    <row r="6" spans="1:27" ht="15.75" thickBot="1">
      <c r="A6" s="436" t="s">
        <v>883</v>
      </c>
      <c r="B6" s="437">
        <v>18</v>
      </c>
      <c r="C6" s="438">
        <v>25</v>
      </c>
      <c r="D6" s="439">
        <v>25</v>
      </c>
      <c r="E6" s="440">
        <v>22</v>
      </c>
      <c r="F6" s="441">
        <v>10</v>
      </c>
      <c r="G6" s="436">
        <f t="shared" si="0"/>
        <v>100</v>
      </c>
      <c r="H6" s="120"/>
      <c r="I6" s="120"/>
      <c r="J6" s="120"/>
      <c r="K6" s="120"/>
      <c r="L6" s="120"/>
      <c r="P6" s="591">
        <f>P5+Q5</f>
        <v>1.4960000000000004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090" t="s">
        <v>158</v>
      </c>
      <c r="B1" s="1091"/>
    </row>
    <row r="2" spans="1:2" ht="25.5" customHeight="1">
      <c r="A2" s="1092" t="s">
        <v>884</v>
      </c>
      <c r="B2" s="1093"/>
    </row>
    <row r="3" spans="1:2">
      <c r="A3" s="127" t="s">
        <v>885</v>
      </c>
      <c r="B3" s="127" t="s">
        <v>886</v>
      </c>
    </row>
    <row r="4" spans="1:2">
      <c r="A4" s="128" t="s">
        <v>9</v>
      </c>
      <c r="B4" s="136" t="s">
        <v>887</v>
      </c>
    </row>
    <row r="5" spans="1:2" ht="105">
      <c r="A5" s="128" t="s">
        <v>10</v>
      </c>
      <c r="B5" s="135" t="s">
        <v>888</v>
      </c>
    </row>
    <row r="6" spans="1:2">
      <c r="A6" s="128" t="s">
        <v>15</v>
      </c>
      <c r="B6" s="1094" t="s">
        <v>889</v>
      </c>
    </row>
    <row r="7" spans="1:2">
      <c r="A7" s="128" t="s">
        <v>17</v>
      </c>
      <c r="B7" s="1095"/>
    </row>
    <row r="8" spans="1:2">
      <c r="A8" s="128" t="s">
        <v>19</v>
      </c>
      <c r="B8" s="1095"/>
    </row>
    <row r="9" spans="1:2">
      <c r="A9" s="128" t="s">
        <v>890</v>
      </c>
      <c r="B9" s="1096"/>
    </row>
    <row r="10" spans="1:2" ht="30">
      <c r="A10" s="128" t="s">
        <v>7</v>
      </c>
      <c r="B10" s="129" t="s">
        <v>891</v>
      </c>
    </row>
    <row r="11" spans="1:2" ht="45">
      <c r="A11" s="128" t="s">
        <v>27</v>
      </c>
      <c r="B11" s="129" t="s">
        <v>892</v>
      </c>
    </row>
    <row r="12" spans="1:2" ht="60">
      <c r="A12" s="128" t="s">
        <v>26</v>
      </c>
      <c r="B12" s="130" t="s">
        <v>893</v>
      </c>
    </row>
    <row r="13" spans="1:2" ht="30">
      <c r="A13" s="128" t="s">
        <v>894</v>
      </c>
      <c r="B13" s="130" t="s">
        <v>895</v>
      </c>
    </row>
    <row r="14" spans="1:2" ht="45">
      <c r="A14" s="128" t="s">
        <v>896</v>
      </c>
      <c r="B14" s="130" t="s">
        <v>897</v>
      </c>
    </row>
    <row r="15" spans="1:2" ht="72" customHeight="1">
      <c r="A15" s="131" t="s">
        <v>898</v>
      </c>
      <c r="B15" s="132" t="s">
        <v>899</v>
      </c>
    </row>
    <row r="16" spans="1:2" ht="194.25">
      <c r="A16" s="131" t="s">
        <v>900</v>
      </c>
      <c r="B16" s="133" t="s">
        <v>901</v>
      </c>
    </row>
    <row r="17" spans="1:2" ht="25.5" customHeight="1">
      <c r="A17" s="1092" t="s">
        <v>902</v>
      </c>
      <c r="B17" s="1093"/>
    </row>
    <row r="18" spans="1:2">
      <c r="A18" s="127" t="s">
        <v>885</v>
      </c>
      <c r="B18" s="127" t="s">
        <v>886</v>
      </c>
    </row>
    <row r="19" spans="1:2">
      <c r="A19" s="128" t="s">
        <v>9</v>
      </c>
      <c r="B19" s="136" t="s">
        <v>887</v>
      </c>
    </row>
    <row r="20" spans="1:2" ht="105">
      <c r="A20" s="128" t="s">
        <v>10</v>
      </c>
      <c r="B20" s="135" t="s">
        <v>888</v>
      </c>
    </row>
    <row r="21" spans="1:2" ht="30">
      <c r="A21" s="128" t="s">
        <v>903</v>
      </c>
      <c r="B21" s="130" t="s">
        <v>904</v>
      </c>
    </row>
    <row r="22" spans="1:2" ht="45">
      <c r="A22" s="128" t="s">
        <v>905</v>
      </c>
      <c r="B22" s="130" t="s">
        <v>906</v>
      </c>
    </row>
    <row r="23" spans="1:2" ht="75">
      <c r="A23" s="128" t="s">
        <v>907</v>
      </c>
      <c r="B23" s="130" t="s">
        <v>908</v>
      </c>
    </row>
    <row r="24" spans="1:2" ht="30">
      <c r="A24" s="128" t="s">
        <v>909</v>
      </c>
      <c r="B24" s="130" t="s">
        <v>910</v>
      </c>
    </row>
    <row r="25" spans="1:2" ht="30">
      <c r="A25" s="128" t="s">
        <v>911</v>
      </c>
      <c r="B25" s="130" t="s">
        <v>912</v>
      </c>
    </row>
    <row r="26" spans="1:2" ht="45.95" customHeight="1">
      <c r="A26" s="128" t="s">
        <v>913</v>
      </c>
      <c r="B26" s="134" t="s">
        <v>914</v>
      </c>
    </row>
    <row r="27" spans="1:2" ht="75">
      <c r="A27" s="128" t="s">
        <v>171</v>
      </c>
      <c r="B27" s="134" t="s">
        <v>915</v>
      </c>
    </row>
    <row r="28" spans="1:2" ht="45">
      <c r="A28" s="128" t="s">
        <v>916</v>
      </c>
      <c r="B28" s="134" t="s">
        <v>917</v>
      </c>
    </row>
    <row r="29" spans="1:2" ht="45">
      <c r="A29" s="128" t="s">
        <v>918</v>
      </c>
      <c r="B29" s="134" t="s">
        <v>919</v>
      </c>
    </row>
    <row r="30" spans="1:2" ht="45">
      <c r="A30" s="128" t="s">
        <v>920</v>
      </c>
      <c r="B30" s="134" t="s">
        <v>921</v>
      </c>
    </row>
    <row r="31" spans="1:2" ht="144" customHeight="1">
      <c r="A31" s="128" t="s">
        <v>922</v>
      </c>
      <c r="B31" s="134" t="s">
        <v>923</v>
      </c>
    </row>
    <row r="32" spans="1:2" ht="30">
      <c r="A32" s="128" t="s">
        <v>924</v>
      </c>
      <c r="B32" s="134" t="s">
        <v>925</v>
      </c>
    </row>
    <row r="33" spans="1:2" ht="30">
      <c r="A33" s="128" t="s">
        <v>926</v>
      </c>
      <c r="B33" s="134" t="s">
        <v>927</v>
      </c>
    </row>
    <row r="34" spans="1:2" ht="30">
      <c r="A34" s="128" t="s">
        <v>928</v>
      </c>
      <c r="B34" s="134" t="s">
        <v>929</v>
      </c>
    </row>
    <row r="35" spans="1:2" ht="30">
      <c r="A35" s="128" t="s">
        <v>930</v>
      </c>
      <c r="B35" s="134" t="s">
        <v>931</v>
      </c>
    </row>
    <row r="36" spans="1:2" ht="90">
      <c r="A36" s="128" t="s">
        <v>161</v>
      </c>
      <c r="B36" s="134" t="s">
        <v>932</v>
      </c>
    </row>
    <row r="37" spans="1:2" ht="45">
      <c r="A37" s="128" t="s">
        <v>933</v>
      </c>
      <c r="B37" s="134" t="s">
        <v>934</v>
      </c>
    </row>
    <row r="38" spans="1:2" ht="42.75">
      <c r="A38" s="131" t="s">
        <v>163</v>
      </c>
      <c r="B38" s="134" t="s">
        <v>935</v>
      </c>
    </row>
    <row r="39" spans="1:2" ht="25.5" customHeight="1">
      <c r="A39" s="1092" t="s">
        <v>936</v>
      </c>
      <c r="B39" s="1093"/>
    </row>
    <row r="40" spans="1:2">
      <c r="A40" s="1090" t="s">
        <v>937</v>
      </c>
      <c r="B40" s="1091"/>
    </row>
    <row r="41" spans="1:2" ht="72" customHeight="1">
      <c r="A41" s="1088" t="s">
        <v>938</v>
      </c>
      <c r="B41" s="1089"/>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939</v>
      </c>
      <c r="B1" s="113" t="s">
        <v>940</v>
      </c>
      <c r="C1" s="113" t="s">
        <v>941</v>
      </c>
      <c r="D1" s="113" t="s">
        <v>942</v>
      </c>
      <c r="E1" s="113" t="s">
        <v>920</v>
      </c>
      <c r="F1" s="113" t="s">
        <v>943</v>
      </c>
      <c r="G1" s="113" t="s">
        <v>944</v>
      </c>
      <c r="H1" s="113" t="s">
        <v>289</v>
      </c>
      <c r="I1" s="113" t="s">
        <v>911</v>
      </c>
    </row>
    <row r="2" spans="1:9" s="114" customFormat="1">
      <c r="A2" s="115" t="s">
        <v>945</v>
      </c>
      <c r="B2" s="111" t="s">
        <v>946</v>
      </c>
      <c r="C2" s="115" t="s">
        <v>947</v>
      </c>
      <c r="D2" s="116" t="s">
        <v>948</v>
      </c>
      <c r="E2" s="112" t="s">
        <v>949</v>
      </c>
      <c r="F2" s="117" t="s">
        <v>950</v>
      </c>
      <c r="G2" s="118" t="s">
        <v>951</v>
      </c>
      <c r="H2" s="118" t="s">
        <v>952</v>
      </c>
      <c r="I2" s="117" t="s">
        <v>953</v>
      </c>
    </row>
    <row r="3" spans="1:9">
      <c r="A3" s="115" t="s">
        <v>954</v>
      </c>
      <c r="B3" s="111" t="s">
        <v>955</v>
      </c>
      <c r="C3" s="115" t="s">
        <v>956</v>
      </c>
      <c r="D3" s="119" t="s">
        <v>957</v>
      </c>
      <c r="E3" s="112" t="s">
        <v>958</v>
      </c>
      <c r="F3" s="117" t="s">
        <v>959</v>
      </c>
      <c r="G3" s="118" t="s">
        <v>960</v>
      </c>
      <c r="H3" s="118" t="s">
        <v>298</v>
      </c>
      <c r="I3" s="117" t="s">
        <v>961</v>
      </c>
    </row>
    <row r="4" spans="1:9">
      <c r="A4" s="115" t="s">
        <v>406</v>
      </c>
      <c r="B4" s="111" t="s">
        <v>962</v>
      </c>
      <c r="C4" s="115" t="s">
        <v>963</v>
      </c>
      <c r="D4" s="119" t="s">
        <v>964</v>
      </c>
      <c r="E4" s="112" t="s">
        <v>965</v>
      </c>
      <c r="F4" s="117" t="s">
        <v>966</v>
      </c>
      <c r="G4" s="118" t="s">
        <v>967</v>
      </c>
      <c r="H4" s="118" t="s">
        <v>293</v>
      </c>
      <c r="I4" s="117" t="s">
        <v>968</v>
      </c>
    </row>
    <row r="5" spans="1:9">
      <c r="A5" s="115" t="s">
        <v>969</v>
      </c>
      <c r="B5" s="111" t="s">
        <v>970</v>
      </c>
      <c r="C5" s="115" t="s">
        <v>971</v>
      </c>
      <c r="D5" s="119" t="s">
        <v>972</v>
      </c>
      <c r="E5" s="112" t="s">
        <v>973</v>
      </c>
      <c r="F5" s="117" t="s">
        <v>974</v>
      </c>
      <c r="G5" s="118" t="s">
        <v>975</v>
      </c>
      <c r="H5" s="118" t="s">
        <v>294</v>
      </c>
      <c r="I5" s="117" t="s">
        <v>976</v>
      </c>
    </row>
    <row r="6" spans="1:9" ht="30">
      <c r="A6" s="115" t="s">
        <v>977</v>
      </c>
      <c r="B6" s="111" t="s">
        <v>978</v>
      </c>
      <c r="C6" s="115" t="s">
        <v>979</v>
      </c>
      <c r="D6" s="119" t="s">
        <v>980</v>
      </c>
      <c r="E6" s="112" t="s">
        <v>981</v>
      </c>
      <c r="G6" s="118" t="s">
        <v>982</v>
      </c>
      <c r="H6" s="118" t="s">
        <v>295</v>
      </c>
      <c r="I6" s="117" t="s">
        <v>983</v>
      </c>
    </row>
    <row r="7" spans="1:9" ht="30">
      <c r="B7" s="111" t="s">
        <v>984</v>
      </c>
      <c r="C7" s="115" t="s">
        <v>985</v>
      </c>
      <c r="D7" s="119" t="s">
        <v>986</v>
      </c>
      <c r="E7" s="117" t="s">
        <v>987</v>
      </c>
      <c r="G7" s="112" t="s">
        <v>304</v>
      </c>
      <c r="H7" s="118" t="s">
        <v>296</v>
      </c>
      <c r="I7" s="117" t="s">
        <v>988</v>
      </c>
    </row>
    <row r="8" spans="1:9" ht="30">
      <c r="A8" s="120"/>
      <c r="B8" s="111" t="s">
        <v>989</v>
      </c>
      <c r="C8" s="115" t="s">
        <v>990</v>
      </c>
      <c r="D8" s="119" t="s">
        <v>991</v>
      </c>
      <c r="E8" s="117" t="s">
        <v>992</v>
      </c>
      <c r="I8" s="117" t="s">
        <v>993</v>
      </c>
    </row>
    <row r="9" spans="1:9" ht="32.1" customHeight="1">
      <c r="A9" s="120"/>
      <c r="B9" s="111" t="s">
        <v>994</v>
      </c>
      <c r="C9" s="115" t="s">
        <v>995</v>
      </c>
      <c r="D9" s="119" t="s">
        <v>996</v>
      </c>
      <c r="E9" s="117" t="s">
        <v>997</v>
      </c>
      <c r="I9" s="117" t="s">
        <v>998</v>
      </c>
    </row>
    <row r="10" spans="1:9">
      <c r="A10" s="120"/>
      <c r="B10" s="111" t="s">
        <v>999</v>
      </c>
      <c r="C10" s="115" t="s">
        <v>1000</v>
      </c>
      <c r="D10" s="119" t="s">
        <v>1001</v>
      </c>
      <c r="E10" s="117" t="s">
        <v>1002</v>
      </c>
      <c r="I10" s="117" t="s">
        <v>1003</v>
      </c>
    </row>
    <row r="11" spans="1:9">
      <c r="A11" s="120"/>
      <c r="B11" s="111" t="s">
        <v>1004</v>
      </c>
      <c r="C11" s="115" t="s">
        <v>1005</v>
      </c>
      <c r="D11" s="119" t="s">
        <v>1006</v>
      </c>
      <c r="E11" s="117" t="s">
        <v>1007</v>
      </c>
      <c r="I11" s="117" t="s">
        <v>1008</v>
      </c>
    </row>
    <row r="12" spans="1:9" ht="30">
      <c r="A12" s="120"/>
      <c r="B12" s="111" t="s">
        <v>1009</v>
      </c>
      <c r="C12" s="115" t="s">
        <v>1010</v>
      </c>
      <c r="D12" s="119" t="s">
        <v>1011</v>
      </c>
      <c r="E12" s="117" t="s">
        <v>1012</v>
      </c>
      <c r="I12" s="117" t="s">
        <v>1013</v>
      </c>
    </row>
    <row r="13" spans="1:9">
      <c r="A13" s="120"/>
      <c r="B13" s="178" t="s">
        <v>1014</v>
      </c>
      <c r="D13" s="119" t="s">
        <v>1015</v>
      </c>
      <c r="E13" s="117" t="s">
        <v>1016</v>
      </c>
      <c r="I13" s="117" t="s">
        <v>1017</v>
      </c>
    </row>
    <row r="14" spans="1:9">
      <c r="A14" s="120"/>
      <c r="B14" s="111" t="s">
        <v>1018</v>
      </c>
      <c r="C14" s="120"/>
      <c r="D14" s="119" t="s">
        <v>1019</v>
      </c>
      <c r="E14" s="117" t="s">
        <v>1020</v>
      </c>
    </row>
    <row r="15" spans="1:9">
      <c r="A15" s="120"/>
      <c r="B15" s="111" t="s">
        <v>1021</v>
      </c>
      <c r="C15" s="120"/>
      <c r="D15" s="119" t="s">
        <v>203</v>
      </c>
      <c r="E15" s="117" t="s">
        <v>1022</v>
      </c>
    </row>
    <row r="16" spans="1:9">
      <c r="A16" s="120"/>
      <c r="B16" s="111" t="s">
        <v>1023</v>
      </c>
      <c r="C16" s="120"/>
      <c r="D16" s="119" t="s">
        <v>1024</v>
      </c>
      <c r="E16" s="121"/>
    </row>
    <row r="17" spans="1:5">
      <c r="A17" s="120"/>
      <c r="B17" s="111" t="s">
        <v>1025</v>
      </c>
      <c r="C17" s="120"/>
      <c r="D17" s="119" t="s">
        <v>1026</v>
      </c>
      <c r="E17" s="121"/>
    </row>
    <row r="18" spans="1:5">
      <c r="A18" s="120"/>
      <c r="B18" s="111" t="s">
        <v>1027</v>
      </c>
      <c r="C18" s="120"/>
      <c r="D18" s="119" t="s">
        <v>1028</v>
      </c>
      <c r="E18" s="121"/>
    </row>
    <row r="19" spans="1:5">
      <c r="A19" s="120"/>
      <c r="B19" s="111" t="s">
        <v>1029</v>
      </c>
      <c r="C19" s="120"/>
      <c r="D19" s="119" t="s">
        <v>1030</v>
      </c>
      <c r="E19" s="121"/>
    </row>
    <row r="20" spans="1:5">
      <c r="A20" s="120"/>
      <c r="B20" s="111" t="s">
        <v>1031</v>
      </c>
      <c r="C20" s="120"/>
      <c r="D20" s="119" t="s">
        <v>1032</v>
      </c>
      <c r="E20" s="121"/>
    </row>
    <row r="21" spans="1:5">
      <c r="B21" s="111" t="s">
        <v>1033</v>
      </c>
      <c r="D21" s="119" t="s">
        <v>1034</v>
      </c>
      <c r="E21" s="121"/>
    </row>
    <row r="22" spans="1:5">
      <c r="B22" s="111" t="s">
        <v>1035</v>
      </c>
      <c r="D22" s="119" t="s">
        <v>1036</v>
      </c>
      <c r="E22" s="121"/>
    </row>
    <row r="23" spans="1:5">
      <c r="B23" s="111" t="s">
        <v>1037</v>
      </c>
      <c r="D23" s="119" t="s">
        <v>1038</v>
      </c>
      <c r="E23" s="121"/>
    </row>
    <row r="24" spans="1:5">
      <c r="D24" s="122" t="s">
        <v>1039</v>
      </c>
      <c r="E24" s="122" t="s">
        <v>1040</v>
      </c>
    </row>
    <row r="25" spans="1:5">
      <c r="D25" s="123" t="s">
        <v>1041</v>
      </c>
      <c r="E25" s="117" t="s">
        <v>1042</v>
      </c>
    </row>
    <row r="26" spans="1:5">
      <c r="D26" s="123" t="s">
        <v>436</v>
      </c>
      <c r="E26" s="117" t="s">
        <v>1043</v>
      </c>
    </row>
    <row r="27" spans="1:5">
      <c r="D27" s="1097" t="s">
        <v>1044</v>
      </c>
      <c r="E27" s="117" t="s">
        <v>1045</v>
      </c>
    </row>
    <row r="28" spans="1:5">
      <c r="D28" s="1098"/>
      <c r="E28" s="117" t="s">
        <v>1046</v>
      </c>
    </row>
    <row r="29" spans="1:5">
      <c r="D29" s="1098"/>
      <c r="E29" s="117" t="s">
        <v>1047</v>
      </c>
    </row>
    <row r="30" spans="1:5">
      <c r="D30" s="1099"/>
      <c r="E30" s="117" t="s">
        <v>1048</v>
      </c>
    </row>
    <row r="31" spans="1:5">
      <c r="D31" s="123" t="s">
        <v>1049</v>
      </c>
      <c r="E31" s="117" t="s">
        <v>1050</v>
      </c>
    </row>
    <row r="32" spans="1:5">
      <c r="D32" s="123" t="s">
        <v>1051</v>
      </c>
      <c r="E32" s="117" t="s">
        <v>1052</v>
      </c>
    </row>
    <row r="33" spans="4:5">
      <c r="D33" s="123" t="s">
        <v>1053</v>
      </c>
      <c r="E33" s="117" t="s">
        <v>1054</v>
      </c>
    </row>
    <row r="34" spans="4:5">
      <c r="D34" s="123" t="s">
        <v>1055</v>
      </c>
      <c r="E34" s="117" t="s">
        <v>1056</v>
      </c>
    </row>
    <row r="35" spans="4:5">
      <c r="D35" s="123" t="s">
        <v>1057</v>
      </c>
      <c r="E35" s="117" t="s">
        <v>1058</v>
      </c>
    </row>
    <row r="36" spans="4:5">
      <c r="D36" s="123" t="s">
        <v>1059</v>
      </c>
      <c r="E36" s="117" t="s">
        <v>1060</v>
      </c>
    </row>
    <row r="37" spans="4:5">
      <c r="D37" s="123" t="s">
        <v>1061</v>
      </c>
      <c r="E37" s="117" t="s">
        <v>1062</v>
      </c>
    </row>
    <row r="38" spans="4:5">
      <c r="D38" s="123" t="s">
        <v>1063</v>
      </c>
      <c r="E38" s="117" t="s">
        <v>1064</v>
      </c>
    </row>
    <row r="39" spans="4:5">
      <c r="D39" s="124" t="s">
        <v>1065</v>
      </c>
      <c r="E39" s="117" t="s">
        <v>1066</v>
      </c>
    </row>
    <row r="40" spans="4:5">
      <c r="D40" s="124" t="s">
        <v>1067</v>
      </c>
      <c r="E40" s="117" t="s">
        <v>1068</v>
      </c>
    </row>
    <row r="41" spans="4:5">
      <c r="D41" s="123" t="s">
        <v>1069</v>
      </c>
      <c r="E41" s="117" t="s">
        <v>1070</v>
      </c>
    </row>
    <row r="42" spans="4:5">
      <c r="D42" s="123" t="s">
        <v>1071</v>
      </c>
      <c r="E42" s="117" t="s">
        <v>1072</v>
      </c>
    </row>
    <row r="43" spans="4:5">
      <c r="D43" s="124" t="s">
        <v>1073</v>
      </c>
      <c r="E43" s="117" t="s">
        <v>1074</v>
      </c>
    </row>
    <row r="44" spans="4:5">
      <c r="D44" s="125" t="s">
        <v>1075</v>
      </c>
      <c r="E44" s="117" t="s">
        <v>1076</v>
      </c>
    </row>
    <row r="45" spans="4:5">
      <c r="D45" s="119" t="s">
        <v>1077</v>
      </c>
      <c r="E45" s="117" t="s">
        <v>1078</v>
      </c>
    </row>
    <row r="46" spans="4:5">
      <c r="D46" s="119" t="s">
        <v>1079</v>
      </c>
      <c r="E46" s="117" t="s">
        <v>1080</v>
      </c>
    </row>
    <row r="47" spans="4:5">
      <c r="D47" s="119" t="s">
        <v>1081</v>
      </c>
      <c r="E47" s="117" t="s">
        <v>1082</v>
      </c>
    </row>
    <row r="48" spans="4:5">
      <c r="D48" s="119" t="s">
        <v>1083</v>
      </c>
      <c r="E48" s="117" t="s">
        <v>1084</v>
      </c>
    </row>
    <row r="49" spans="4:4">
      <c r="D49" s="122" t="s">
        <v>1085</v>
      </c>
    </row>
    <row r="50" spans="4:4">
      <c r="D50" s="119" t="s">
        <v>1086</v>
      </c>
    </row>
    <row r="51" spans="4:4">
      <c r="D51" s="119" t="s">
        <v>1087</v>
      </c>
    </row>
    <row r="52" spans="4:4">
      <c r="D52" s="122" t="s">
        <v>1088</v>
      </c>
    </row>
    <row r="53" spans="4:4">
      <c r="D53" s="125" t="s">
        <v>1089</v>
      </c>
    </row>
    <row r="54" spans="4:4">
      <c r="D54" s="125" t="s">
        <v>1090</v>
      </c>
    </row>
    <row r="55" spans="4:4">
      <c r="D55" s="125" t="s">
        <v>1091</v>
      </c>
    </row>
    <row r="56" spans="4:4">
      <c r="D56" s="125" t="s">
        <v>1092</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20"/>
  <sheetViews>
    <sheetView workbookViewId="0">
      <selection activeCell="E17" sqref="E17"/>
    </sheetView>
  </sheetViews>
  <sheetFormatPr baseColWidth="10" defaultColWidth="11.42578125" defaultRowHeight="15"/>
  <sheetData>
    <row r="1" spans="1:6">
      <c r="A1" t="s">
        <v>1093</v>
      </c>
    </row>
    <row r="2" spans="1:6">
      <c r="B2" s="281" t="s">
        <v>31</v>
      </c>
      <c r="C2" s="281" t="s">
        <v>8</v>
      </c>
      <c r="D2" s="281" t="s">
        <v>32</v>
      </c>
    </row>
    <row r="3" spans="1:6">
      <c r="A3" t="s">
        <v>1140</v>
      </c>
      <c r="B3">
        <v>24</v>
      </c>
      <c r="C3">
        <v>158</v>
      </c>
      <c r="D3">
        <v>67</v>
      </c>
      <c r="E3" s="281">
        <f>SUM(B3:D3)</f>
        <v>249</v>
      </c>
      <c r="F3" s="281" t="s">
        <v>1121</v>
      </c>
    </row>
    <row r="4" spans="1:6">
      <c r="A4" t="s">
        <v>1141</v>
      </c>
      <c r="B4">
        <v>1</v>
      </c>
      <c r="C4">
        <v>2</v>
      </c>
      <c r="D4">
        <v>0</v>
      </c>
      <c r="E4" s="281">
        <f t="shared" ref="E4:E17" si="0">SUM(B4:D4)</f>
        <v>3</v>
      </c>
      <c r="F4" s="281" t="s">
        <v>1122</v>
      </c>
    </row>
    <row r="5" spans="1:6">
      <c r="A5" t="s">
        <v>1142</v>
      </c>
      <c r="B5">
        <v>2</v>
      </c>
      <c r="C5">
        <v>2</v>
      </c>
      <c r="D5">
        <v>0</v>
      </c>
      <c r="E5" s="281">
        <f t="shared" si="0"/>
        <v>4</v>
      </c>
      <c r="F5" s="281" t="s">
        <v>1123</v>
      </c>
    </row>
    <row r="6" spans="1:6">
      <c r="A6" t="s">
        <v>1143</v>
      </c>
      <c r="B6">
        <v>25</v>
      </c>
      <c r="C6">
        <v>24</v>
      </c>
      <c r="D6">
        <v>0</v>
      </c>
      <c r="E6" s="281">
        <f t="shared" si="0"/>
        <v>49</v>
      </c>
      <c r="F6" s="281" t="s">
        <v>1124</v>
      </c>
    </row>
    <row r="7" spans="1:6">
      <c r="A7" t="s">
        <v>1144</v>
      </c>
      <c r="B7">
        <v>83</v>
      </c>
      <c r="C7">
        <v>41</v>
      </c>
      <c r="D7">
        <v>3</v>
      </c>
      <c r="E7" s="281">
        <f t="shared" si="0"/>
        <v>127</v>
      </c>
      <c r="F7" s="281" t="s">
        <v>1125</v>
      </c>
    </row>
    <row r="8" spans="1:6">
      <c r="A8" t="s">
        <v>1145</v>
      </c>
      <c r="B8">
        <v>237</v>
      </c>
      <c r="C8">
        <v>341</v>
      </c>
      <c r="D8">
        <v>377</v>
      </c>
      <c r="E8" s="281">
        <f t="shared" si="0"/>
        <v>955</v>
      </c>
      <c r="F8" s="281" t="s">
        <v>1126</v>
      </c>
    </row>
    <row r="9" spans="1:6">
      <c r="A9" t="s">
        <v>1146</v>
      </c>
      <c r="B9">
        <v>148</v>
      </c>
      <c r="C9">
        <v>340</v>
      </c>
      <c r="D9">
        <v>151</v>
      </c>
      <c r="E9" s="281">
        <f t="shared" si="0"/>
        <v>639</v>
      </c>
      <c r="F9" s="281" t="s">
        <v>1127</v>
      </c>
    </row>
    <row r="10" spans="1:6">
      <c r="A10" t="s">
        <v>1147</v>
      </c>
      <c r="B10">
        <v>4</v>
      </c>
      <c r="C10">
        <v>2</v>
      </c>
      <c r="D10">
        <v>6</v>
      </c>
      <c r="E10" s="281">
        <f t="shared" si="0"/>
        <v>12</v>
      </c>
      <c r="F10" s="281" t="s">
        <v>1128</v>
      </c>
    </row>
    <row r="11" spans="1:6">
      <c r="A11" t="s">
        <v>1148</v>
      </c>
      <c r="B11">
        <v>3</v>
      </c>
      <c r="C11">
        <v>0</v>
      </c>
      <c r="D11">
        <v>0</v>
      </c>
      <c r="E11" s="281">
        <f t="shared" si="0"/>
        <v>3</v>
      </c>
      <c r="F11" s="281" t="s">
        <v>1129</v>
      </c>
    </row>
    <row r="12" spans="1:6">
      <c r="A12" t="s">
        <v>1149</v>
      </c>
      <c r="B12">
        <v>4</v>
      </c>
      <c r="C12">
        <v>21</v>
      </c>
      <c r="D12">
        <v>15</v>
      </c>
      <c r="E12" s="281">
        <f t="shared" si="0"/>
        <v>40</v>
      </c>
      <c r="F12" s="281" t="s">
        <v>1130</v>
      </c>
    </row>
    <row r="13" spans="1:6">
      <c r="A13" t="s">
        <v>1150</v>
      </c>
      <c r="B13">
        <v>0</v>
      </c>
      <c r="C13">
        <v>19</v>
      </c>
      <c r="D13">
        <v>55</v>
      </c>
      <c r="E13" s="281">
        <f t="shared" si="0"/>
        <v>74</v>
      </c>
      <c r="F13" s="281" t="s">
        <v>1131</v>
      </c>
    </row>
    <row r="14" spans="1:6">
      <c r="A14" t="s">
        <v>1136</v>
      </c>
      <c r="B14">
        <v>0</v>
      </c>
      <c r="C14">
        <v>0</v>
      </c>
      <c r="D14">
        <v>25</v>
      </c>
      <c r="E14" s="281">
        <f t="shared" si="0"/>
        <v>25</v>
      </c>
      <c r="F14" s="281" t="s">
        <v>1132</v>
      </c>
    </row>
    <row r="15" spans="1:6">
      <c r="A15" t="s">
        <v>1137</v>
      </c>
      <c r="B15">
        <v>0</v>
      </c>
      <c r="C15">
        <v>0</v>
      </c>
      <c r="D15">
        <v>4</v>
      </c>
      <c r="E15" s="281">
        <f t="shared" si="0"/>
        <v>4</v>
      </c>
      <c r="F15" s="281" t="s">
        <v>1133</v>
      </c>
    </row>
    <row r="16" spans="1:6">
      <c r="A16" t="s">
        <v>1138</v>
      </c>
      <c r="B16">
        <v>0</v>
      </c>
      <c r="C16">
        <v>0</v>
      </c>
      <c r="D16">
        <v>30</v>
      </c>
      <c r="E16" s="281">
        <f t="shared" si="0"/>
        <v>30</v>
      </c>
      <c r="F16" s="281" t="s">
        <v>1134</v>
      </c>
    </row>
    <row r="17" spans="1:6">
      <c r="A17" t="s">
        <v>1139</v>
      </c>
      <c r="B17">
        <v>0</v>
      </c>
      <c r="C17">
        <v>0</v>
      </c>
      <c r="D17">
        <v>7</v>
      </c>
      <c r="E17" s="281">
        <f t="shared" si="0"/>
        <v>7</v>
      </c>
      <c r="F17" s="281" t="s">
        <v>1135</v>
      </c>
    </row>
    <row r="19" spans="1:6">
      <c r="B19" s="281">
        <f>SUM(B3:B18)</f>
        <v>531</v>
      </c>
      <c r="C19" s="281">
        <f>SUM(C3:C18)</f>
        <v>950</v>
      </c>
      <c r="D19" s="281">
        <f>SUM(D3:D18)</f>
        <v>740</v>
      </c>
    </row>
    <row r="20" spans="1:6">
      <c r="A20" t="s">
        <v>1094</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1095</v>
      </c>
      <c r="C1" s="1103" t="s">
        <v>1096</v>
      </c>
      <c r="D1" s="1103"/>
      <c r="E1" s="1103"/>
      <c r="F1" s="1103"/>
      <c r="G1" s="1104" t="s">
        <v>1097</v>
      </c>
      <c r="H1" s="1105"/>
      <c r="I1" s="1105"/>
      <c r="J1" s="1106"/>
      <c r="K1" s="1102" t="s">
        <v>1098</v>
      </c>
      <c r="L1" s="1102"/>
      <c r="M1" s="1102"/>
      <c r="N1" s="1102"/>
    </row>
    <row r="2" spans="1:14">
      <c r="C2" s="4"/>
      <c r="D2" s="4"/>
      <c r="E2" s="4"/>
      <c r="F2" s="4" t="s">
        <v>1099</v>
      </c>
      <c r="G2" s="30"/>
      <c r="H2" s="4"/>
      <c r="I2" s="4"/>
      <c r="J2" s="31" t="s">
        <v>1099</v>
      </c>
      <c r="K2" s="4"/>
      <c r="L2" s="4"/>
      <c r="M2" s="4"/>
      <c r="N2" s="4" t="s">
        <v>1099</v>
      </c>
    </row>
    <row r="3" spans="1:14">
      <c r="A3" s="1101" t="s">
        <v>1100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10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101"/>
      <c r="B5" s="5">
        <v>3</v>
      </c>
      <c r="C5" s="6">
        <v>0.05</v>
      </c>
      <c r="D5" s="6">
        <v>0.05</v>
      </c>
      <c r="E5" s="6">
        <v>0.1</v>
      </c>
      <c r="F5" s="7">
        <f>(C5+D5+E5)</f>
        <v>0.2</v>
      </c>
      <c r="G5" s="32">
        <v>0.1</v>
      </c>
      <c r="H5" s="6">
        <v>0.1</v>
      </c>
      <c r="I5" s="6">
        <v>0.1</v>
      </c>
      <c r="J5" s="33">
        <f>(G5+H5+I5)</f>
        <v>0.30000000000000004</v>
      </c>
      <c r="K5" s="24"/>
      <c r="L5" s="5"/>
      <c r="M5" s="5"/>
      <c r="N5" s="5"/>
    </row>
    <row r="6" spans="1:14">
      <c r="A6" s="1101"/>
      <c r="B6" s="5">
        <v>4</v>
      </c>
      <c r="C6" s="6">
        <v>0.1</v>
      </c>
      <c r="D6" s="6">
        <v>0.1</v>
      </c>
      <c r="E6" s="6">
        <v>0.2</v>
      </c>
      <c r="F6" s="7">
        <f>(C6+D6+E6)</f>
        <v>0.4</v>
      </c>
      <c r="G6" s="32">
        <v>0</v>
      </c>
      <c r="H6" s="6">
        <v>0</v>
      </c>
      <c r="I6" s="6">
        <v>0.1</v>
      </c>
      <c r="J6" s="33">
        <f>(G6+H6+I6)</f>
        <v>0.1</v>
      </c>
      <c r="K6" s="24"/>
      <c r="L6" s="5"/>
      <c r="M6" s="5"/>
      <c r="N6" s="5"/>
    </row>
    <row r="7" spans="1:14">
      <c r="A7" s="1101"/>
      <c r="B7" s="5">
        <v>5</v>
      </c>
      <c r="C7" s="6">
        <v>0</v>
      </c>
      <c r="D7" s="6">
        <v>0</v>
      </c>
      <c r="E7" s="6">
        <v>0</v>
      </c>
      <c r="F7" s="7">
        <f>(C7+D7+E7)</f>
        <v>0</v>
      </c>
      <c r="G7" s="32">
        <v>0</v>
      </c>
      <c r="H7" s="6">
        <v>0</v>
      </c>
      <c r="I7" s="6">
        <v>0</v>
      </c>
      <c r="J7" s="33">
        <f>(G7+H7+I7)</f>
        <v>0</v>
      </c>
      <c r="K7" s="24"/>
      <c r="L7" s="5"/>
      <c r="M7" s="5"/>
      <c r="N7" s="5"/>
    </row>
    <row r="8" spans="1:14">
      <c r="A8" s="1101" t="s">
        <v>1101</v>
      </c>
      <c r="B8" s="9">
        <v>6</v>
      </c>
      <c r="C8" s="10">
        <v>0.1</v>
      </c>
      <c r="D8" s="10">
        <v>0.1</v>
      </c>
      <c r="E8" s="10">
        <v>0.1</v>
      </c>
      <c r="F8" s="11">
        <f>C8+D8+E8</f>
        <v>0.30000000000000004</v>
      </c>
      <c r="G8" s="34"/>
      <c r="H8" s="9"/>
      <c r="I8" s="9"/>
      <c r="J8" s="35"/>
      <c r="K8" s="25"/>
      <c r="L8" s="9"/>
      <c r="M8" s="9"/>
      <c r="N8" s="9"/>
    </row>
    <row r="9" spans="1:14">
      <c r="A9" s="1101"/>
      <c r="B9" s="9">
        <v>7</v>
      </c>
      <c r="C9" s="9"/>
      <c r="D9" s="9"/>
      <c r="E9" s="9"/>
      <c r="F9" s="19"/>
      <c r="G9" s="36"/>
      <c r="H9" s="9"/>
      <c r="I9" s="9"/>
      <c r="J9" s="35"/>
      <c r="K9" s="25"/>
      <c r="L9" s="9"/>
      <c r="M9" s="9"/>
      <c r="N9" s="9"/>
    </row>
    <row r="10" spans="1:14">
      <c r="A10" s="1101"/>
      <c r="B10" s="9">
        <v>8</v>
      </c>
      <c r="C10" s="9"/>
      <c r="D10" s="9"/>
      <c r="E10" s="9"/>
      <c r="F10" s="19"/>
      <c r="G10" s="36"/>
      <c r="H10" s="9"/>
      <c r="I10" s="9"/>
      <c r="J10" s="35"/>
      <c r="K10" s="25"/>
      <c r="L10" s="9"/>
      <c r="M10" s="9"/>
      <c r="N10" s="9"/>
    </row>
    <row r="11" spans="1:14">
      <c r="A11" s="1101"/>
      <c r="B11" s="9">
        <v>9</v>
      </c>
      <c r="C11" s="9"/>
      <c r="D11" s="9"/>
      <c r="E11" s="9"/>
      <c r="F11" s="19"/>
      <c r="G11" s="36"/>
      <c r="H11" s="9"/>
      <c r="I11" s="9"/>
      <c r="J11" s="35"/>
      <c r="K11" s="25"/>
      <c r="L11" s="9"/>
      <c r="M11" s="9"/>
      <c r="N11" s="9"/>
    </row>
    <row r="12" spans="1:14">
      <c r="A12" s="1101" t="s">
        <v>1102</v>
      </c>
      <c r="B12" s="14">
        <v>10</v>
      </c>
      <c r="C12" s="14"/>
      <c r="D12" s="14"/>
      <c r="E12" s="14"/>
      <c r="F12" s="20"/>
      <c r="G12" s="37"/>
      <c r="H12" s="14"/>
      <c r="I12" s="14"/>
      <c r="J12" s="38"/>
      <c r="K12" s="26"/>
      <c r="L12" s="14"/>
      <c r="M12" s="14"/>
      <c r="N12" s="14"/>
    </row>
    <row r="13" spans="1:14">
      <c r="A13" s="1101"/>
      <c r="B13" s="14">
        <v>11</v>
      </c>
      <c r="C13" s="14"/>
      <c r="D13" s="14"/>
      <c r="E13" s="14"/>
      <c r="F13" s="20"/>
      <c r="G13" s="37"/>
      <c r="H13" s="14"/>
      <c r="I13" s="14"/>
      <c r="J13" s="38"/>
      <c r="K13" s="26"/>
      <c r="L13" s="14"/>
      <c r="M13" s="14"/>
      <c r="N13" s="14"/>
    </row>
    <row r="14" spans="1:14">
      <c r="A14" s="1101"/>
      <c r="B14" s="14">
        <v>12</v>
      </c>
      <c r="C14" s="14"/>
      <c r="D14" s="14"/>
      <c r="E14" s="14"/>
      <c r="F14" s="20"/>
      <c r="G14" s="37"/>
      <c r="H14" s="14"/>
      <c r="I14" s="14"/>
      <c r="J14" s="38"/>
      <c r="K14" s="26"/>
      <c r="L14" s="14"/>
      <c r="M14" s="14"/>
      <c r="N14" s="14"/>
    </row>
    <row r="15" spans="1:14">
      <c r="A15" s="1101"/>
      <c r="B15" s="14">
        <v>13</v>
      </c>
      <c r="C15" s="14"/>
      <c r="D15" s="14"/>
      <c r="E15" s="14"/>
      <c r="F15" s="20"/>
      <c r="G15" s="37"/>
      <c r="H15" s="14"/>
      <c r="I15" s="14"/>
      <c r="J15" s="38"/>
      <c r="K15" s="26"/>
      <c r="L15" s="14"/>
      <c r="M15" s="14"/>
      <c r="N15" s="14"/>
    </row>
    <row r="16" spans="1:14">
      <c r="A16" s="1101" t="s">
        <v>1103</v>
      </c>
      <c r="B16" s="15">
        <v>14</v>
      </c>
      <c r="C16" s="15"/>
      <c r="D16" s="15"/>
      <c r="E16" s="15"/>
      <c r="F16" s="21"/>
      <c r="G16" s="39"/>
      <c r="H16" s="15"/>
      <c r="I16" s="15"/>
      <c r="J16" s="40"/>
      <c r="K16" s="27"/>
      <c r="L16" s="15"/>
      <c r="M16" s="15"/>
      <c r="N16" s="15"/>
    </row>
    <row r="17" spans="1:14">
      <c r="A17" s="1101"/>
      <c r="B17" s="15">
        <v>15</v>
      </c>
      <c r="C17" s="15"/>
      <c r="D17" s="15"/>
      <c r="E17" s="15"/>
      <c r="F17" s="21"/>
      <c r="G17" s="39"/>
      <c r="H17" s="15"/>
      <c r="I17" s="15"/>
      <c r="J17" s="40"/>
      <c r="K17" s="27"/>
      <c r="L17" s="15"/>
      <c r="M17" s="15"/>
      <c r="N17" s="15"/>
    </row>
    <row r="18" spans="1:14">
      <c r="A18" s="1101"/>
      <c r="B18" s="15">
        <v>16</v>
      </c>
      <c r="C18" s="15"/>
      <c r="D18" s="15"/>
      <c r="E18" s="15"/>
      <c r="F18" s="21"/>
      <c r="G18" s="39"/>
      <c r="H18" s="15"/>
      <c r="I18" s="15"/>
      <c r="J18" s="40"/>
      <c r="K18" s="27"/>
      <c r="L18" s="15"/>
      <c r="M18" s="15"/>
      <c r="N18" s="15"/>
    </row>
    <row r="19" spans="1:14">
      <c r="A19" s="1101" t="s">
        <v>1104</v>
      </c>
      <c r="B19" s="18">
        <v>17</v>
      </c>
      <c r="C19" s="18"/>
      <c r="D19" s="18"/>
      <c r="E19" s="18"/>
      <c r="F19" s="22"/>
      <c r="G19" s="41"/>
      <c r="H19" s="18"/>
      <c r="I19" s="18"/>
      <c r="J19" s="42"/>
      <c r="K19" s="28"/>
      <c r="L19" s="18"/>
      <c r="M19" s="18"/>
      <c r="N19" s="18"/>
    </row>
    <row r="20" spans="1:14">
      <c r="A20" s="1101"/>
      <c r="B20" s="18">
        <v>18</v>
      </c>
      <c r="C20" s="18"/>
      <c r="D20" s="18"/>
      <c r="E20" s="18"/>
      <c r="F20" s="22"/>
      <c r="G20" s="41"/>
      <c r="H20" s="18"/>
      <c r="I20" s="18"/>
      <c r="J20" s="42"/>
      <c r="K20" s="28"/>
      <c r="L20" s="18"/>
      <c r="M20" s="18"/>
      <c r="N20" s="18"/>
    </row>
    <row r="21" spans="1:14">
      <c r="A21" s="1101"/>
      <c r="B21" s="18">
        <v>19</v>
      </c>
      <c r="C21" s="18"/>
      <c r="D21" s="18"/>
      <c r="E21" s="18"/>
      <c r="F21" s="22"/>
      <c r="G21" s="41"/>
      <c r="H21" s="18"/>
      <c r="I21" s="18"/>
      <c r="J21" s="42"/>
      <c r="K21" s="28"/>
      <c r="L21" s="18"/>
      <c r="M21" s="18"/>
      <c r="N21" s="18"/>
    </row>
    <row r="22" spans="1:14">
      <c r="A22" s="1101"/>
      <c r="B22" s="18">
        <v>20</v>
      </c>
      <c r="C22" s="18"/>
      <c r="D22" s="18"/>
      <c r="E22" s="18"/>
      <c r="F22" s="22"/>
      <c r="G22" s="41"/>
      <c r="H22" s="18"/>
      <c r="I22" s="18"/>
      <c r="J22" s="42"/>
      <c r="K22" s="28"/>
      <c r="L22" s="18"/>
      <c r="M22" s="18"/>
      <c r="N22" s="18"/>
    </row>
    <row r="23" spans="1:14">
      <c r="A23" s="1101" t="s">
        <v>1105</v>
      </c>
      <c r="B23" s="13">
        <v>21</v>
      </c>
      <c r="C23" s="13"/>
      <c r="D23" s="13"/>
      <c r="E23" s="13"/>
      <c r="F23" s="23"/>
      <c r="G23" s="43"/>
      <c r="H23" s="13"/>
      <c r="I23" s="13"/>
      <c r="J23" s="44"/>
      <c r="K23" s="29"/>
      <c r="L23" s="13"/>
      <c r="M23" s="13"/>
      <c r="N23" s="13"/>
    </row>
    <row r="24" spans="1:14">
      <c r="A24" s="1101"/>
      <c r="B24" s="13">
        <v>22</v>
      </c>
      <c r="C24" s="13"/>
      <c r="D24" s="13"/>
      <c r="E24" s="13"/>
      <c r="F24" s="23"/>
      <c r="G24" s="43"/>
      <c r="H24" s="13"/>
      <c r="I24" s="13"/>
      <c r="J24" s="44"/>
      <c r="K24" s="29"/>
      <c r="L24" s="13"/>
      <c r="M24" s="13"/>
      <c r="N24" s="13"/>
    </row>
    <row r="25" spans="1:14">
      <c r="A25" s="1101"/>
      <c r="B25" s="13">
        <v>23</v>
      </c>
      <c r="C25" s="13"/>
      <c r="D25" s="13"/>
      <c r="E25" s="13"/>
      <c r="F25" s="23"/>
      <c r="G25" s="43"/>
      <c r="H25" s="13"/>
      <c r="I25" s="13"/>
      <c r="J25" s="44"/>
      <c r="K25" s="29"/>
      <c r="L25" s="13"/>
      <c r="M25" s="13"/>
      <c r="N25" s="13"/>
    </row>
    <row r="26" spans="1:14">
      <c r="A26" s="1101"/>
      <c r="B26" s="13">
        <v>24</v>
      </c>
      <c r="C26" s="13"/>
      <c r="D26" s="13"/>
      <c r="E26" s="13"/>
      <c r="F26" s="23"/>
      <c r="G26" s="43"/>
      <c r="H26" s="13"/>
      <c r="I26" s="13"/>
      <c r="J26" s="44"/>
      <c r="K26" s="29"/>
      <c r="L26" s="13"/>
      <c r="M26" s="13"/>
      <c r="N26" s="13"/>
    </row>
    <row r="27" spans="1:14">
      <c r="A27" s="1101" t="s">
        <v>1106</v>
      </c>
      <c r="B27" s="9">
        <v>25</v>
      </c>
      <c r="C27" s="9"/>
      <c r="D27" s="9"/>
      <c r="E27" s="9"/>
      <c r="F27" s="9"/>
      <c r="G27" s="9"/>
      <c r="H27" s="9"/>
      <c r="I27" s="9"/>
      <c r="J27" s="9"/>
      <c r="K27" s="9"/>
      <c r="L27" s="9"/>
      <c r="M27" s="9"/>
      <c r="N27" s="9"/>
    </row>
    <row r="28" spans="1:14">
      <c r="A28" s="1101"/>
      <c r="B28" s="9">
        <v>26</v>
      </c>
      <c r="C28" s="9"/>
      <c r="D28" s="9"/>
      <c r="E28" s="9"/>
      <c r="F28" s="9"/>
      <c r="G28" s="9"/>
      <c r="H28" s="9"/>
      <c r="I28" s="9"/>
      <c r="J28" s="9"/>
      <c r="K28" s="9"/>
      <c r="L28" s="9"/>
      <c r="M28" s="9"/>
      <c r="N28" s="9"/>
    </row>
    <row r="29" spans="1:14">
      <c r="A29" s="1101"/>
      <c r="B29" s="9">
        <v>27</v>
      </c>
      <c r="C29" s="9"/>
      <c r="D29" s="9"/>
      <c r="E29" s="9"/>
      <c r="F29" s="9"/>
      <c r="G29" s="9"/>
      <c r="H29" s="9"/>
      <c r="I29" s="9"/>
      <c r="J29" s="9"/>
      <c r="K29" s="9"/>
      <c r="L29" s="9"/>
      <c r="M29" s="9"/>
      <c r="N29" s="9"/>
    </row>
    <row r="30" spans="1:14">
      <c r="A30" s="1101"/>
      <c r="B30" s="9">
        <v>28</v>
      </c>
      <c r="C30" s="9"/>
      <c r="D30" s="9"/>
      <c r="E30" s="9"/>
      <c r="F30" s="9"/>
      <c r="G30" s="9"/>
      <c r="H30" s="9"/>
      <c r="I30" s="9"/>
      <c r="J30" s="9"/>
      <c r="K30" s="9"/>
      <c r="L30" s="9"/>
      <c r="M30" s="9"/>
      <c r="N30" s="9"/>
    </row>
    <row r="31" spans="1:14">
      <c r="A31" s="1101"/>
      <c r="B31" s="9">
        <v>29</v>
      </c>
      <c r="C31" s="9"/>
      <c r="D31" s="9"/>
      <c r="E31" s="9"/>
      <c r="F31" s="9"/>
      <c r="G31" s="9"/>
      <c r="H31" s="9"/>
      <c r="I31" s="9"/>
      <c r="J31" s="9"/>
      <c r="K31" s="9"/>
      <c r="L31" s="9"/>
      <c r="M31" s="9"/>
      <c r="N31" s="9"/>
    </row>
    <row r="32" spans="1:14">
      <c r="A32" s="1101" t="s">
        <v>1107</v>
      </c>
      <c r="B32" s="16">
        <v>30</v>
      </c>
      <c r="C32" s="16"/>
      <c r="D32" s="16"/>
      <c r="E32" s="16"/>
      <c r="F32" s="16"/>
      <c r="G32" s="16"/>
      <c r="H32" s="16"/>
      <c r="I32" s="16"/>
      <c r="J32" s="16"/>
      <c r="K32" s="16"/>
      <c r="L32" s="16"/>
      <c r="M32" s="16"/>
      <c r="N32" s="16"/>
    </row>
    <row r="33" spans="1:14">
      <c r="A33" s="1101"/>
      <c r="B33" s="16">
        <v>31</v>
      </c>
      <c r="C33" s="16"/>
      <c r="D33" s="16"/>
      <c r="E33" s="16"/>
      <c r="F33" s="16"/>
      <c r="G33" s="16"/>
      <c r="H33" s="16"/>
      <c r="I33" s="16"/>
      <c r="J33" s="16"/>
      <c r="K33" s="16"/>
      <c r="L33" s="16"/>
      <c r="M33" s="16"/>
      <c r="N33" s="16"/>
    </row>
    <row r="34" spans="1:14">
      <c r="A34" s="1101"/>
      <c r="B34" s="16">
        <v>32</v>
      </c>
      <c r="C34" s="16"/>
      <c r="D34" s="16"/>
      <c r="E34" s="16"/>
      <c r="F34" s="16"/>
      <c r="G34" s="16"/>
      <c r="H34" s="16"/>
      <c r="I34" s="16"/>
      <c r="J34" s="16"/>
      <c r="K34" s="16"/>
      <c r="L34" s="16"/>
      <c r="M34" s="16"/>
      <c r="N34" s="16"/>
    </row>
    <row r="35" spans="1:14">
      <c r="A35" s="1101" t="s">
        <v>1108</v>
      </c>
      <c r="B35" s="17">
        <v>33</v>
      </c>
      <c r="C35" s="14"/>
      <c r="D35" s="14"/>
      <c r="E35" s="14"/>
      <c r="F35" s="14"/>
      <c r="G35" s="14"/>
      <c r="H35" s="14"/>
      <c r="I35" s="14"/>
      <c r="J35" s="14"/>
      <c r="K35" s="14"/>
      <c r="L35" s="14"/>
      <c r="M35" s="14"/>
      <c r="N35" s="14"/>
    </row>
    <row r="36" spans="1:14">
      <c r="A36" s="1101"/>
      <c r="B36" s="14">
        <v>34</v>
      </c>
      <c r="C36" s="14"/>
      <c r="D36" s="14"/>
      <c r="E36" s="14"/>
      <c r="F36" s="14"/>
      <c r="G36" s="14"/>
      <c r="H36" s="14"/>
      <c r="I36" s="14"/>
      <c r="J36" s="14"/>
      <c r="K36" s="14"/>
      <c r="L36" s="14"/>
      <c r="M36" s="14"/>
      <c r="N36" s="14"/>
    </row>
    <row r="37" spans="1:14">
      <c r="A37" s="1101"/>
      <c r="B37" s="45">
        <v>35</v>
      </c>
      <c r="C37" s="14"/>
      <c r="D37" s="14"/>
      <c r="E37" s="14"/>
      <c r="F37" s="14"/>
      <c r="G37" s="14"/>
      <c r="H37" s="14"/>
      <c r="I37" s="14"/>
      <c r="J37" s="14"/>
      <c r="K37" s="14"/>
      <c r="L37" s="14"/>
      <c r="M37" s="14"/>
      <c r="N37" s="14"/>
    </row>
    <row r="38" spans="1:14">
      <c r="A38" s="1101" t="s">
        <v>1109</v>
      </c>
      <c r="B38" s="8">
        <v>36</v>
      </c>
      <c r="C38" s="8"/>
      <c r="D38" s="8"/>
      <c r="E38" s="8"/>
      <c r="F38" s="8"/>
      <c r="G38" s="8"/>
      <c r="H38" s="8"/>
      <c r="I38" s="8"/>
      <c r="J38" s="8"/>
      <c r="K38" s="8"/>
      <c r="L38" s="8"/>
      <c r="M38" s="8"/>
      <c r="N38" s="8"/>
    </row>
    <row r="39" spans="1:14">
      <c r="A39" s="1101"/>
      <c r="B39" s="8">
        <v>37</v>
      </c>
      <c r="C39" s="8"/>
      <c r="D39" s="8"/>
      <c r="E39" s="8"/>
      <c r="F39" s="8"/>
      <c r="G39" s="8"/>
      <c r="H39" s="8"/>
      <c r="I39" s="8"/>
      <c r="J39" s="8"/>
      <c r="K39" s="8"/>
      <c r="L39" s="8"/>
      <c r="M39" s="8"/>
      <c r="N39" s="8"/>
    </row>
    <row r="40" spans="1:14">
      <c r="A40" s="1101"/>
      <c r="B40" s="8">
        <v>38</v>
      </c>
      <c r="C40" s="8"/>
      <c r="D40" s="8"/>
      <c r="E40" s="8"/>
      <c r="F40" s="8"/>
      <c r="G40" s="8"/>
      <c r="H40" s="8"/>
      <c r="I40" s="8"/>
      <c r="J40" s="8"/>
      <c r="K40" s="8"/>
      <c r="L40" s="8"/>
      <c r="M40" s="8"/>
      <c r="N40" s="8"/>
    </row>
    <row r="41" spans="1:14">
      <c r="A41" s="1107" t="s">
        <v>1110</v>
      </c>
      <c r="B41" s="46">
        <v>39</v>
      </c>
      <c r="C41" s="47"/>
      <c r="D41" s="47"/>
      <c r="E41" s="47"/>
      <c r="F41" s="47"/>
      <c r="G41" s="47"/>
      <c r="H41" s="47"/>
      <c r="I41" s="47"/>
      <c r="J41" s="47"/>
      <c r="K41" s="47"/>
      <c r="L41" s="47"/>
      <c r="M41" s="47"/>
      <c r="N41" s="47"/>
    </row>
    <row r="42" spans="1:14">
      <c r="A42" s="1107"/>
      <c r="B42" s="47">
        <v>40</v>
      </c>
      <c r="C42" s="47"/>
      <c r="D42" s="47"/>
      <c r="E42" s="47"/>
      <c r="F42" s="47"/>
      <c r="G42" s="47"/>
      <c r="H42" s="47"/>
      <c r="I42" s="47"/>
      <c r="J42" s="47"/>
      <c r="K42" s="47"/>
      <c r="L42" s="47"/>
      <c r="M42" s="47"/>
      <c r="N42" s="47"/>
    </row>
    <row r="43" spans="1:14">
      <c r="A43" s="1107"/>
      <c r="B43" s="47">
        <v>41</v>
      </c>
      <c r="C43" s="47"/>
      <c r="D43" s="47"/>
      <c r="E43" s="47"/>
      <c r="F43" s="47"/>
      <c r="G43" s="47"/>
      <c r="H43" s="47"/>
      <c r="I43" s="47"/>
      <c r="J43" s="47"/>
      <c r="K43" s="47"/>
      <c r="L43" s="47"/>
      <c r="M43" s="47"/>
      <c r="N43" s="47"/>
    </row>
    <row r="44" spans="1:14">
      <c r="A44" s="1107"/>
      <c r="B44" s="48">
        <v>42</v>
      </c>
      <c r="C44" s="47"/>
      <c r="D44" s="47"/>
      <c r="E44" s="47"/>
      <c r="F44" s="47"/>
      <c r="G44" s="47"/>
      <c r="H44" s="47"/>
      <c r="I44" s="47"/>
      <c r="J44" s="47"/>
      <c r="K44" s="47"/>
      <c r="L44" s="47"/>
      <c r="M44" s="47"/>
      <c r="N44" s="47"/>
    </row>
    <row r="45" spans="1:14">
      <c r="A45" s="1100" t="s">
        <v>1111</v>
      </c>
      <c r="B45" s="12">
        <v>43</v>
      </c>
      <c r="C45" s="12"/>
      <c r="D45" s="12"/>
      <c r="E45" s="12"/>
      <c r="F45" s="12"/>
      <c r="G45" s="12"/>
      <c r="H45" s="12"/>
      <c r="I45" s="12"/>
      <c r="J45" s="12"/>
      <c r="K45" s="12"/>
      <c r="L45" s="12"/>
      <c r="M45" s="12"/>
      <c r="N45" s="12"/>
    </row>
    <row r="46" spans="1:14">
      <c r="A46" s="110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Meta 1</vt:lpstr>
      <vt:lpstr>Meta 2</vt:lpstr>
      <vt:lpstr>Meta 3</vt:lpstr>
      <vt:lpstr>Meta 4</vt:lpstr>
      <vt:lpstr>Meta 1..n</vt:lpstr>
      <vt:lpstr>Indicadores PA</vt:lpstr>
      <vt:lpstr>Territorialización PA</vt:lpstr>
      <vt:lpstr>Prog.Pptal</vt:lpstr>
      <vt:lpstr>Vigencia</vt:lpstr>
      <vt:lpstr>Reserva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'Indicadores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Daniel Avendaño</cp:lastModifiedBy>
  <cp:revision/>
  <cp:lastPrinted>2022-05-04T20:25:01Z</cp:lastPrinted>
  <dcterms:created xsi:type="dcterms:W3CDTF">2011-04-26T22:16:52Z</dcterms:created>
  <dcterms:modified xsi:type="dcterms:W3CDTF">2022-05-17T13:57:27Z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