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aavila\Documents\SCPI\2022 SCPI\2022 Instrumentos.Planeación\02. Febrero.2022\"/>
    </mc:Choice>
  </mc:AlternateContent>
  <xr:revisionPtr revIDLastSave="0" documentId="13_ncr:1_{AF7B8BDF-E3CD-4A70-A71D-290C01A39D5B}" xr6:coauthVersionLast="47" xr6:coauthVersionMax="47" xr10:uidLastSave="{00000000-0000-0000-0000-000000000000}"/>
  <bookViews>
    <workbookView xWindow="-120" yWindow="-120" windowWidth="20730" windowHeight="11160" tabRatio="853" activeTab="3" xr2:uid="{00000000-000D-0000-FFFF-FFFF00000000}"/>
  </bookViews>
  <sheets>
    <sheet name="Meta 1" sheetId="43" r:id="rId1"/>
    <sheet name="Meta 2" sheetId="41" r:id="rId2"/>
    <sheet name="Meta 3" sheetId="42" r:id="rId3"/>
    <sheet name="Meta 4" sheetId="40" r:id="rId4"/>
    <sheet name="Meta 1..n" sheetId="1" state="hidden" r:id="rId5"/>
    <sheet name="Indicadores PA" sheetId="36" r:id="rId6"/>
    <sheet name="Territorialización PA" sheetId="49" r:id="rId7"/>
    <sheet name="Prog.Pptal" sheetId="46" r:id="rId8"/>
    <sheet name="Vigencia" sheetId="47" r:id="rId9"/>
    <sheet name="Reserva" sheetId="48" r:id="rId10"/>
    <sheet name="Avance PDD" sheetId="50" r:id="rId11"/>
    <sheet name="Instructivo" sheetId="39" r:id="rId12"/>
    <sheet name="Generalidades" sheetId="38" r:id="rId13"/>
    <sheet name="Hoja13" sheetId="32" state="hidden" r:id="rId14"/>
    <sheet name="Hoja1" sheetId="20" state="hidden" r:id="rId15"/>
  </sheets>
  <externalReferences>
    <externalReference r:id="rId16"/>
    <externalReference r:id="rId17"/>
    <externalReference r:id="rId18"/>
  </externalReferences>
  <definedNames>
    <definedName name="_xlnm._FilterDatabase" localSheetId="5" hidden="1">'Indicadores PA'!$A$12:$AX$12</definedName>
    <definedName name="_xlnm._FilterDatabase" localSheetId="8"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Titles" localSheetId="5">'Indicadores PA'!$1:$12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41" i="40" l="1"/>
  <c r="AG41" i="40"/>
  <c r="AG35" i="40"/>
  <c r="AG61" i="42"/>
  <c r="AG57" i="42"/>
  <c r="AG53" i="42"/>
  <c r="AG48" i="42"/>
  <c r="AG35" i="42"/>
  <c r="AF45" i="42"/>
  <c r="AG45" i="42"/>
  <c r="AH35" i="41"/>
  <c r="AG35" i="41"/>
  <c r="AF35" i="41"/>
  <c r="AH35" i="43"/>
  <c r="AG35" i="43"/>
  <c r="AF35" i="43"/>
  <c r="AS68" i="49" l="1"/>
  <c r="BF43" i="48" l="1"/>
  <c r="BB35" i="48"/>
  <c r="AZ35" i="48"/>
  <c r="BE35" i="48" s="1"/>
  <c r="BE41" i="48" s="1"/>
  <c r="D24" i="42"/>
  <c r="D24" i="43"/>
  <c r="BE43" i="48" l="1"/>
  <c r="BE42" i="48"/>
  <c r="BF42" i="48"/>
  <c r="BB34" i="48" l="1"/>
  <c r="AZ33" i="48"/>
  <c r="AV44" i="48"/>
  <c r="AV43" i="48"/>
  <c r="AV42" i="48"/>
  <c r="AV41" i="48"/>
  <c r="AV40" i="48"/>
  <c r="AV39" i="48"/>
  <c r="AW38" i="48"/>
  <c r="AX37" i="48"/>
  <c r="AX36" i="48"/>
  <c r="AX35" i="48"/>
  <c r="AV35" i="48"/>
  <c r="AX34" i="48"/>
  <c r="AV33" i="48"/>
  <c r="AZ43" i="48"/>
  <c r="BE4" i="48"/>
  <c r="B34" i="48"/>
  <c r="B35" i="48"/>
  <c r="B36" i="48"/>
  <c r="B37" i="48"/>
  <c r="B38" i="48"/>
  <c r="B39" i="48"/>
  <c r="B40" i="48"/>
  <c r="B41" i="48"/>
  <c r="B42" i="48"/>
  <c r="B43" i="48"/>
  <c r="B44" i="48"/>
  <c r="B33" i="48"/>
  <c r="AU26" i="36" l="1"/>
  <c r="AU25" i="36"/>
  <c r="AU24" i="36"/>
  <c r="AU23" i="36"/>
  <c r="AU22" i="36"/>
  <c r="AU21" i="36"/>
  <c r="AU20" i="36"/>
  <c r="AU19" i="36"/>
  <c r="AU18" i="36"/>
  <c r="AU17" i="36"/>
  <c r="AT26" i="36"/>
  <c r="AT25" i="36"/>
  <c r="AT24" i="36"/>
  <c r="AT23" i="36"/>
  <c r="AT22" i="36"/>
  <c r="AT21" i="36"/>
  <c r="AT20" i="36"/>
  <c r="AT19" i="36"/>
  <c r="AT18" i="36"/>
  <c r="AT17" i="36"/>
  <c r="AT16" i="36"/>
  <c r="AU16" i="36"/>
  <c r="AT15" i="36"/>
  <c r="AU15" i="36" s="1"/>
  <c r="AI13" i="36"/>
  <c r="AH13" i="36"/>
  <c r="AF48" i="42"/>
  <c r="AF35" i="42"/>
  <c r="P39" i="41"/>
  <c r="P38" i="41"/>
  <c r="P35" i="41"/>
  <c r="P34" i="41"/>
  <c r="B34" i="41"/>
  <c r="A34" i="41"/>
  <c r="P49" i="43"/>
  <c r="P48" i="43"/>
  <c r="P47" i="43"/>
  <c r="P46" i="43"/>
  <c r="P45" i="43"/>
  <c r="P44" i="43"/>
  <c r="P43" i="43"/>
  <c r="P42" i="43"/>
  <c r="P41" i="43"/>
  <c r="P40" i="43"/>
  <c r="P39" i="43"/>
  <c r="P38" i="43"/>
  <c r="P35" i="43"/>
  <c r="P34" i="43"/>
  <c r="B34" i="43"/>
  <c r="A34" i="43"/>
  <c r="P30" i="43"/>
  <c r="A30" i="43"/>
  <c r="F24" i="43"/>
  <c r="AT13" i="36" l="1"/>
  <c r="AU13" i="36" s="1"/>
  <c r="BL4" i="48"/>
  <c r="BL15" i="48" s="1"/>
  <c r="BM15" i="48"/>
  <c r="BK15" i="48"/>
  <c r="BI15" i="48"/>
  <c r="BC12" i="48"/>
  <c r="AB24" i="41"/>
  <c r="AA24" i="41"/>
  <c r="Y24" i="41"/>
  <c r="P3" i="50"/>
  <c r="Q3" i="50"/>
  <c r="R3" i="50"/>
  <c r="S3" i="50"/>
  <c r="T3" i="50"/>
  <c r="U3" i="50"/>
  <c r="V3" i="50"/>
  <c r="W3" i="50"/>
  <c r="X3" i="50"/>
  <c r="Y3" i="50"/>
  <c r="Z3" i="50"/>
  <c r="O3" i="50"/>
  <c r="P2" i="50"/>
  <c r="Q2" i="50"/>
  <c r="R2" i="50"/>
  <c r="S2" i="50"/>
  <c r="T2" i="50"/>
  <c r="U2" i="50"/>
  <c r="V2" i="50"/>
  <c r="W2" i="50"/>
  <c r="X2" i="50"/>
  <c r="Y2" i="50"/>
  <c r="Z2" i="50"/>
  <c r="O2" i="50"/>
  <c r="AA2" i="50" s="1"/>
  <c r="G6" i="50"/>
  <c r="F5" i="50"/>
  <c r="E5" i="50"/>
  <c r="D5" i="50"/>
  <c r="C5" i="50"/>
  <c r="B5" i="50"/>
  <c r="L4" i="50"/>
  <c r="K4" i="50"/>
  <c r="J4" i="50"/>
  <c r="I4" i="50"/>
  <c r="G4" i="50"/>
  <c r="L3" i="50"/>
  <c r="K3" i="50"/>
  <c r="K5" i="50" s="1"/>
  <c r="J3" i="50"/>
  <c r="J5" i="50" s="1"/>
  <c r="I3" i="50"/>
  <c r="M3" i="50" s="1"/>
  <c r="G3" i="50"/>
  <c r="L2" i="50"/>
  <c r="K2" i="50"/>
  <c r="J2" i="50"/>
  <c r="I2" i="50"/>
  <c r="G2" i="50"/>
  <c r="G5" i="50" l="1"/>
  <c r="AA3" i="50"/>
  <c r="M4" i="50"/>
  <c r="M5" i="50" s="1"/>
  <c r="M2" i="50"/>
  <c r="L5" i="50"/>
  <c r="I5" i="50"/>
  <c r="CA61" i="49" l="1"/>
  <c r="BZ61" i="49"/>
  <c r="BY61" i="49"/>
  <c r="BX61" i="49"/>
  <c r="BW61" i="49"/>
  <c r="BV61" i="49"/>
  <c r="BU61" i="49"/>
  <c r="BT61" i="49"/>
  <c r="BS61" i="49"/>
  <c r="BR61" i="49"/>
  <c r="BQ61" i="49"/>
  <c r="BP61" i="49"/>
  <c r="BM61" i="49"/>
  <c r="BL61" i="49"/>
  <c r="BK61" i="49"/>
  <c r="BJ61" i="49"/>
  <c r="BI61" i="49"/>
  <c r="BH61" i="49"/>
  <c r="BG61" i="49"/>
  <c r="BF61" i="49"/>
  <c r="BE61" i="49"/>
  <c r="BD61" i="49"/>
  <c r="BC61" i="49"/>
  <c r="BB61" i="49"/>
  <c r="BA61" i="49"/>
  <c r="AZ61" i="49"/>
  <c r="AY61" i="49"/>
  <c r="AX61" i="49"/>
  <c r="AW61" i="49"/>
  <c r="AV61" i="49"/>
  <c r="AU61" i="49"/>
  <c r="AS61" i="49"/>
  <c r="AQ61" i="49"/>
  <c r="AM61" i="49"/>
  <c r="AL61" i="49"/>
  <c r="AK61" i="49"/>
  <c r="AJ61" i="49"/>
  <c r="AI61" i="49"/>
  <c r="AH61" i="49"/>
  <c r="AG61" i="49"/>
  <c r="AF61" i="49"/>
  <c r="AE61" i="49"/>
  <c r="AD61" i="49"/>
  <c r="AC61" i="49"/>
  <c r="AB61" i="49"/>
  <c r="Y61" i="49"/>
  <c r="X61" i="49"/>
  <c r="W61" i="49"/>
  <c r="V61" i="49"/>
  <c r="U61" i="49"/>
  <c r="T61" i="49"/>
  <c r="S61" i="49"/>
  <c r="R61" i="49"/>
  <c r="Q61" i="49"/>
  <c r="P61" i="49"/>
  <c r="O61" i="49"/>
  <c r="N61" i="49"/>
  <c r="M61" i="49"/>
  <c r="L61" i="49"/>
  <c r="K61" i="49"/>
  <c r="J61" i="49"/>
  <c r="I61" i="49"/>
  <c r="H61" i="49"/>
  <c r="G61" i="49"/>
  <c r="F61" i="49"/>
  <c r="E61" i="49"/>
  <c r="D61" i="49"/>
  <c r="C61" i="49"/>
  <c r="B61" i="49"/>
  <c r="BO60" i="49"/>
  <c r="BN60" i="49"/>
  <c r="AA60" i="49"/>
  <c r="Z60" i="49"/>
  <c r="BO59" i="49"/>
  <c r="BN59" i="49"/>
  <c r="AA59" i="49"/>
  <c r="Z59" i="49"/>
  <c r="BO58" i="49"/>
  <c r="BN58" i="49"/>
  <c r="AA58" i="49"/>
  <c r="Z58" i="49"/>
  <c r="BO57" i="49"/>
  <c r="BN57" i="49"/>
  <c r="AA57" i="49"/>
  <c r="Z57" i="49"/>
  <c r="BO56" i="49"/>
  <c r="BN56" i="49"/>
  <c r="AA56" i="49"/>
  <c r="Z56" i="49"/>
  <c r="BO55" i="49"/>
  <c r="BN55" i="49"/>
  <c r="AA55" i="49"/>
  <c r="Z55" i="49"/>
  <c r="BO54" i="49"/>
  <c r="BN54" i="49"/>
  <c r="AA54" i="49"/>
  <c r="Z54" i="49"/>
  <c r="BO53" i="49"/>
  <c r="BN53" i="49"/>
  <c r="AA53" i="49"/>
  <c r="Z53" i="49"/>
  <c r="BO52" i="49"/>
  <c r="BN52" i="49"/>
  <c r="AA52" i="49"/>
  <c r="Z52" i="49"/>
  <c r="BO51" i="49"/>
  <c r="BN51" i="49"/>
  <c r="AA51" i="49"/>
  <c r="Z51" i="49"/>
  <c r="BO50" i="49"/>
  <c r="BN50" i="49"/>
  <c r="AA50" i="49"/>
  <c r="Z50" i="49"/>
  <c r="BO49" i="49"/>
  <c r="BN49" i="49"/>
  <c r="AA49" i="49"/>
  <c r="Z49" i="49"/>
  <c r="BO48" i="49"/>
  <c r="BN48" i="49"/>
  <c r="AA48" i="49"/>
  <c r="Z48" i="49"/>
  <c r="BO47" i="49"/>
  <c r="BN47" i="49"/>
  <c r="AA47" i="49"/>
  <c r="Z47" i="49"/>
  <c r="BO46" i="49"/>
  <c r="BN46" i="49"/>
  <c r="AA46" i="49"/>
  <c r="Z46" i="49"/>
  <c r="BO45" i="49"/>
  <c r="BN45" i="49"/>
  <c r="AA45" i="49"/>
  <c r="Z45" i="49"/>
  <c r="BO44" i="49"/>
  <c r="BN44" i="49"/>
  <c r="AA44" i="49"/>
  <c r="Z44" i="49"/>
  <c r="BO43" i="49"/>
  <c r="BN43" i="49"/>
  <c r="AA43" i="49"/>
  <c r="Z43" i="49"/>
  <c r="BO42" i="49"/>
  <c r="BN42" i="49"/>
  <c r="AA42" i="49"/>
  <c r="Z42" i="49"/>
  <c r="BO41" i="49"/>
  <c r="BN41" i="49"/>
  <c r="AA41" i="49"/>
  <c r="Z41" i="49"/>
  <c r="BO40" i="49"/>
  <c r="BO61" i="49" s="1"/>
  <c r="AA40" i="49"/>
  <c r="AA61" i="49" s="1"/>
  <c r="Z40" i="49"/>
  <c r="Z61" i="49" s="1"/>
  <c r="CA32" i="49"/>
  <c r="BZ32" i="49"/>
  <c r="BY32" i="49"/>
  <c r="BX32" i="49"/>
  <c r="BW32" i="49"/>
  <c r="BV32" i="49"/>
  <c r="BU32" i="49"/>
  <c r="BT32" i="49"/>
  <c r="BS32" i="49"/>
  <c r="BR32" i="49"/>
  <c r="BQ32" i="49"/>
  <c r="BP32" i="49"/>
  <c r="BM32" i="49"/>
  <c r="BL32" i="49"/>
  <c r="BK32" i="49"/>
  <c r="BJ32" i="49"/>
  <c r="BI32" i="49"/>
  <c r="BH32" i="49"/>
  <c r="BG32" i="49"/>
  <c r="BF32" i="49"/>
  <c r="BE32" i="49"/>
  <c r="BD32" i="49"/>
  <c r="BC32" i="49"/>
  <c r="BB32" i="49"/>
  <c r="BA32" i="49"/>
  <c r="AZ32" i="49"/>
  <c r="AY32" i="49"/>
  <c r="AX32" i="49"/>
  <c r="AW32" i="49"/>
  <c r="AV32" i="49"/>
  <c r="AU32" i="49"/>
  <c r="AT32" i="49"/>
  <c r="AR32" i="49"/>
  <c r="AQ32" i="49"/>
  <c r="AP32" i="49"/>
  <c r="AM32" i="49"/>
  <c r="AL32" i="49"/>
  <c r="AK32" i="49"/>
  <c r="AJ32" i="49"/>
  <c r="AI32" i="49"/>
  <c r="AH32" i="49"/>
  <c r="AG32" i="49"/>
  <c r="AF32" i="49"/>
  <c r="AE32" i="49"/>
  <c r="AD32" i="49"/>
  <c r="AC32" i="49"/>
  <c r="AB32" i="49"/>
  <c r="X32" i="49"/>
  <c r="V32" i="49"/>
  <c r="T32" i="49"/>
  <c r="R32" i="49"/>
  <c r="P32" i="49"/>
  <c r="N32" i="49"/>
  <c r="L32" i="49"/>
  <c r="J32" i="49"/>
  <c r="H32" i="49"/>
  <c r="F32" i="49"/>
  <c r="D32" i="49"/>
  <c r="C32" i="49"/>
  <c r="B32" i="49"/>
  <c r="BO31" i="49"/>
  <c r="BN31" i="49"/>
  <c r="Z31" i="49"/>
  <c r="Y31" i="49"/>
  <c r="W31" i="49"/>
  <c r="U31" i="49"/>
  <c r="S31" i="49"/>
  <c r="Q31" i="49"/>
  <c r="O31" i="49"/>
  <c r="M31" i="49"/>
  <c r="K31" i="49"/>
  <c r="I31" i="49"/>
  <c r="G31" i="49"/>
  <c r="E31" i="49"/>
  <c r="BO30" i="49"/>
  <c r="BN30" i="49"/>
  <c r="Z30" i="49"/>
  <c r="Y30" i="49"/>
  <c r="W30" i="49"/>
  <c r="U30" i="49"/>
  <c r="S30" i="49"/>
  <c r="Q30" i="49"/>
  <c r="O30" i="49"/>
  <c r="M30" i="49"/>
  <c r="K30" i="49"/>
  <c r="I30" i="49"/>
  <c r="G30" i="49"/>
  <c r="E30" i="49"/>
  <c r="BO29" i="49"/>
  <c r="BN29" i="49"/>
  <c r="Z29" i="49"/>
  <c r="Y29" i="49"/>
  <c r="W29" i="49"/>
  <c r="U29" i="49"/>
  <c r="S29" i="49"/>
  <c r="Q29" i="49"/>
  <c r="O29" i="49"/>
  <c r="M29" i="49"/>
  <c r="K29" i="49"/>
  <c r="I29" i="49"/>
  <c r="G29" i="49"/>
  <c r="E29" i="49"/>
  <c r="BO28" i="49"/>
  <c r="BN28" i="49"/>
  <c r="Z28" i="49"/>
  <c r="Y28" i="49"/>
  <c r="W28" i="49"/>
  <c r="U28" i="49"/>
  <c r="S28" i="49"/>
  <c r="Q28" i="49"/>
  <c r="O28" i="49"/>
  <c r="M28" i="49"/>
  <c r="K28" i="49"/>
  <c r="I28" i="49"/>
  <c r="G28" i="49"/>
  <c r="E28" i="49"/>
  <c r="BO27" i="49"/>
  <c r="BN27" i="49"/>
  <c r="Z27" i="49"/>
  <c r="Y27" i="49"/>
  <c r="W27" i="49"/>
  <c r="U27" i="49"/>
  <c r="S27" i="49"/>
  <c r="Q27" i="49"/>
  <c r="O27" i="49"/>
  <c r="M27" i="49"/>
  <c r="K27" i="49"/>
  <c r="I27" i="49"/>
  <c r="G27" i="49"/>
  <c r="E27" i="49"/>
  <c r="BO26" i="49"/>
  <c r="BN26" i="49"/>
  <c r="Z26" i="49"/>
  <c r="Y26" i="49"/>
  <c r="W26" i="49"/>
  <c r="U26" i="49"/>
  <c r="S26" i="49"/>
  <c r="Q26" i="49"/>
  <c r="O26" i="49"/>
  <c r="M26" i="49"/>
  <c r="K26" i="49"/>
  <c r="I26" i="49"/>
  <c r="G26" i="49"/>
  <c r="E26" i="49"/>
  <c r="BO25" i="49"/>
  <c r="BN25" i="49"/>
  <c r="Z25" i="49"/>
  <c r="Y25" i="49"/>
  <c r="W25" i="49"/>
  <c r="U25" i="49"/>
  <c r="S25" i="49"/>
  <c r="Q25" i="49"/>
  <c r="O25" i="49"/>
  <c r="M25" i="49"/>
  <c r="K25" i="49"/>
  <c r="I25" i="49"/>
  <c r="G25" i="49"/>
  <c r="E25" i="49"/>
  <c r="BO24" i="49"/>
  <c r="BN24" i="49"/>
  <c r="Z24" i="49"/>
  <c r="Y24" i="49"/>
  <c r="W24" i="49"/>
  <c r="U24" i="49"/>
  <c r="S24" i="49"/>
  <c r="Q24" i="49"/>
  <c r="O24" i="49"/>
  <c r="M24" i="49"/>
  <c r="K24" i="49"/>
  <c r="I24" i="49"/>
  <c r="G24" i="49"/>
  <c r="E24" i="49"/>
  <c r="BO23" i="49"/>
  <c r="BN23" i="49"/>
  <c r="Z23" i="49"/>
  <c r="Y23" i="49"/>
  <c r="W23" i="49"/>
  <c r="U23" i="49"/>
  <c r="S23" i="49"/>
  <c r="Q23" i="49"/>
  <c r="O23" i="49"/>
  <c r="M23" i="49"/>
  <c r="K23" i="49"/>
  <c r="I23" i="49"/>
  <c r="G23" i="49"/>
  <c r="E23" i="49"/>
  <c r="BO22" i="49"/>
  <c r="BN22" i="49"/>
  <c r="Z22" i="49"/>
  <c r="Y22" i="49"/>
  <c r="W22" i="49"/>
  <c r="U22" i="49"/>
  <c r="S22" i="49"/>
  <c r="Q22" i="49"/>
  <c r="O22" i="49"/>
  <c r="M22" i="49"/>
  <c r="K22" i="49"/>
  <c r="I22" i="49"/>
  <c r="G22" i="49"/>
  <c r="E22" i="49"/>
  <c r="BO21" i="49"/>
  <c r="BN21" i="49"/>
  <c r="Z21" i="49"/>
  <c r="Y21" i="49"/>
  <c r="W21" i="49"/>
  <c r="U21" i="49"/>
  <c r="S21" i="49"/>
  <c r="Q21" i="49"/>
  <c r="O21" i="49"/>
  <c r="M21" i="49"/>
  <c r="K21" i="49"/>
  <c r="I21" i="49"/>
  <c r="G21" i="49"/>
  <c r="E21" i="49"/>
  <c r="BO20" i="49"/>
  <c r="BN20" i="49"/>
  <c r="Z20" i="49"/>
  <c r="Y20" i="49"/>
  <c r="W20" i="49"/>
  <c r="U20" i="49"/>
  <c r="S20" i="49"/>
  <c r="Q20" i="49"/>
  <c r="O20" i="49"/>
  <c r="M20" i="49"/>
  <c r="K20" i="49"/>
  <c r="I20" i="49"/>
  <c r="G20" i="49"/>
  <c r="E20" i="49"/>
  <c r="BO19" i="49"/>
  <c r="BN19" i="49"/>
  <c r="Z19" i="49"/>
  <c r="Y19" i="49"/>
  <c r="W19" i="49"/>
  <c r="U19" i="49"/>
  <c r="S19" i="49"/>
  <c r="Q19" i="49"/>
  <c r="O19" i="49"/>
  <c r="M19" i="49"/>
  <c r="K19" i="49"/>
  <c r="I19" i="49"/>
  <c r="G19" i="49"/>
  <c r="E19" i="49"/>
  <c r="BO18" i="49"/>
  <c r="BN18" i="49"/>
  <c r="Z18" i="49"/>
  <c r="Y18" i="49"/>
  <c r="W18" i="49"/>
  <c r="U18" i="49"/>
  <c r="S18" i="49"/>
  <c r="Q18" i="49"/>
  <c r="O18" i="49"/>
  <c r="M18" i="49"/>
  <c r="K18" i="49"/>
  <c r="I18" i="49"/>
  <c r="G18" i="49"/>
  <c r="E18" i="49"/>
  <c r="BO17" i="49"/>
  <c r="BN17" i="49"/>
  <c r="Z17" i="49"/>
  <c r="Y17" i="49"/>
  <c r="W17" i="49"/>
  <c r="U17" i="49"/>
  <c r="S17" i="49"/>
  <c r="Q17" i="49"/>
  <c r="O17" i="49"/>
  <c r="M17" i="49"/>
  <c r="K17" i="49"/>
  <c r="I17" i="49"/>
  <c r="G17" i="49"/>
  <c r="E17" i="49"/>
  <c r="BO16" i="49"/>
  <c r="BN16" i="49"/>
  <c r="Z16" i="49"/>
  <c r="Y16" i="49"/>
  <c r="W16" i="49"/>
  <c r="U16" i="49"/>
  <c r="S16" i="49"/>
  <c r="Q16" i="49"/>
  <c r="O16" i="49"/>
  <c r="M16" i="49"/>
  <c r="K16" i="49"/>
  <c r="I16" i="49"/>
  <c r="G16" i="49"/>
  <c r="E16" i="49"/>
  <c r="BO15" i="49"/>
  <c r="BN15" i="49"/>
  <c r="Z15" i="49"/>
  <c r="Y15" i="49"/>
  <c r="W15" i="49"/>
  <c r="U15" i="49"/>
  <c r="S15" i="49"/>
  <c r="Q15" i="49"/>
  <c r="O15" i="49"/>
  <c r="M15" i="49"/>
  <c r="K15" i="49"/>
  <c r="I15" i="49"/>
  <c r="G15" i="49"/>
  <c r="E15" i="49"/>
  <c r="BO14" i="49"/>
  <c r="BN14" i="49"/>
  <c r="Z14" i="49"/>
  <c r="Y14" i="49"/>
  <c r="W14" i="49"/>
  <c r="U14" i="49"/>
  <c r="S14" i="49"/>
  <c r="Q14" i="49"/>
  <c r="O14" i="49"/>
  <c r="M14" i="49"/>
  <c r="K14" i="49"/>
  <c r="I14" i="49"/>
  <c r="G14" i="49"/>
  <c r="E14" i="49"/>
  <c r="BO13" i="49"/>
  <c r="BN13" i="49"/>
  <c r="Z13" i="49"/>
  <c r="Y13" i="49"/>
  <c r="W13" i="49"/>
  <c r="U13" i="49"/>
  <c r="S13" i="49"/>
  <c r="Q13" i="49"/>
  <c r="O13" i="49"/>
  <c r="M13" i="49"/>
  <c r="K13" i="49"/>
  <c r="I13" i="49"/>
  <c r="G13" i="49"/>
  <c r="E13" i="49"/>
  <c r="BO12" i="49"/>
  <c r="BN12" i="49"/>
  <c r="Z12" i="49"/>
  <c r="Y12" i="49"/>
  <c r="W12" i="49"/>
  <c r="U12" i="49"/>
  <c r="S12" i="49"/>
  <c r="Q12" i="49"/>
  <c r="O12" i="49"/>
  <c r="O32" i="49" s="1"/>
  <c r="M12" i="49"/>
  <c r="K12" i="49"/>
  <c r="I12" i="49"/>
  <c r="G12" i="49"/>
  <c r="G32" i="49" s="1"/>
  <c r="E12" i="49"/>
  <c r="BO11" i="49"/>
  <c r="BN11" i="49"/>
  <c r="AA11" i="49"/>
  <c r="Z11" i="49"/>
  <c r="BO32" i="49" l="1"/>
  <c r="K32" i="49"/>
  <c r="S32" i="49"/>
  <c r="Z32" i="49"/>
  <c r="E32" i="49"/>
  <c r="M32" i="49"/>
  <c r="U32" i="49"/>
  <c r="AA14" i="49"/>
  <c r="AA16" i="49"/>
  <c r="AA18" i="49"/>
  <c r="AA20" i="49"/>
  <c r="AA22" i="49"/>
  <c r="AA24" i="49"/>
  <c r="AA26" i="49"/>
  <c r="AA28" i="49"/>
  <c r="W32" i="49"/>
  <c r="I32" i="49"/>
  <c r="Q32" i="49"/>
  <c r="AA13" i="49"/>
  <c r="AA21" i="49"/>
  <c r="AA27" i="49"/>
  <c r="AA31" i="49"/>
  <c r="Y32" i="49"/>
  <c r="AA15" i="49"/>
  <c r="AA17" i="49"/>
  <c r="AA19" i="49"/>
  <c r="AA23" i="49"/>
  <c r="AA25" i="49"/>
  <c r="AA29" i="49"/>
  <c r="AA30" i="49"/>
  <c r="BN32" i="49"/>
  <c r="AA12" i="49"/>
  <c r="AA32" i="49" l="1"/>
  <c r="B34" i="42"/>
  <c r="BJ4" i="48" l="1"/>
  <c r="BJ15" i="48" s="1"/>
  <c r="BC4" i="48"/>
  <c r="BC15" i="48" s="1"/>
  <c r="BC19" i="48" s="1"/>
  <c r="BG11" i="48" l="1"/>
  <c r="BE15" i="48"/>
  <c r="BE19" i="48" s="1"/>
  <c r="BD15" i="48"/>
  <c r="BD19" i="48" s="1"/>
  <c r="BF17" i="48" l="1"/>
  <c r="BF15" i="48" l="1"/>
  <c r="AB24" i="40"/>
  <c r="AB24" i="42"/>
  <c r="AK83" i="47"/>
  <c r="AL83" i="47"/>
  <c r="AM83" i="47"/>
  <c r="AN83" i="47"/>
  <c r="AO83" i="47"/>
  <c r="AP83" i="47"/>
  <c r="AQ83" i="47"/>
  <c r="AR83" i="47"/>
  <c r="AS83" i="47"/>
  <c r="O23" i="41"/>
  <c r="O22" i="41"/>
  <c r="W22" i="43"/>
  <c r="U22" i="43"/>
  <c r="T22" i="42"/>
  <c r="T22" i="43"/>
  <c r="AA75" i="47"/>
  <c r="U22" i="42"/>
  <c r="AA67" i="47"/>
  <c r="V22" i="42"/>
  <c r="V22" i="43"/>
  <c r="AA65" i="47"/>
  <c r="AA61" i="47"/>
  <c r="AA59" i="47"/>
  <c r="AA57" i="47"/>
  <c r="AB24" i="43"/>
  <c r="O25" i="43"/>
  <c r="O23" i="43"/>
  <c r="O22" i="43"/>
  <c r="F7" i="46"/>
  <c r="AC22" i="43" l="1"/>
  <c r="B59" i="40"/>
  <c r="A59" i="40"/>
  <c r="B57" i="40"/>
  <c r="A57" i="40"/>
  <c r="B55" i="40"/>
  <c r="A55" i="40"/>
  <c r="B53" i="40"/>
  <c r="A53" i="40"/>
  <c r="B62" i="42"/>
  <c r="A62" i="42"/>
  <c r="A60" i="42"/>
  <c r="A58" i="42"/>
  <c r="B54" i="42"/>
  <c r="A54" i="42"/>
  <c r="B60" i="42"/>
  <c r="B58" i="42"/>
  <c r="B56" i="42"/>
  <c r="P45" i="40"/>
  <c r="N44" i="40"/>
  <c r="M44" i="40"/>
  <c r="L44" i="40"/>
  <c r="K44" i="40"/>
  <c r="J44" i="40"/>
  <c r="I44" i="40"/>
  <c r="H44" i="40"/>
  <c r="G44" i="40"/>
  <c r="F44" i="40"/>
  <c r="P43" i="40"/>
  <c r="L42" i="40"/>
  <c r="K42" i="40"/>
  <c r="J42" i="40"/>
  <c r="I42" i="40"/>
  <c r="H42" i="40"/>
  <c r="G42" i="40"/>
  <c r="F42" i="40"/>
  <c r="P41" i="40"/>
  <c r="G40" i="40"/>
  <c r="F40" i="40"/>
  <c r="P39" i="40"/>
  <c r="G38" i="40"/>
  <c r="F38" i="40"/>
  <c r="P38" i="40" l="1"/>
  <c r="P40" i="40"/>
  <c r="P44" i="40"/>
  <c r="I59" i="40" s="1"/>
  <c r="P42" i="40"/>
  <c r="K57" i="40" s="1"/>
  <c r="D54" i="40" l="1"/>
  <c r="D53" i="40"/>
  <c r="L57" i="40"/>
  <c r="F57" i="40"/>
  <c r="G57" i="40"/>
  <c r="K59" i="40"/>
  <c r="J56" i="40"/>
  <c r="M55" i="40"/>
  <c r="I56" i="40"/>
  <c r="L55" i="40"/>
  <c r="K56" i="40"/>
  <c r="H56" i="40"/>
  <c r="K55" i="40"/>
  <c r="N56" i="40"/>
  <c r="I55" i="40"/>
  <c r="M56" i="40"/>
  <c r="H55" i="40"/>
  <c r="O55" i="40"/>
  <c r="N55" i="40"/>
  <c r="O56" i="40"/>
  <c r="G56" i="40"/>
  <c r="J55" i="40"/>
  <c r="F56" i="40"/>
  <c r="E56" i="40"/>
  <c r="L56" i="40"/>
  <c r="F55" i="40"/>
  <c r="N60" i="40"/>
  <c r="F60" i="40"/>
  <c r="M60" i="40"/>
  <c r="E60" i="40"/>
  <c r="J59" i="40"/>
  <c r="L60" i="40"/>
  <c r="O59" i="40"/>
  <c r="O60" i="40"/>
  <c r="K60" i="40"/>
  <c r="J60" i="40"/>
  <c r="I60" i="40"/>
  <c r="H60" i="40"/>
  <c r="G60" i="40"/>
  <c r="H59" i="40"/>
  <c r="H54" i="40"/>
  <c r="K53" i="40"/>
  <c r="K64" i="40" s="1"/>
  <c r="O54" i="40"/>
  <c r="G54" i="40"/>
  <c r="J53" i="40"/>
  <c r="L54" i="40"/>
  <c r="K54" i="40"/>
  <c r="K61" i="40" s="1"/>
  <c r="N54" i="40"/>
  <c r="N61" i="40" s="1"/>
  <c r="F54" i="40"/>
  <c r="I53" i="40"/>
  <c r="O53" i="40"/>
  <c r="O64" i="40" s="1"/>
  <c r="F53" i="40"/>
  <c r="F64" i="40" s="1"/>
  <c r="J54" i="40"/>
  <c r="E53" i="40"/>
  <c r="I54" i="40"/>
  <c r="M54" i="40"/>
  <c r="E54" i="40"/>
  <c r="H53" i="40"/>
  <c r="G53" i="40"/>
  <c r="N53" i="40"/>
  <c r="N64" i="40" s="1"/>
  <c r="M53" i="40"/>
  <c r="L53" i="40"/>
  <c r="G59" i="40"/>
  <c r="E59" i="40"/>
  <c r="N59" i="40"/>
  <c r="L59" i="40"/>
  <c r="M59" i="40"/>
  <c r="E55" i="40"/>
  <c r="L58" i="40"/>
  <c r="O57" i="40"/>
  <c r="N58" i="40"/>
  <c r="M58" i="40"/>
  <c r="K58" i="40"/>
  <c r="N57" i="40"/>
  <c r="J58" i="40"/>
  <c r="M57" i="40"/>
  <c r="E57" i="40"/>
  <c r="H58" i="40"/>
  <c r="O58" i="40"/>
  <c r="G58" i="40"/>
  <c r="I57" i="40"/>
  <c r="E58" i="40"/>
  <c r="I58" i="40"/>
  <c r="J57" i="40"/>
  <c r="F58" i="40"/>
  <c r="H57" i="40"/>
  <c r="F59" i="40"/>
  <c r="G55" i="40"/>
  <c r="D58" i="40"/>
  <c r="D57" i="40"/>
  <c r="D60" i="40"/>
  <c r="D59" i="40"/>
  <c r="D56" i="40"/>
  <c r="D55" i="40"/>
  <c r="M61" i="40" l="1"/>
  <c r="G64" i="40"/>
  <c r="L64" i="40"/>
  <c r="E64" i="40"/>
  <c r="L61" i="40"/>
  <c r="H61" i="40"/>
  <c r="D64" i="40"/>
  <c r="O61" i="40"/>
  <c r="H64" i="40"/>
  <c r="I64" i="40"/>
  <c r="M64" i="40"/>
  <c r="E61" i="40"/>
  <c r="J61" i="40"/>
  <c r="J64" i="40"/>
  <c r="I61" i="40"/>
  <c r="D61" i="40"/>
  <c r="G61" i="40"/>
  <c r="F61" i="40"/>
  <c r="P55" i="40"/>
  <c r="P59" i="40"/>
  <c r="P53" i="40"/>
  <c r="P57" i="40"/>
  <c r="P60" i="40"/>
  <c r="P58" i="40"/>
  <c r="P56" i="40"/>
  <c r="P54" i="40"/>
  <c r="P61" i="40" l="1"/>
  <c r="P64" i="40"/>
  <c r="AA81" i="47"/>
  <c r="AT68" i="47"/>
  <c r="AT67" i="47"/>
  <c r="AS81" i="47" l="1"/>
  <c r="AQ81" i="47"/>
  <c r="AO81" i="47"/>
  <c r="AN81" i="47"/>
  <c r="AM81" i="47"/>
  <c r="AL81" i="47"/>
  <c r="AK81" i="47"/>
  <c r="AJ81" i="47"/>
  <c r="AI81" i="47"/>
  <c r="AU77" i="47"/>
  <c r="AX77" i="47" s="1"/>
  <c r="BB77" i="47" s="1"/>
  <c r="AT55" i="47" l="1"/>
  <c r="AT81" i="47" s="1"/>
  <c r="AR55" i="47"/>
  <c r="AP55" i="47"/>
  <c r="B34" i="40"/>
  <c r="O65" i="40" l="1"/>
  <c r="O34" i="40" s="1"/>
  <c r="K65" i="40"/>
  <c r="K34" i="40" s="1"/>
  <c r="N62" i="40"/>
  <c r="N35" i="40" s="1"/>
  <c r="N65" i="40"/>
  <c r="N34" i="40" s="1"/>
  <c r="K62" i="40"/>
  <c r="K35" i="40" s="1"/>
  <c r="F65" i="40"/>
  <c r="F34" i="40" s="1"/>
  <c r="J65" i="40"/>
  <c r="J34" i="40" s="1"/>
  <c r="L62" i="40"/>
  <c r="L35" i="40" s="1"/>
  <c r="O62" i="40"/>
  <c r="O35" i="40" s="1"/>
  <c r="F62" i="40"/>
  <c r="F35" i="40" s="1"/>
  <c r="M65" i="40"/>
  <c r="M34" i="40" s="1"/>
  <c r="J62" i="40"/>
  <c r="J35" i="40" s="1"/>
  <c r="D62" i="40"/>
  <c r="G62" i="40"/>
  <c r="G35" i="40" s="1"/>
  <c r="L65" i="40"/>
  <c r="L34" i="40" s="1"/>
  <c r="H65" i="40"/>
  <c r="H34" i="40" s="1"/>
  <c r="E62" i="40"/>
  <c r="E35" i="40" s="1"/>
  <c r="E65" i="40"/>
  <c r="E34" i="40" s="1"/>
  <c r="I62" i="40"/>
  <c r="I35" i="40" s="1"/>
  <c r="M62" i="40"/>
  <c r="M35" i="40" s="1"/>
  <c r="G65" i="40"/>
  <c r="G34" i="40" s="1"/>
  <c r="D65" i="40"/>
  <c r="I65" i="40"/>
  <c r="I34" i="40" s="1"/>
  <c r="H62" i="40"/>
  <c r="H35" i="40" s="1"/>
  <c r="AP81" i="47"/>
  <c r="AR81" i="47"/>
  <c r="D34" i="40" l="1"/>
  <c r="P34" i="40" s="1"/>
  <c r="P65" i="40"/>
  <c r="D35" i="40"/>
  <c r="P62" i="40"/>
  <c r="P43" i="42"/>
  <c r="P42" i="42"/>
  <c r="A34" i="42"/>
  <c r="K7" i="46"/>
  <c r="J3" i="46"/>
  <c r="M59" i="42" l="1"/>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N75" i="47"/>
  <c r="AS68" i="47"/>
  <c r="AS67" i="47"/>
  <c r="AR68" i="47"/>
  <c r="AR67" i="47"/>
  <c r="AQ68" i="47"/>
  <c r="AQ67" i="47"/>
  <c r="AP68" i="47"/>
  <c r="AP67" i="47"/>
  <c r="AO68" i="47"/>
  <c r="AO67" i="47"/>
  <c r="AN68" i="47"/>
  <c r="AN67" i="47"/>
  <c r="AM68" i="47"/>
  <c r="AM67" i="47"/>
  <c r="AB68" i="47"/>
  <c r="AB67" i="47"/>
  <c r="AT62" i="47"/>
  <c r="AS62" i="47"/>
  <c r="AR62" i="47"/>
  <c r="AQ62" i="47"/>
  <c r="AP62" i="47"/>
  <c r="AO62" i="47"/>
  <c r="AN62" i="47"/>
  <c r="AM62" i="47"/>
  <c r="AL62" i="47"/>
  <c r="AK62" i="47"/>
  <c r="AK82" i="47" s="1"/>
  <c r="AJ62" i="47"/>
  <c r="AI62" i="47"/>
  <c r="AT61" i="47"/>
  <c r="AS61" i="47"/>
  <c r="AR61" i="47"/>
  <c r="AQ61" i="47"/>
  <c r="AP61" i="47"/>
  <c r="AO61" i="47"/>
  <c r="AN61" i="47"/>
  <c r="AM61" i="47"/>
  <c r="AL61" i="47"/>
  <c r="AK61" i="47"/>
  <c r="AJ61" i="47"/>
  <c r="AI61" i="47"/>
  <c r="AB62" i="47"/>
  <c r="AB61" i="47"/>
  <c r="AT60" i="47"/>
  <c r="AT59" i="47"/>
  <c r="AN58" i="47"/>
  <c r="AN57" i="47"/>
  <c r="AT58" i="47"/>
  <c r="AT57" i="47"/>
  <c r="AS58" i="47"/>
  <c r="AS57" i="47"/>
  <c r="AR58" i="47"/>
  <c r="AR57" i="47"/>
  <c r="AQ58" i="47"/>
  <c r="AQ57" i="47"/>
  <c r="AP58" i="47"/>
  <c r="AP57" i="47"/>
  <c r="AO58" i="47"/>
  <c r="AO57" i="47"/>
  <c r="AB60" i="47"/>
  <c r="AB59" i="47"/>
  <c r="AA60" i="47"/>
  <c r="AB58" i="47"/>
  <c r="AA58" i="47"/>
  <c r="AB57" i="47"/>
  <c r="AT66" i="47"/>
  <c r="AT65" i="47"/>
  <c r="AS66" i="47"/>
  <c r="AS65" i="47"/>
  <c r="AR66" i="47"/>
  <c r="AR65" i="47"/>
  <c r="AQ66" i="47"/>
  <c r="AQ65" i="47"/>
  <c r="AP66" i="47"/>
  <c r="AP65" i="47"/>
  <c r="AO66" i="47"/>
  <c r="AO65" i="47"/>
  <c r="AN66" i="47"/>
  <c r="AN65" i="47"/>
  <c r="AM66" i="47"/>
  <c r="AM65" i="47"/>
  <c r="AL66" i="47"/>
  <c r="AL65" i="47"/>
  <c r="AK66" i="47"/>
  <c r="AK65" i="47"/>
  <c r="AJ66" i="47"/>
  <c r="AJ65" i="47"/>
  <c r="AI66" i="47"/>
  <c r="AI65" i="47"/>
  <c r="AB66" i="47"/>
  <c r="AB65" i="47"/>
  <c r="AA76" i="47"/>
  <c r="AA68" i="47"/>
  <c r="AA66" i="47"/>
  <c r="AA62" i="47"/>
  <c r="AT76" i="47"/>
  <c r="AJ76" i="47"/>
  <c r="AI76" i="47"/>
  <c r="AU60" i="47"/>
  <c r="AZ60" i="47" s="1"/>
  <c r="AU68" i="47" l="1"/>
  <c r="AZ68" i="47" s="1"/>
  <c r="AO82" i="47"/>
  <c r="AQ82" i="47"/>
  <c r="AS82" i="47"/>
  <c r="AN82" i="47"/>
  <c r="AL80" i="47"/>
  <c r="AL78" i="47"/>
  <c r="AL82" i="47"/>
  <c r="AM78" i="47"/>
  <c r="AM80" i="47"/>
  <c r="AM82" i="47"/>
  <c r="AU57" i="47"/>
  <c r="AN78" i="47"/>
  <c r="AN80" i="47"/>
  <c r="AK80" i="47"/>
  <c r="AK78" i="47"/>
  <c r="AA78" i="47"/>
  <c r="AP82" i="47"/>
  <c r="AR82" i="47"/>
  <c r="AU62" i="47"/>
  <c r="AZ62" i="47" s="1"/>
  <c r="AU55" i="47"/>
  <c r="AU81" i="47"/>
  <c r="AW81" i="47" s="1"/>
  <c r="AU76" i="47"/>
  <c r="AX76" i="47" s="1"/>
  <c r="AU58" i="47"/>
  <c r="AZ58" i="47" s="1"/>
  <c r="AU66" i="47"/>
  <c r="AZ66" i="47" s="1"/>
  <c r="AV60" i="47"/>
  <c r="AX60" i="47"/>
  <c r="BB60" i="47" s="1"/>
  <c r="AT69" i="47"/>
  <c r="AS69" i="47"/>
  <c r="AS78" i="47" s="1"/>
  <c r="AR69" i="47"/>
  <c r="AR78" i="47" s="1"/>
  <c r="AQ69" i="47"/>
  <c r="AQ80" i="47" s="1"/>
  <c r="AP69" i="47"/>
  <c r="AP80" i="47" s="1"/>
  <c r="AO69" i="47"/>
  <c r="AO78" i="47" s="1"/>
  <c r="AU61" i="47"/>
  <c r="AZ61" i="47" s="1"/>
  <c r="O24" i="43" l="1"/>
  <c r="BG3" i="48" s="1"/>
  <c r="O24" i="42"/>
  <c r="AX68" i="47"/>
  <c r="BB68" i="47" s="1"/>
  <c r="AV68" i="47"/>
  <c r="AV62" i="47"/>
  <c r="AS80" i="47"/>
  <c r="AR80" i="47"/>
  <c r="AO80" i="47"/>
  <c r="AP78" i="47"/>
  <c r="AQ78" i="47"/>
  <c r="AX62" i="47"/>
  <c r="BB62" i="47" s="1"/>
  <c r="AX58" i="47"/>
  <c r="BB58" i="47" s="1"/>
  <c r="AV66" i="47"/>
  <c r="AV76" i="47"/>
  <c r="AZ76" i="47"/>
  <c r="BB76" i="47" s="1"/>
  <c r="AV58" i="47"/>
  <c r="AX66" i="47"/>
  <c r="BB66" i="47" s="1"/>
  <c r="AX61" i="47"/>
  <c r="BB61" i="47" s="1"/>
  <c r="AU53" i="47" l="1"/>
  <c r="AT6" i="47"/>
  <c r="AV61" i="47"/>
  <c r="AT3" i="47"/>
  <c r="AT4" i="47"/>
  <c r="AT5" i="47"/>
  <c r="AT8" i="47"/>
  <c r="AT9" i="47"/>
  <c r="AT10" i="47"/>
  <c r="AT11" i="47"/>
  <c r="AT12" i="47"/>
  <c r="AT13" i="47"/>
  <c r="AT14" i="47"/>
  <c r="AT15" i="47"/>
  <c r="AT16" i="47"/>
  <c r="AT17" i="47"/>
  <c r="AT18" i="47"/>
  <c r="AT19" i="47"/>
  <c r="AT20" i="47"/>
  <c r="AT21" i="47"/>
  <c r="AT22" i="47"/>
  <c r="AT23" i="47"/>
  <c r="AT24" i="47"/>
  <c r="AT25" i="47"/>
  <c r="AT26" i="47"/>
  <c r="AT27" i="47"/>
  <c r="AT28" i="47"/>
  <c r="AT29" i="47"/>
  <c r="AT30" i="47"/>
  <c r="AT31" i="47"/>
  <c r="AT32" i="47"/>
  <c r="AT33" i="47"/>
  <c r="AT34" i="47"/>
  <c r="AT35" i="47"/>
  <c r="AT36" i="47"/>
  <c r="AT37" i="47"/>
  <c r="AT38" i="47"/>
  <c r="AT39" i="47"/>
  <c r="AT40" i="47"/>
  <c r="AT41" i="47"/>
  <c r="AT42" i="47"/>
  <c r="AT43" i="47"/>
  <c r="AT44" i="47"/>
  <c r="AT45" i="47"/>
  <c r="AT46" i="47"/>
  <c r="AT47" i="47"/>
  <c r="AT48" i="47"/>
  <c r="AT49" i="47"/>
  <c r="AT50" i="47"/>
  <c r="AT51" i="47"/>
  <c r="AT52" i="47"/>
  <c r="AU54" i="47"/>
  <c r="AU59" i="47"/>
  <c r="AU71" i="47"/>
  <c r="AT73" i="47"/>
  <c r="AT74" i="47"/>
  <c r="AT75" i="47"/>
  <c r="AT2" i="47"/>
  <c r="AU56" i="47"/>
  <c r="AU63" i="47"/>
  <c r="AU64" i="47"/>
  <c r="AU67" i="47"/>
  <c r="AU69" i="47"/>
  <c r="AU70" i="47"/>
  <c r="AJ3" i="47"/>
  <c r="AJ4" i="47"/>
  <c r="AJ5" i="47"/>
  <c r="AJ6" i="47"/>
  <c r="AJ7" i="47"/>
  <c r="AU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74" i="47"/>
  <c r="AJ75" i="47"/>
  <c r="AJ2" i="47"/>
  <c r="AI3" i="47"/>
  <c r="AI4" i="47"/>
  <c r="AI5" i="47"/>
  <c r="AI8" i="47"/>
  <c r="AI9" i="47"/>
  <c r="AI10" i="47"/>
  <c r="AI11" i="47"/>
  <c r="AI12" i="47"/>
  <c r="AI13" i="47"/>
  <c r="AI14" i="47"/>
  <c r="AI15" i="47"/>
  <c r="AI16" i="47"/>
  <c r="AI17" i="47"/>
  <c r="AI18" i="47"/>
  <c r="AI19" i="47"/>
  <c r="AI20" i="47"/>
  <c r="AI21" i="47"/>
  <c r="AI22" i="47"/>
  <c r="AI23" i="47"/>
  <c r="AI24" i="47"/>
  <c r="AI25" i="47"/>
  <c r="AI26" i="47"/>
  <c r="AI27" i="47"/>
  <c r="AI28" i="47"/>
  <c r="AI29" i="47"/>
  <c r="AI30" i="47"/>
  <c r="AI31" i="47"/>
  <c r="AI32" i="47"/>
  <c r="AI33" i="47"/>
  <c r="AI34" i="47"/>
  <c r="AI35" i="47"/>
  <c r="AI36" i="47"/>
  <c r="AI37" i="47"/>
  <c r="AI38" i="47"/>
  <c r="AI39" i="47"/>
  <c r="AI40" i="47"/>
  <c r="AI41" i="47"/>
  <c r="AI42" i="47"/>
  <c r="AI43" i="47"/>
  <c r="AI44" i="47"/>
  <c r="AI45" i="47"/>
  <c r="AI46" i="47"/>
  <c r="AI47" i="47"/>
  <c r="AI48" i="47"/>
  <c r="AI49" i="47"/>
  <c r="AI50" i="47"/>
  <c r="AI51" i="47"/>
  <c r="AI52" i="47"/>
  <c r="AU72" i="47"/>
  <c r="AI73" i="47"/>
  <c r="AI83" i="47" s="1"/>
  <c r="AI74" i="47"/>
  <c r="AI75" i="47"/>
  <c r="AI2" i="47"/>
  <c r="A56" i="42"/>
  <c r="J6" i="46"/>
  <c r="J5" i="46"/>
  <c r="J4" i="46"/>
  <c r="AC24" i="41"/>
  <c r="A30" i="40"/>
  <c r="A30" i="42"/>
  <c r="A30" i="41"/>
  <c r="B51" i="43"/>
  <c r="AC25" i="43"/>
  <c r="AD25" i="43" s="1"/>
  <c r="P25" i="43"/>
  <c r="AC24" i="43"/>
  <c r="AC23" i="43"/>
  <c r="AD23" i="43" s="1"/>
  <c r="P23" i="43"/>
  <c r="P45" i="42"/>
  <c r="P44" i="42"/>
  <c r="P47" i="42"/>
  <c r="P46" i="42"/>
  <c r="P41" i="42"/>
  <c r="P40" i="42"/>
  <c r="P39" i="42"/>
  <c r="P38" i="42"/>
  <c r="P30" i="42"/>
  <c r="AC25" i="42"/>
  <c r="AD25" i="42" s="1"/>
  <c r="O25" i="42"/>
  <c r="P25" i="42" s="1"/>
  <c r="AC24" i="42"/>
  <c r="AC23" i="42"/>
  <c r="AD23" i="42" s="1"/>
  <c r="O23" i="42"/>
  <c r="P23" i="42" s="1"/>
  <c r="AC22" i="42"/>
  <c r="O22" i="42"/>
  <c r="P30" i="41"/>
  <c r="AC25" i="41"/>
  <c r="AD25" i="41" s="1"/>
  <c r="O25" i="41"/>
  <c r="P25" i="41" s="1"/>
  <c r="O24" i="41"/>
  <c r="AC23" i="41"/>
  <c r="AD23" i="41" s="1"/>
  <c r="P23" i="41"/>
  <c r="AC22" i="41"/>
  <c r="O23" i="40"/>
  <c r="P23" i="40" s="1"/>
  <c r="AD25" i="40"/>
  <c r="AC24" i="40"/>
  <c r="AD23" i="40"/>
  <c r="AC22" i="40"/>
  <c r="O25" i="40"/>
  <c r="P25" i="40" s="1"/>
  <c r="O24" i="40"/>
  <c r="O22" i="40"/>
  <c r="P35" i="40"/>
  <c r="P30" i="40"/>
  <c r="P28" i="1"/>
  <c r="P24" i="1"/>
  <c r="P29" i="1"/>
  <c r="P32" i="1"/>
  <c r="P34" i="1"/>
  <c r="P35" i="1"/>
  <c r="P36" i="1"/>
  <c r="P37" i="1"/>
  <c r="P38" i="1"/>
  <c r="P39" i="1"/>
  <c r="N4" i="20"/>
  <c r="N3" i="20"/>
  <c r="F8" i="20"/>
  <c r="F7" i="20"/>
  <c r="J7" i="20"/>
  <c r="J6" i="20"/>
  <c r="J5" i="20"/>
  <c r="J4" i="20"/>
  <c r="J3" i="20"/>
  <c r="F6" i="20"/>
  <c r="F5" i="20"/>
  <c r="F4" i="20"/>
  <c r="F3" i="20"/>
  <c r="P33" i="1"/>
  <c r="O61" i="42" l="1"/>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K55" i="42"/>
  <c r="D54" i="42"/>
  <c r="J55" i="42"/>
  <c r="N55" i="42"/>
  <c r="F55" i="42"/>
  <c r="I54" i="42"/>
  <c r="E55" i="42"/>
  <c r="H54" i="42"/>
  <c r="L55" i="42"/>
  <c r="G54" i="42"/>
  <c r="F54" i="42"/>
  <c r="M54" i="42"/>
  <c r="E54" i="42"/>
  <c r="E67" i="42" s="1"/>
  <c r="E68" i="42" s="1"/>
  <c r="E34" i="42" s="1"/>
  <c r="K57" i="42"/>
  <c r="N56" i="42"/>
  <c r="F56" i="42"/>
  <c r="J57" i="42"/>
  <c r="M56" i="42"/>
  <c r="E56" i="42"/>
  <c r="O57" i="42"/>
  <c r="I56" i="42"/>
  <c r="M57" i="42"/>
  <c r="G56" i="42"/>
  <c r="I57" i="42"/>
  <c r="L56" i="42"/>
  <c r="F57" i="42"/>
  <c r="E57" i="42"/>
  <c r="D57" i="42"/>
  <c r="L57" i="42"/>
  <c r="D56" i="42"/>
  <c r="H57" i="42"/>
  <c r="K56" i="42"/>
  <c r="G57" i="42"/>
  <c r="J56" i="42"/>
  <c r="N57" i="42"/>
  <c r="H56" i="42"/>
  <c r="O56" i="42"/>
  <c r="I63" i="42"/>
  <c r="L62" i="42"/>
  <c r="D63" i="42"/>
  <c r="M62" i="42"/>
  <c r="H63" i="42"/>
  <c r="K62" i="42"/>
  <c r="D62" i="42"/>
  <c r="M63" i="42"/>
  <c r="E63" i="42"/>
  <c r="H62" i="42"/>
  <c r="O62" i="42"/>
  <c r="K63" i="42"/>
  <c r="F62" i="42"/>
  <c r="O63" i="42"/>
  <c r="G63" i="42"/>
  <c r="J62" i="42"/>
  <c r="G62" i="42"/>
  <c r="E62" i="42"/>
  <c r="N63" i="42"/>
  <c r="F63" i="42"/>
  <c r="I62" i="42"/>
  <c r="L63" i="42"/>
  <c r="N62" i="42"/>
  <c r="J63" i="42"/>
  <c r="AJ83" i="47"/>
  <c r="AT83" i="47"/>
  <c r="AI78" i="47"/>
  <c r="AJ78" i="47"/>
  <c r="AT78" i="47"/>
  <c r="J7" i="46"/>
  <c r="AI82" i="47"/>
  <c r="AJ82" i="47"/>
  <c r="AT82" i="47"/>
  <c r="AI80" i="47"/>
  <c r="AJ80" i="47"/>
  <c r="AT80" i="47"/>
  <c r="AU51" i="47"/>
  <c r="AZ51" i="47" s="1"/>
  <c r="BB51" i="47" s="1"/>
  <c r="AU47" i="47"/>
  <c r="AZ47" i="47" s="1"/>
  <c r="BB47" i="47" s="1"/>
  <c r="AU43" i="47"/>
  <c r="AZ43" i="47" s="1"/>
  <c r="BB43" i="47" s="1"/>
  <c r="AU39" i="47"/>
  <c r="AV39" i="47" s="1"/>
  <c r="AU35" i="47"/>
  <c r="AZ35" i="47" s="1"/>
  <c r="BB35" i="47" s="1"/>
  <c r="AU31" i="47"/>
  <c r="AX31" i="47" s="1"/>
  <c r="BB31" i="47" s="1"/>
  <c r="AU27" i="47"/>
  <c r="AX27" i="47" s="1"/>
  <c r="BB27" i="47" s="1"/>
  <c r="AU23" i="47"/>
  <c r="AV23" i="47" s="1"/>
  <c r="AU19" i="47"/>
  <c r="AX19" i="47" s="1"/>
  <c r="BB19" i="47" s="1"/>
  <c r="AU15" i="47"/>
  <c r="AX15" i="47" s="1"/>
  <c r="BB15" i="47" s="1"/>
  <c r="AU11" i="47"/>
  <c r="AX11" i="47" s="1"/>
  <c r="BB11" i="47" s="1"/>
  <c r="AU4" i="47"/>
  <c r="AX4" i="47" s="1"/>
  <c r="BB4" i="47" s="1"/>
  <c r="AU49" i="47"/>
  <c r="AZ49" i="47" s="1"/>
  <c r="BB49" i="47" s="1"/>
  <c r="AU45" i="47"/>
  <c r="AZ45" i="47" s="1"/>
  <c r="BB45" i="47" s="1"/>
  <c r="AU41" i="47"/>
  <c r="AZ41" i="47" s="1"/>
  <c r="BB41" i="47" s="1"/>
  <c r="AU37" i="47"/>
  <c r="AZ37" i="47" s="1"/>
  <c r="BB37" i="47" s="1"/>
  <c r="AU33" i="47"/>
  <c r="AZ33" i="47" s="1"/>
  <c r="BB33" i="47" s="1"/>
  <c r="AU29" i="47"/>
  <c r="AX29" i="47" s="1"/>
  <c r="BB29" i="47" s="1"/>
  <c r="AU25" i="47"/>
  <c r="AX25" i="47" s="1"/>
  <c r="BB25" i="47" s="1"/>
  <c r="AU21" i="47"/>
  <c r="AX21" i="47" s="1"/>
  <c r="BB21" i="47" s="1"/>
  <c r="AU17" i="47"/>
  <c r="AX17" i="47" s="1"/>
  <c r="BB17" i="47" s="1"/>
  <c r="AU13" i="47"/>
  <c r="AX13" i="47" s="1"/>
  <c r="BB13" i="47" s="1"/>
  <c r="AU9" i="47"/>
  <c r="AX9" i="47" s="1"/>
  <c r="BB9" i="47" s="1"/>
  <c r="AU3" i="47"/>
  <c r="AX3" i="47" s="1"/>
  <c r="BB3" i="47" s="1"/>
  <c r="AU52" i="47"/>
  <c r="AZ52" i="47" s="1"/>
  <c r="BB52" i="47" s="1"/>
  <c r="AU48" i="47"/>
  <c r="AZ48" i="47" s="1"/>
  <c r="BB48" i="47" s="1"/>
  <c r="AU44" i="47"/>
  <c r="AV44" i="47" s="1"/>
  <c r="AU40" i="47"/>
  <c r="AV40" i="47" s="1"/>
  <c r="AU36" i="47"/>
  <c r="AZ36" i="47" s="1"/>
  <c r="BB36" i="47" s="1"/>
  <c r="AU32" i="47"/>
  <c r="AZ32" i="47" s="1"/>
  <c r="BB32" i="47" s="1"/>
  <c r="AU28" i="47"/>
  <c r="AX28" i="47" s="1"/>
  <c r="BB28" i="47" s="1"/>
  <c r="AU24" i="47"/>
  <c r="AV24" i="47" s="1"/>
  <c r="AU20" i="47"/>
  <c r="AX20" i="47" s="1"/>
  <c r="BB20" i="47" s="1"/>
  <c r="AU16" i="47"/>
  <c r="AX16" i="47" s="1"/>
  <c r="BB16" i="47" s="1"/>
  <c r="AU12" i="47"/>
  <c r="AV12" i="47" s="1"/>
  <c r="AU8" i="47"/>
  <c r="AV8" i="47" s="1"/>
  <c r="AU73" i="47"/>
  <c r="AV73" i="47" s="1"/>
  <c r="AU74" i="47"/>
  <c r="BA74" i="47" s="1"/>
  <c r="BB74" i="47" s="1"/>
  <c r="AU5" i="47"/>
  <c r="AX5" i="47" s="1"/>
  <c r="BB5" i="47" s="1"/>
  <c r="AV7" i="47"/>
  <c r="AX7" i="47"/>
  <c r="BB7" i="47" s="1"/>
  <c r="AV70" i="47"/>
  <c r="AZ70" i="47"/>
  <c r="BB70" i="47" s="1"/>
  <c r="AV69" i="47"/>
  <c r="AX69" i="47"/>
  <c r="BB69" i="47" s="1"/>
  <c r="AV57" i="47"/>
  <c r="AZ57" i="47"/>
  <c r="AX57" i="47"/>
  <c r="AV71" i="47"/>
  <c r="AX71" i="47"/>
  <c r="BB71" i="47" s="1"/>
  <c r="AV63" i="47"/>
  <c r="AX63" i="47"/>
  <c r="BB63" i="47" s="1"/>
  <c r="AV53" i="47"/>
  <c r="AX53" i="47"/>
  <c r="BB53" i="47" s="1"/>
  <c r="AU2" i="47"/>
  <c r="AV67" i="47"/>
  <c r="AX67" i="47"/>
  <c r="AZ67" i="47"/>
  <c r="AV56" i="47"/>
  <c r="AX56" i="47"/>
  <c r="BB56" i="47" s="1"/>
  <c r="AU75" i="47"/>
  <c r="AV59" i="47"/>
  <c r="AZ59" i="47"/>
  <c r="AX59" i="47"/>
  <c r="AU50" i="47"/>
  <c r="AU46" i="47"/>
  <c r="AU42" i="47"/>
  <c r="AU38" i="47"/>
  <c r="AU34" i="47"/>
  <c r="AU30" i="47"/>
  <c r="AU26" i="47"/>
  <c r="AU22" i="47"/>
  <c r="AU18" i="47"/>
  <c r="AU14" i="47"/>
  <c r="AU10" i="47"/>
  <c r="AV72" i="47"/>
  <c r="BA72" i="47"/>
  <c r="BB72" i="47" s="1"/>
  <c r="AV64" i="47"/>
  <c r="AX64" i="47"/>
  <c r="BB64" i="47" s="1"/>
  <c r="AV54" i="47"/>
  <c r="AX54" i="47"/>
  <c r="BB54" i="47" s="1"/>
  <c r="AU6" i="47"/>
  <c r="AU65" i="47"/>
  <c r="D64" i="42" l="1"/>
  <c r="D65" i="42" s="1"/>
  <c r="D35" i="42" s="1"/>
  <c r="M67" i="42"/>
  <c r="M68" i="42" s="1"/>
  <c r="M34" i="42" s="1"/>
  <c r="H67" i="42"/>
  <c r="H68" i="42" s="1"/>
  <c r="H34" i="42" s="1"/>
  <c r="N64" i="42"/>
  <c r="N65" i="42" s="1"/>
  <c r="N35" i="42" s="1"/>
  <c r="Y4" i="50" s="1"/>
  <c r="Y5" i="50" s="1"/>
  <c r="O67" i="42"/>
  <c r="O68" i="42" s="1"/>
  <c r="O34" i="42" s="1"/>
  <c r="N67" i="42"/>
  <c r="N68" i="42" s="1"/>
  <c r="N34" i="42" s="1"/>
  <c r="L67" i="42"/>
  <c r="L68" i="42" s="1"/>
  <c r="L34" i="42" s="1"/>
  <c r="F67" i="42"/>
  <c r="F68" i="42" s="1"/>
  <c r="F34" i="42" s="1"/>
  <c r="J64" i="42"/>
  <c r="J65" i="42" s="1"/>
  <c r="J35" i="42" s="1"/>
  <c r="U4" i="50" s="1"/>
  <c r="U5" i="50" s="1"/>
  <c r="J67" i="42"/>
  <c r="J68" i="42" s="1"/>
  <c r="J34" i="42" s="1"/>
  <c r="M64" i="42"/>
  <c r="M65" i="42" s="1"/>
  <c r="M35" i="42" s="1"/>
  <c r="X4" i="50" s="1"/>
  <c r="X5" i="50" s="1"/>
  <c r="G67" i="42"/>
  <c r="G68" i="42" s="1"/>
  <c r="G34" i="42" s="1"/>
  <c r="I67" i="42"/>
  <c r="I68" i="42" s="1"/>
  <c r="I34" i="42" s="1"/>
  <c r="D67" i="42"/>
  <c r="K67" i="42"/>
  <c r="K68" i="42" s="1"/>
  <c r="K34" i="42" s="1"/>
  <c r="P63" i="42"/>
  <c r="L64" i="42"/>
  <c r="L65" i="42" s="1"/>
  <c r="L35" i="42" s="1"/>
  <c r="W4" i="50" s="1"/>
  <c r="W5" i="50" s="1"/>
  <c r="K64" i="42"/>
  <c r="K65" i="42" s="1"/>
  <c r="K35" i="42" s="1"/>
  <c r="V4" i="50" s="1"/>
  <c r="V5" i="50" s="1"/>
  <c r="H64" i="42"/>
  <c r="H65" i="42" s="1"/>
  <c r="H35" i="42" s="1"/>
  <c r="S4" i="50" s="1"/>
  <c r="S5" i="50" s="1"/>
  <c r="E64" i="42"/>
  <c r="E65" i="42" s="1"/>
  <c r="I64" i="42"/>
  <c r="I65" i="42" s="1"/>
  <c r="I35" i="42" s="1"/>
  <c r="T4" i="50" s="1"/>
  <c r="T5" i="50" s="1"/>
  <c r="P62" i="42"/>
  <c r="G64" i="42"/>
  <c r="G65" i="42" s="1"/>
  <c r="G35" i="42" s="1"/>
  <c r="R4" i="50" s="1"/>
  <c r="R5" i="50" s="1"/>
  <c r="AZ39" i="47"/>
  <c r="BB39" i="47" s="1"/>
  <c r="F64" i="42"/>
  <c r="F65" i="42" s="1"/>
  <c r="F35" i="42" s="1"/>
  <c r="O64" i="42"/>
  <c r="O65" i="42" s="1"/>
  <c r="O35" i="42" s="1"/>
  <c r="Z4" i="50" s="1"/>
  <c r="Z5" i="50" s="1"/>
  <c r="AU83" i="47"/>
  <c r="AW83" i="47" s="1"/>
  <c r="AU78" i="47"/>
  <c r="AX23" i="47"/>
  <c r="BB23" i="47" s="1"/>
  <c r="AU80" i="47"/>
  <c r="AV17" i="47"/>
  <c r="AV33" i="47"/>
  <c r="BA73" i="47"/>
  <c r="BB73" i="47" s="1"/>
  <c r="P60" i="42"/>
  <c r="P59" i="42"/>
  <c r="P58" i="42"/>
  <c r="P61" i="42"/>
  <c r="P56" i="42"/>
  <c r="P55" i="42"/>
  <c r="P57" i="42"/>
  <c r="AV27" i="47"/>
  <c r="AV11" i="47"/>
  <c r="AV15" i="47"/>
  <c r="AV19" i="47"/>
  <c r="AV35" i="47"/>
  <c r="AU82" i="47"/>
  <c r="AW82" i="47" s="1"/>
  <c r="AX8" i="47"/>
  <c r="BB8" i="47" s="1"/>
  <c r="AV37" i="47"/>
  <c r="AZ40" i="47"/>
  <c r="BB40" i="47" s="1"/>
  <c r="AV31" i="47"/>
  <c r="AV43" i="47"/>
  <c r="AV47" i="47"/>
  <c r="AV51" i="47"/>
  <c r="AV4" i="47"/>
  <c r="AV21" i="47"/>
  <c r="AX24" i="47"/>
  <c r="BB24" i="47" s="1"/>
  <c r="AZ44" i="47"/>
  <c r="BB44" i="47" s="1"/>
  <c r="AV32" i="47"/>
  <c r="AV48" i="47"/>
  <c r="AV13" i="47"/>
  <c r="AV25" i="47"/>
  <c r="AX12" i="47"/>
  <c r="BB12" i="47" s="1"/>
  <c r="AV28" i="47"/>
  <c r="AV9" i="47"/>
  <c r="AV41" i="47"/>
  <c r="AV16" i="47"/>
  <c r="AV45" i="47"/>
  <c r="AV49" i="47"/>
  <c r="AV20" i="47"/>
  <c r="AV36" i="47"/>
  <c r="AV52" i="47"/>
  <c r="AV3" i="47"/>
  <c r="AV29" i="47"/>
  <c r="AZ75" i="47"/>
  <c r="AV75" i="47"/>
  <c r="AV5" i="47"/>
  <c r="AV74" i="47"/>
  <c r="BB67" i="47"/>
  <c r="BB59" i="47"/>
  <c r="AV6" i="47"/>
  <c r="AX6" i="47"/>
  <c r="BB6" i="47" s="1"/>
  <c r="AX18" i="47"/>
  <c r="BB18" i="47" s="1"/>
  <c r="AV18" i="47"/>
  <c r="AZ34" i="47"/>
  <c r="BB34" i="47" s="1"/>
  <c r="AV34" i="47"/>
  <c r="AZ50" i="47"/>
  <c r="BB50" i="47" s="1"/>
  <c r="AV50" i="47"/>
  <c r="AX75" i="47"/>
  <c r="AX22" i="47"/>
  <c r="BB22" i="47" s="1"/>
  <c r="AV22" i="47"/>
  <c r="AZ38" i="47"/>
  <c r="BB38" i="47" s="1"/>
  <c r="AV38" i="47"/>
  <c r="AV55" i="47"/>
  <c r="AY55" i="47"/>
  <c r="BB55" i="47" s="1"/>
  <c r="AX10" i="47"/>
  <c r="BB10" i="47" s="1"/>
  <c r="AV10" i="47"/>
  <c r="AX26" i="47"/>
  <c r="BB26" i="47" s="1"/>
  <c r="AV26" i="47"/>
  <c r="AZ42" i="47"/>
  <c r="BB42" i="47" s="1"/>
  <c r="AV42" i="47"/>
  <c r="AV65" i="47"/>
  <c r="AZ65" i="47"/>
  <c r="AX65" i="47"/>
  <c r="AX14" i="47"/>
  <c r="BB14" i="47" s="1"/>
  <c r="AV14" i="47"/>
  <c r="AX30" i="47"/>
  <c r="BB30" i="47" s="1"/>
  <c r="AV30" i="47"/>
  <c r="AZ46" i="47"/>
  <c r="BB46" i="47" s="1"/>
  <c r="AV46" i="47"/>
  <c r="AV2" i="47"/>
  <c r="AX2" i="47"/>
  <c r="BB2" i="47" s="1"/>
  <c r="BB57" i="47"/>
  <c r="P54" i="42"/>
  <c r="AP40" i="49" l="1"/>
  <c r="O4" i="50"/>
  <c r="AT40" i="49"/>
  <c r="AT61" i="49" s="1"/>
  <c r="Q4" i="50"/>
  <c r="Q5" i="50" s="1"/>
  <c r="P65" i="42"/>
  <c r="E35" i="42"/>
  <c r="D68" i="42"/>
  <c r="P67" i="42"/>
  <c r="P35" i="42"/>
  <c r="AW80" i="47"/>
  <c r="P64" i="42"/>
  <c r="BB65" i="47"/>
  <c r="BB75" i="47"/>
  <c r="AR40" i="49" l="1"/>
  <c r="AR61" i="49" s="1"/>
  <c r="P4" i="50"/>
  <c r="P5" i="50" s="1"/>
  <c r="AI14" i="36" s="1"/>
  <c r="O5" i="50"/>
  <c r="AP61" i="49"/>
  <c r="BN40" i="49"/>
  <c r="BN61" i="49" s="1"/>
  <c r="D34" i="42"/>
  <c r="P34" i="42" s="1"/>
  <c r="P68" i="42"/>
  <c r="BB78" i="47"/>
  <c r="AA4" i="50" l="1"/>
  <c r="AH14" i="36"/>
  <c r="AT14" i="36" s="1"/>
  <c r="AU14" i="36" s="1"/>
  <c r="AA5"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D18DAFF9-5DB6-41E5-9105-A99D887F3C2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52EB186A-5007-4414-B361-29AD034C092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FA412563-145A-41E2-9CF0-841726AB0A71}">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42" authorId="2" shapeId="0" xr:uid="{63E0035E-3572-48AA-B6BD-CF233E11C506}">
      <text>
        <r>
          <rPr>
            <b/>
            <sz val="11"/>
            <color indexed="81"/>
            <rFont val="Tahoma"/>
            <family val="2"/>
          </rPr>
          <t>ANGELA MARCELA FORERO RUIZ:</t>
        </r>
        <r>
          <rPr>
            <sz val="11"/>
            <color indexed="81"/>
            <rFont val="Tahoma"/>
            <family val="2"/>
          </rPr>
          <t xml:space="preserve">
La actividad es reailzar tres reportes mensuales de seguimiento a las mujeres formadas:
Uno (1) de los CID , uno de Moodle, uno de otros procesos de formación en el marco de la Gerencia de Formación, pero la descipción del avance no hace referencia los 3 informes solo menciona las 531 mujeres formadas y en que cursos se formaron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Q23" authorId="0" shapeId="0" xr:uid="{1AE59F3B-B49D-45D7-AA1F-942E5C5A4086}">
      <text>
        <r>
          <rPr>
            <b/>
            <sz val="9"/>
            <color indexed="81"/>
            <rFont val="Tahoma"/>
            <family val="2"/>
          </rPr>
          <t xml:space="preserve">ANGELA MARCELA FORERO RUIZ:
</t>
        </r>
        <r>
          <rPr>
            <sz val="9"/>
            <color indexed="81"/>
            <rFont val="Tahoma"/>
            <family val="2"/>
          </rPr>
          <t>En la versión revisada si aparece el valor comprometido de enero, aquí se borró</t>
        </r>
        <r>
          <rPr>
            <sz val="9"/>
            <color indexed="81"/>
            <rFont val="Tahoma"/>
            <family val="2"/>
          </rPr>
          <t xml:space="preserve">
</t>
        </r>
      </text>
    </comment>
    <comment ref="C32" authorId="1"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Q34" authorId="0" shapeId="0" xr:uid="{F7F3C177-2698-413E-8F2D-69C4D61AF674}">
      <text>
        <r>
          <rPr>
            <b/>
            <sz val="10"/>
            <color indexed="81"/>
            <rFont val="Tahoma"/>
            <family val="2"/>
          </rPr>
          <t>ANGELA MARCELA FORERO RUIZ:</t>
        </r>
        <r>
          <rPr>
            <sz val="10"/>
            <color indexed="81"/>
            <rFont val="Tahoma"/>
            <family val="2"/>
          </rPr>
          <t xml:space="preserve">
Se presentaron avances cualitativos pero no cuantitativos y nos pueden mencionar que esto si puede ser cuantificable.
Se sugiere mejorar la redacción indicando que auqnue no se tenían actividades programadas para el mes de enero, se pudo avanzar en activiades de alisstamiento relacionadas con xxx y mencionar muy corto lo que se hizo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Q23" authorId="0" shapeId="0" xr:uid="{BF32066A-26F6-41D2-9D71-722CE9C89EBA}">
      <text>
        <r>
          <rPr>
            <b/>
            <sz val="9"/>
            <color indexed="81"/>
            <rFont val="Tahoma"/>
            <family val="2"/>
          </rPr>
          <t xml:space="preserve">ANGELA MARCELA FORERO RUIZ:
</t>
        </r>
        <r>
          <rPr>
            <sz val="9"/>
            <color indexed="81"/>
            <rFont val="Tahoma"/>
            <family val="2"/>
          </rPr>
          <t>En la versión revisada si aparece el valor comprometido de enero, aquí se borró</t>
        </r>
        <r>
          <rPr>
            <sz val="9"/>
            <color indexed="81"/>
            <rFont val="Tahoma"/>
            <family val="2"/>
          </rPr>
          <t xml:space="preserve">
</t>
        </r>
      </text>
    </comment>
    <comment ref="C32" authorId="1"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0" shapeId="0" xr:uid="{0D701DB7-B327-401C-9021-38AE0353AFC9}">
      <text>
        <r>
          <rPr>
            <b/>
            <sz val="9"/>
            <color indexed="81"/>
            <rFont val="Tahoma"/>
            <family val="2"/>
          </rPr>
          <t>ANGELA MARCELA FORERO RUIZ:</t>
        </r>
        <r>
          <rPr>
            <sz val="9"/>
            <color indexed="81"/>
            <rFont val="Tahoma"/>
            <family val="2"/>
          </rPr>
          <t xml:space="preserve">
Se presentaron avances cualitativos pero no cuantitativos y nos pueden mencionar que esto si puede ser cuantificable.
Se sugiere mejorar la redacción indicando que auqnue no se tenían actividades programadas para el mes de enero, se pudo avanzar en activiades de alisstamiento relacionadas con xxx y mencionar muy corto lo que se hizo</t>
        </r>
      </text>
    </comment>
    <comment ref="Q38" authorId="0" shapeId="0" xr:uid="{7B511DE6-9E91-4080-B45C-AE1F3F375553}">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auqnue no se tenían actividades programadas para el mes de enero, se pudo avanzar en activiades de alisstamiento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AV16" authorId="1" shapeId="0" xr:uid="{96161FAA-C696-4219-99B1-2829697CED9B}">
      <text>
        <r>
          <rPr>
            <b/>
            <sz val="11"/>
            <color indexed="81"/>
            <rFont val="Tahoma"/>
            <family val="2"/>
          </rPr>
          <t>ANGELA MARCELA FORERO RUIZ:</t>
        </r>
        <r>
          <rPr>
            <sz val="11"/>
            <color indexed="81"/>
            <rFont val="Tahoma"/>
            <family val="2"/>
          </rPr>
          <t xml:space="preserve">
Mencionar el resultado de los 422 registros</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AV17" authorId="1" shapeId="0" xr:uid="{96F99B24-5701-4940-9D7F-06B866DA0277}">
      <text>
        <r>
          <rPr>
            <b/>
            <sz val="10"/>
            <color indexed="81"/>
            <rFont val="Tahoma"/>
            <family val="2"/>
          </rPr>
          <t>ANGELA MARCELA FORERO RUIZ:</t>
        </r>
        <r>
          <rPr>
            <sz val="10"/>
            <color indexed="81"/>
            <rFont val="Tahoma"/>
            <family val="2"/>
          </rPr>
          <t xml:space="preserve">
Mencionar el resultado de las 165 mujeres</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rinformes ponerle nombre … tal vez numero de informes de cumplimiento al decreto 332 de 2020 por parte de entidaes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suigere dejarlo como suma y poner 1 informe cada trimestre para un total de cuatro, en ese orden la unidad de medida es Núemero</t>
        </r>
      </text>
    </comment>
    <comment ref="Q20" authorId="1" shapeId="0" xr:uid="{C3F2BFF8-D37A-41A3-9D19-12355923F571}">
      <text>
        <r>
          <rPr>
            <b/>
            <sz val="9"/>
            <color indexed="81"/>
            <rFont val="Tahoma"/>
            <family val="2"/>
          </rPr>
          <t>ANGELA MARCELA FORERO RUIZ:</t>
        </r>
        <r>
          <rPr>
            <sz val="9"/>
            <color indexed="81"/>
            <rFont val="Tahoma"/>
            <family val="2"/>
          </rPr>
          <t xml:space="preserve">
Se suigere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7" authorId="0" shapeId="0" xr:uid="{8476A9B6-07AE-40B9-AF3C-5246D9CB676C}">
      <text>
        <r>
          <rPr>
            <b/>
            <sz val="9"/>
            <color indexed="81"/>
            <rFont val="Tahoma"/>
            <family val="2"/>
          </rPr>
          <t>ANGELA MARCELA FORERO RUIZ:</t>
        </r>
        <r>
          <rPr>
            <sz val="9"/>
            <color indexed="81"/>
            <rFont val="Tahoma"/>
            <family val="2"/>
          </rPr>
          <t xml:space="preserve">
Se diligencia el nombre de la meta</t>
        </r>
      </text>
    </comment>
    <comment ref="AS10" authorId="0" shapeId="0" xr:uid="{F02D84A6-0EF7-49A3-A8A3-E8B5BED10410}">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C4" authorId="0" shapeId="0" xr:uid="{9F488FC6-60BE-4206-86B3-0A182B1448C9}">
      <text>
        <r>
          <rPr>
            <b/>
            <sz val="9"/>
            <color indexed="81"/>
            <rFont val="Tahoma"/>
            <family val="2"/>
          </rPr>
          <t>ANGELA MARCELA FORERO RUIZ:</t>
        </r>
        <r>
          <rPr>
            <sz val="9"/>
            <color indexed="81"/>
            <rFont val="Tahoma"/>
            <family val="2"/>
          </rPr>
          <t xml:space="preserve">
La reserva la tenías unicamente asociada a meta 1 $253.060.894</t>
        </r>
      </text>
    </comment>
    <comment ref="BE4" authorId="0" shapeId="0" xr:uid="{57C7D86D-9939-4335-B840-776EB3026797}">
      <text>
        <r>
          <rPr>
            <b/>
            <sz val="9"/>
            <color indexed="81"/>
            <rFont val="Tahoma"/>
            <family val="2"/>
          </rPr>
          <t>ANGELA MARCELA FORERO RUIZ:</t>
        </r>
        <r>
          <rPr>
            <sz val="9"/>
            <color indexed="81"/>
            <rFont val="Tahoma"/>
            <family val="2"/>
          </rPr>
          <t xml:space="preserve">
La reserva la tenías unicamente asociada a meta 1 $253.060.894</t>
        </r>
      </text>
    </comment>
    <comment ref="AV35" authorId="0" shapeId="0" xr:uid="{F9793241-6839-4350-98F5-AA50F5505F83}">
      <text>
        <r>
          <rPr>
            <b/>
            <sz val="9"/>
            <color indexed="81"/>
            <rFont val="Tahoma"/>
            <family val="2"/>
          </rPr>
          <t>ANGELA MARCELA FORERO RUIZ:</t>
        </r>
        <r>
          <rPr>
            <sz val="9"/>
            <color indexed="81"/>
            <rFont val="Tahoma"/>
            <family val="2"/>
          </rPr>
          <t xml:space="preserve">
La reserva la tenías unicamente asociada a meta 1 $253.060.894</t>
        </r>
      </text>
    </comment>
    <comment ref="AX35" authorId="0" shapeId="0" xr:uid="{3B1813D0-6B3D-4B3C-8C59-8BC520BA6E0A}">
      <text>
        <r>
          <rPr>
            <b/>
            <sz val="9"/>
            <color indexed="81"/>
            <rFont val="Tahoma"/>
            <family val="2"/>
          </rPr>
          <t>ANGELA MARCELA FORERO RUIZ:</t>
        </r>
        <r>
          <rPr>
            <sz val="9"/>
            <color indexed="81"/>
            <rFont val="Tahoma"/>
            <family val="2"/>
          </rPr>
          <t xml:space="preserve">
La reserva la tenías unicamente asociada a meta 1 $253.060.894</t>
        </r>
      </text>
    </comment>
    <comment ref="AZ35" authorId="0" shapeId="0" xr:uid="{B310F9B3-E467-4CC8-B4C1-7263E05F439D}">
      <text>
        <r>
          <rPr>
            <b/>
            <sz val="9"/>
            <color indexed="81"/>
            <rFont val="Tahoma"/>
            <family val="2"/>
          </rPr>
          <t>ANGELA MARCELA FORERO RUIZ:</t>
        </r>
        <r>
          <rPr>
            <sz val="9"/>
            <color indexed="81"/>
            <rFont val="Tahoma"/>
            <family val="2"/>
          </rPr>
          <t xml:space="preserve">
La reserva la tenías unicamente asociada a meta 1 $253.060.894</t>
        </r>
      </text>
    </comment>
    <comment ref="BB35" authorId="0" shapeId="0" xr:uid="{E845F415-E1B0-41AC-99DB-59055B60DB50}">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sharedStrings.xml><?xml version="1.0" encoding="utf-8"?>
<sst xmlns="http://schemas.openxmlformats.org/spreadsheetml/2006/main" count="4286" uniqueCount="1125">
  <si>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</si>
  <si>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</si>
  <si>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</si>
  <si>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</si>
  <si>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</si>
  <si>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</si>
  <si>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</si>
  <si>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</si>
  <si>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</si>
  <si>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</si>
  <si>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</si>
  <si>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X</t>
  </si>
  <si>
    <t>ACTUALIZACION</t>
  </si>
  <si>
    <t>SEGUIMIENTO</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</si>
  <si>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</si>
  <si>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</si>
  <si>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</si>
  <si>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</si>
  <si>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</si>
  <si>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</si>
  <si>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</si>
  <si>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</si>
  <si>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</si>
  <si>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</si>
  <si>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</si>
  <si>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</si>
  <si>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</si>
  <si>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</si>
  <si>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</si>
  <si>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</si>
  <si>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</si>
  <si>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</si>
  <si>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</si>
  <si>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</si>
  <si>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</si>
  <si>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</si>
  <si>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</si>
  <si>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</si>
  <si>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</si>
  <si>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</si>
  <si>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</si>
  <si>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</si>
  <si>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</si>
  <si>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</si>
  <si>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</si>
  <si>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</si>
  <si>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</si>
  <si>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</si>
  <si>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</si>
  <si>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</si>
  <si>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</si>
  <si>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</si>
  <si>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</si>
  <si>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</si>
  <si>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</si>
  <si>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</si>
  <si>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</si>
  <si>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</si>
  <si>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</si>
  <si>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</si>
  <si>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</si>
  <si>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</si>
  <si>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</si>
  <si>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</si>
  <si>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</si>
  <si>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</si>
  <si>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</si>
  <si>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</si>
  <si>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</si>
  <si>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</si>
  <si>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</si>
  <si>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</si>
  <si>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</si>
  <si>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</si>
  <si>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</si>
  <si>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</si>
  <si>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</si>
  <si>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</si>
  <si>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</si>
  <si>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</si>
  <si>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</si>
  <si>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</si>
  <si>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</si>
  <si>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</si>
  <si>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</si>
  <si>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</si>
  <si>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</si>
  <si>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</si>
  <si>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</si>
  <si>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técnológica de los Centros de Inclusión Digital, aportando a la inclusión del enfoque diferencial</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</si>
  <si>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</si>
  <si>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</si>
  <si>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</si>
  <si>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t>7. Elaborar, desarrollar y virtualizar cuatro (4) contenidos para el desarrollo de capacidades socioemocionales, técnicas y digitales de las mujeres, en toda su diversidad</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</si>
  <si>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</si>
  <si>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e implementar una (1) estrategía para el desarrollo de capacidades socioemocionales y técnicas de las mujeres en toda su diversidad para su emprendimiento y empleabilidad.</t>
  </si>
  <si>
    <t>8. Implementar la ruta de divulgación y orientación para la formación y oferta de empleo y emprendimiento de mujeres diseñada en el marco de la estrategia de emprendimiento y empleabilidad.</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</si>
  <si>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</si>
  <si>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10. Promover acciones que contribuyan a la generación de ingresos y empleo para las mujeres, conforme a la oferta de las diferentes entidades del distrito.</t>
  </si>
  <si>
    <t>11. Diseñar dos (2) programas que promuevan la autonomía económica de mujeres, en especial cuidadoras.</t>
  </si>
  <si>
    <t xml:space="preserve">12. Generar y desarrollar alianzas estratégicas que contribuyan a la implementación de la estrategia de emprendimiento y empleabilidad. </t>
  </si>
  <si>
    <t>DESCRIPCIÓN DE LA ACTIVIDAD</t>
  </si>
  <si>
    <t xml:space="preserve">Diseñar e Implementar 1 programa piloto para promover la autonomía económica de las mujeres cuidadoras en el marco de la estrategia de emprendimiento y empleabilidad de la SDMujer </t>
  </si>
  <si>
    <t xml:space="preserve">Diseñar e implementar un (1) programa piloto para promover la autonomía económica de las mujeres cuidadoras en el marco de la estrategia de emprendimiento y empleabilidad de la SDMujer.  </t>
  </si>
  <si>
    <t xml:space="preserve">13. Estructurar los insumos técnicos del programa para el componente de seguimiento y monitoreo </t>
  </si>
  <si>
    <t>14. Diseñar e implementar el proceso de convocatoria con el fin de alcanzar la meta poblacional propuesta en el piloto y levantar una línea base de organizaciones productiva de mujeres cuidadoras asociadas</t>
  </si>
  <si>
    <t>15. Realizar seguimiento al cumplimiento de las horas de formación y mentoría personalizada y las acciones definidas en los planes de fortalecimiento organizativo de las organizaciones productivas de mujeres cuidadoras asociadas beneficiarias del piloto.</t>
  </si>
  <si>
    <t>16. Supervisar el cumplimiento de los objetivos propuestos en el piloto.</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</si>
  <si>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</si>
  <si>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</si>
  <si>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</si>
  <si>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</si>
  <si>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</si>
  <si>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</si>
  <si>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</si>
  <si>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</si>
  <si>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</si>
  <si>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</si>
  <si>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</si>
  <si>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</si>
  <si>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</si>
  <si>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</si>
  <si>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</si>
  <si>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</si>
  <si>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</si>
  <si>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</si>
  <si>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</si>
  <si>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</si>
  <si>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</si>
  <si>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</si>
  <si>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</si>
  <si>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</si>
  <si>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</si>
  <si>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</si>
  <si>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</si>
  <si>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</si>
  <si>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</si>
  <si>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</si>
  <si>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</si>
  <si>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</si>
  <si>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</si>
  <si>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</si>
  <si>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</si>
  <si>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</si>
  <si>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</si>
  <si>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</si>
  <si>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</si>
  <si>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</si>
  <si>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</si>
  <si>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</si>
  <si>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</si>
  <si>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</si>
  <si>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</si>
  <si>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</si>
  <si>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</si>
  <si>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</si>
  <si>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</si>
  <si>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</si>
  <si>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Porcentaje de avance en el diseño y acompañamiento de la estrategia de emprendimiento y empleabilidad para la autonomía económica de las mujeres</t>
  </si>
  <si>
    <t>Porcentaje de avance</t>
  </si>
  <si>
    <t xml:space="preserve">Sumatoria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</si>
  <si>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</si>
  <si>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</si>
  <si>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</si>
  <si>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</si>
  <si>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Estrategía para el Desarrollo De Capacidades Sociomecionales Y Técnicas de las Mujeres en toda su Diversidad para su Emprendimiento y Empleabilidad.</t>
  </si>
  <si>
    <t>Número de registros en la Ruta de  Divulgación y Orientación.</t>
  </si>
  <si>
    <t>N/A</t>
  </si>
  <si>
    <t>Registros</t>
  </si>
  <si>
    <t>Registros realizados</t>
  </si>
  <si>
    <t>Número de mujeres orientadas a través de la Ruta de Divulgación y Orientación.</t>
  </si>
  <si>
    <t>Mujeres orientadas</t>
  </si>
  <si>
    <t>Orientaciones realizadas</t>
  </si>
  <si>
    <t>Número de informes consolidados, elaborados a partir de los reportes enviados por las entidades y organismos Distrital en cumplimiento del Decreto 332/2020.</t>
  </si>
  <si>
    <t>Informes consolidados</t>
  </si>
  <si>
    <t>Sumatoria</t>
  </si>
  <si>
    <t>Semestral</t>
  </si>
  <si>
    <t>Reportes realizados</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</si>
  <si>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</si>
  <si>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</si>
  <si>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</si>
  <si>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</si>
  <si>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</si>
  <si>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</si>
  <si>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</si>
  <si>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</si>
  <si>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</si>
  <si>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</si>
  <si>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</si>
  <si>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</si>
  <si>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</si>
  <si>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cimité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</si>
  <si>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Documento técnico fortalecimiento organizativo elaborado.</t>
  </si>
  <si>
    <t>Un documento que de cuenta de las herramientas de fortalecimiento organizativo, mentoría personalziada, de formación y acompañamiento perdagógico implemetnadas correspondiente al 100% del cumplimiento de los componentes 1 y 2 del programa</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</si>
  <si>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</si>
  <si>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</si>
  <si>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</si>
  <si>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</si>
  <si>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registrio, verificación de requisitos y selección.</t>
  </si>
  <si>
    <t>Desarrollo de Capacidades</t>
  </si>
  <si>
    <t>Contribuir a la reducción de la feminización de la pobreza, al desarrollo de capacidades y al empoderamiento</t>
  </si>
  <si>
    <t>Formar 26.100 mujeres en sus derechos a través de procesos de desarrollo de capacidades en el uso TIC</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</si>
  <si>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</si>
  <si>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</si>
  <si>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</si>
  <si>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</si>
  <si>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</si>
  <si>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</si>
  <si>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</si>
  <si>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</si>
  <si>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</si>
  <si>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</si>
  <si>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</si>
  <si>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</si>
  <si>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</si>
  <si>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</si>
  <si>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</si>
  <si>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</si>
  <si>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</si>
  <si>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</si>
  <si>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</si>
  <si>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</si>
  <si>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</si>
  <si>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</si>
  <si>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</si>
  <si>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</si>
  <si>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</si>
  <si>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</si>
  <si>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</si>
  <si>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</si>
  <si>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</si>
  <si>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</si>
  <si>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</si>
  <si>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</si>
  <si>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</si>
  <si>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</si>
  <si>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</si>
  <si>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</si>
  <si>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</si>
  <si>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</si>
  <si>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</si>
  <si>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</si>
  <si>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</si>
  <si>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</si>
  <si>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</si>
  <si>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</si>
  <si>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</si>
  <si>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</si>
  <si>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</si>
  <si>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</si>
  <si>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</si>
  <si>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</si>
  <si>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</si>
  <si>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</si>
  <si>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</si>
  <si>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</si>
  <si>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</si>
  <si>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</si>
  <si>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</si>
  <si>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</si>
  <si>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</si>
  <si>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</si>
  <si>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</si>
  <si>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</si>
  <si>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</si>
  <si>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</si>
  <si>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</si>
  <si>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</si>
  <si>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</si>
  <si>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</si>
  <si>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</si>
  <si>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</si>
  <si>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</si>
  <si>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</si>
  <si>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</si>
  <si>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</si>
  <si>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</si>
  <si>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</si>
  <si>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</si>
  <si>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</si>
  <si>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</si>
  <si>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</si>
  <si>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</si>
  <si>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</si>
  <si>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</si>
  <si>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</si>
  <si>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</si>
  <si>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</si>
  <si>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</si>
  <si>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</si>
  <si>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</si>
  <si>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</si>
  <si>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</si>
  <si>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</si>
  <si>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</si>
  <si>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</si>
  <si>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</si>
  <si>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</si>
  <si>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</si>
  <si>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</si>
  <si>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</si>
  <si>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</si>
  <si>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</si>
  <si>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</si>
  <si>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</si>
  <si>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</si>
  <si>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</si>
  <si>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</si>
  <si>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</si>
  <si>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</si>
  <si>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Feb</t>
  </si>
  <si>
    <t>Mar</t>
  </si>
  <si>
    <t>Abril</t>
  </si>
  <si>
    <t>May</t>
  </si>
  <si>
    <t>Jun</t>
  </si>
  <si>
    <t>Jul</t>
  </si>
  <si>
    <t>Ago</t>
  </si>
  <si>
    <t>Sep</t>
  </si>
  <si>
    <t>Oct</t>
  </si>
  <si>
    <t>Nov</t>
  </si>
  <si>
    <t>Dic</t>
  </si>
  <si>
    <t>Cta x pagar</t>
  </si>
  <si>
    <t>Total</t>
  </si>
  <si>
    <t>M1</t>
  </si>
  <si>
    <t>M2</t>
  </si>
  <si>
    <t>M3</t>
  </si>
  <si>
    <t>M4</t>
  </si>
  <si>
    <t>miércoles 25/08/2021 10:18 p. m.</t>
  </si>
  <si>
    <t>SI</t>
  </si>
  <si>
    <t>Desarrollo de capacidades para aumentar la autonomía y empoderamiento de las mujeres en toda su diversidad en Bogotá</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</si>
  <si>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</si>
  <si>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</si>
  <si>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</si>
  <si>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</si>
  <si>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</si>
  <si>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</si>
  <si>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</si>
  <si>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</si>
  <si>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</si>
  <si>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</si>
  <si>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</si>
  <si>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</si>
  <si>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</si>
  <si>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</si>
  <si>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</si>
  <si>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</si>
  <si>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</si>
  <si>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</si>
  <si>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</si>
  <si>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</si>
  <si>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</si>
  <si>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</si>
  <si>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</si>
  <si>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</si>
  <si>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</si>
  <si>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</si>
  <si>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</si>
  <si>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</si>
  <si>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</si>
  <si>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</si>
  <si>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</si>
  <si>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</si>
  <si>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</si>
  <si>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</si>
  <si>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</si>
  <si>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</si>
  <si>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</si>
  <si>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</si>
  <si>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</si>
  <si>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</si>
  <si>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</si>
  <si>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</si>
  <si>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</si>
  <si>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</si>
  <si>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</si>
  <si>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</si>
  <si>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</si>
  <si>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</si>
  <si>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</si>
  <si>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</si>
  <si>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</si>
  <si>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</si>
  <si>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</si>
  <si>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</si>
  <si>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</si>
  <si>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</si>
  <si>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</si>
  <si>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</si>
  <si>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</si>
  <si>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</si>
  <si>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</si>
  <si>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</si>
  <si>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</si>
  <si>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</si>
  <si>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</si>
  <si>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</si>
  <si>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</si>
  <si>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</si>
  <si>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</si>
  <si>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</si>
  <si>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</si>
  <si>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</si>
  <si>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</si>
  <si>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</si>
  <si>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</si>
  <si>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</si>
  <si>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</si>
  <si>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Servicios prestados a las empresas y servicios de producción</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</si>
  <si>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</si>
  <si>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</si>
  <si>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</si>
  <si>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</si>
  <si>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</si>
  <si>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</si>
  <si>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</si>
  <si>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</si>
  <si>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</si>
  <si>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</si>
  <si>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</si>
  <si>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</si>
  <si>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</si>
  <si>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</si>
  <si>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</si>
  <si>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</si>
  <si>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</si>
  <si>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</si>
  <si>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</si>
  <si>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</si>
  <si>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</si>
  <si>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</si>
  <si>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</si>
  <si>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</si>
  <si>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</si>
  <si>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</si>
  <si>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</si>
  <si>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</si>
  <si>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</si>
  <si>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</si>
  <si>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</si>
  <si>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</si>
  <si>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</si>
  <si>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</si>
  <si>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</si>
  <si>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</si>
  <si>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</si>
  <si>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</si>
  <si>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</si>
  <si>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</si>
  <si>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</si>
  <si>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</si>
  <si>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</si>
  <si>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</si>
  <si>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</si>
  <si>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</si>
  <si>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</si>
  <si>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</si>
  <si>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</si>
  <si>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</si>
  <si>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</si>
  <si>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</si>
  <si>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</si>
  <si>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</si>
  <si>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</si>
  <si>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</si>
  <si>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</si>
  <si>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</si>
  <si>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</si>
  <si>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</si>
  <si>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</si>
  <si>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</si>
  <si>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</si>
  <si>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</si>
  <si>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</si>
  <si>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</si>
  <si>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</si>
  <si>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</si>
  <si>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</si>
  <si>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</si>
  <si>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</si>
  <si>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</si>
  <si>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</si>
  <si>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</si>
  <si>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</si>
  <si>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</si>
  <si>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</si>
  <si>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</si>
  <si>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</si>
  <si>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</si>
  <si>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</si>
  <si>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</si>
  <si>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</si>
  <si>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</si>
  <si>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</si>
  <si>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</si>
  <si>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</si>
  <si>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</si>
  <si>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</si>
  <si>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</si>
  <si>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</si>
  <si>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</si>
  <si>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</si>
  <si>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</si>
  <si>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</si>
  <si>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</si>
  <si>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</si>
  <si>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</si>
  <si>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</si>
  <si>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</si>
  <si>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</si>
  <si>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</si>
  <si>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</si>
  <si>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</si>
  <si>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</si>
  <si>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</si>
  <si>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</si>
  <si>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</si>
  <si>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</si>
  <si>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</si>
  <si>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</si>
  <si>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</si>
  <si>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</si>
  <si>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</si>
  <si>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</si>
  <si>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</si>
  <si>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</si>
  <si>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</si>
  <si>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</si>
  <si>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</si>
  <si>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</si>
  <si>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</si>
  <si>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</si>
  <si>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</si>
  <si>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</si>
  <si>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</si>
  <si>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</si>
  <si>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</si>
  <si>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</si>
  <si>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</si>
  <si>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</si>
  <si>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</si>
  <si>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</si>
  <si>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</si>
  <si>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</si>
  <si>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</si>
  <si>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</si>
  <si>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</si>
  <si>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</si>
  <si>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</si>
  <si>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</si>
  <si>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</si>
  <si>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</si>
  <si>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</si>
  <si>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</si>
  <si>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</si>
  <si>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</si>
  <si>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</si>
  <si>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</si>
  <si>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</si>
  <si>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</si>
  <si>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</si>
  <si>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</si>
  <si>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</si>
  <si>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</si>
  <si>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</si>
  <si>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</si>
  <si>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</si>
  <si>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</si>
  <si>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</si>
  <si>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</si>
  <si>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LLAVE</t>
  </si>
  <si>
    <t>PROYECTO</t>
  </si>
  <si>
    <t>Ejercicio</t>
  </si>
  <si>
    <t>Período</t>
  </si>
  <si>
    <t>Fecha Inicial</t>
  </si>
  <si>
    <t>Fecha Final</t>
  </si>
  <si>
    <t>Centro gestor</t>
  </si>
  <si>
    <t>Fe.contabil.en control presupuestario</t>
  </si>
  <si>
    <t>Tipo de compromiso</t>
  </si>
  <si>
    <t>Compromiso</t>
  </si>
  <si>
    <t>No. Compromiso</t>
  </si>
  <si>
    <t>Plazo</t>
  </si>
  <si>
    <t>Forma Pago</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</si>
  <si>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</si>
  <si>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</si>
  <si>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</si>
  <si>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</si>
  <si>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</si>
  <si>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</si>
  <si>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</si>
  <si>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</si>
  <si>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</si>
  <si>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</si>
  <si>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</si>
  <si>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</si>
  <si>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</si>
  <si>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</si>
  <si>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</si>
  <si>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</si>
  <si>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ID Responsable</t>
  </si>
  <si>
    <t>Nombre responsable</t>
  </si>
  <si>
    <t>ID Solicitante</t>
  </si>
  <si>
    <t>Nombre solicitante</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</si>
  <si>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</si>
  <si>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</si>
  <si>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</si>
  <si>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</si>
  <si>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</si>
  <si>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</si>
  <si>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</si>
  <si>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</si>
  <si>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</si>
  <si>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</si>
  <si>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</si>
  <si>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</si>
  <si>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JUSTIFICACION DE LA CONSTITUCION DE LA RESERVA - VIG 2022
INSUMO INFORME HACIENDA</t>
  </si>
  <si>
    <t>IMPACTO DE CONSTITUCIÓN DE LA RESERVA EN LAS METAS DEL PROYECTO DE INVERSIÓN</t>
  </si>
  <si>
    <t>FECHA DE TERMINACION DEL CONTRATO VIGENTE</t>
  </si>
  <si>
    <t>OBSERVACION OAP</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</si>
  <si>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</si>
  <si>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</si>
  <si>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</si>
  <si>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</si>
  <si>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</si>
  <si>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</si>
  <si>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</si>
  <si>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</si>
  <si>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</si>
  <si>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</si>
  <si>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</si>
  <si>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</si>
  <si>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</si>
  <si>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</si>
  <si>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</si>
  <si>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</si>
  <si>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</si>
  <si>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</si>
  <si>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</si>
  <si>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</si>
  <si>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</si>
  <si>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</si>
  <si>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</si>
  <si>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</si>
  <si>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</si>
  <si>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</si>
  <si>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1000215737</t>
  </si>
  <si>
    <t>LILIANA PATRICIA HERNANDEZ HURTADO</t>
  </si>
  <si>
    <t>1000158014</t>
  </si>
  <si>
    <t>ADIBI JALIMA JALAFES MONTES</t>
  </si>
  <si>
    <t>COP</t>
  </si>
  <si>
    <t>5000120685</t>
  </si>
  <si>
    <t>96764</t>
  </si>
  <si>
    <t>163-2020808730133011601020000007673</t>
  </si>
  <si>
    <t>11</t>
  </si>
  <si>
    <t>CONTRATOS INTERADMINISTRATIVOS</t>
  </si>
  <si>
    <t>163-2020</t>
  </si>
  <si>
    <t>58</t>
  </si>
  <si>
    <t>808</t>
  </si>
  <si>
    <t>730</t>
  </si>
  <si>
    <t>Adición y prórroga al contrato No. 163 de 2020, cuyo objeto es:"Suministrar los servicios integrados de comunicaciones convergentes querequiera la SDMujer".</t>
  </si>
  <si>
    <t>1082001042</t>
  </si>
  <si>
    <t>PM/0121/0103/0000007673</t>
  </si>
  <si>
    <t>IGUALDAD DE OPORTUNIDADES Y DESARROLLO DE CAPACIDA</t>
  </si>
  <si>
    <t>1000451829</t>
  </si>
  <si>
    <t>NIT</t>
  </si>
  <si>
    <t>899999115</t>
  </si>
  <si>
    <t>EMPRESA DE TELECOMUNICACIONES DE BOGOTÁ S.A. E.S.P. - ETB S.A. ESP</t>
  </si>
  <si>
    <t>5000167572</t>
  </si>
  <si>
    <t>146314</t>
  </si>
  <si>
    <t>Se constituye la reserva teniendo en cuenta que con corte al 31 de diciembre de 2021 el contrato no había sido liquidado, sin embargo, estos recursos serán liberados en la liquidación del contrato 163 de 2020 que ya se encuentra radicada en la Dirección de Contratación.</t>
  </si>
  <si>
    <t xml:space="preserve">OK - Se complementa justificacion </t>
  </si>
  <si>
    <t>671927921133011601020000007673</t>
  </si>
  <si>
    <t>671</t>
  </si>
  <si>
    <t>183</t>
  </si>
  <si>
    <t>927</t>
  </si>
  <si>
    <t>921</t>
  </si>
  <si>
    <t>Suministrar los servicios integrados de comunicaciones convergentes querequiera la Secretaría Distrital de la Mujer. PC 461 CD-CI-684-2021</t>
  </si>
  <si>
    <t>5000182498</t>
  </si>
  <si>
    <t>156883</t>
  </si>
  <si>
    <t>Se requiere la constitución de la respectiva reserva presupuestal teniendo en cuenta que el contrato 671 de 2021 esta suscrito hasta el 28/02/2022, los pagos se realizan mensualmente de acuerdo a los servicios prestados hasta el mes de marzo de 2022, debido a que el pago se realiza mes vencido, asi mismo la Secretaria Distrital de la Mujer en desarrollo de sus actividades misionales y administrativas requiere garantizar la conectividad con los servicios de Internet, canales de datos, seguridad en la nube, telefonía móvil y telefonía IP entre las sedes de la Secretaría de la Mujer.</t>
  </si>
  <si>
    <t>Esta reserva corresponde a Meta 1: 94% y Meta 3: 6%</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</si>
  <si>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</si>
  <si>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</si>
  <si>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</si>
  <si>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</si>
  <si>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</si>
  <si>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</si>
  <si>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</si>
  <si>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</si>
  <si>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</si>
  <si>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</si>
  <si>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</si>
  <si>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</si>
  <si>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</si>
  <si>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1000610481</t>
  </si>
  <si>
    <t>DALIA INES OLARTE MARTINEZ</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</si>
  <si>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</si>
  <si>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</si>
  <si>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</si>
  <si>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</si>
  <si>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</si>
  <si>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</si>
  <si>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</si>
  <si>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</si>
  <si>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</si>
  <si>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</si>
  <si>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</si>
  <si>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1000187091</t>
  </si>
  <si>
    <t>ANA ROCIO MURCIA GOMEZ</t>
  </si>
  <si>
    <t>1004993529</t>
  </si>
  <si>
    <t>LUIS GUILLERMO FLECHAS SALCEDO</t>
  </si>
  <si>
    <t>5000211597</t>
  </si>
  <si>
    <t>174527</t>
  </si>
  <si>
    <t xml:space="preserve">Durante la estructuración de los estudios previos, el contrato se firmó a 5 meses periodo comprendido entre octubre de 2021  y marzo de 2022; lo anterior basado en el cronograma presentado por la Universidad y aprobado por la entidad;  lo anterior previendo que los los módulos de cada diplomado se realizaran dentro de los plazos programados, con la calidad requerida y esperada por la ciudadanía; dado lo anterior se planteió establecer reserva presupuestal por el 30% del valor del contrato. </t>
  </si>
  <si>
    <t>78092132413561330116010200000076734759996</t>
  </si>
  <si>
    <t>04</t>
  </si>
  <si>
    <t>ORDEN DE COMPRA</t>
  </si>
  <si>
    <t>78092</t>
  </si>
  <si>
    <t>7</t>
  </si>
  <si>
    <t>1324</t>
  </si>
  <si>
    <t>1356</t>
  </si>
  <si>
    <t>Adquirir a través de la Tienda Virtual del Estado Colombiano consumiblesde impresión para los equipos multifuncionales de la SecretaríaDistrital de la Mujer. PC 726</t>
  </si>
  <si>
    <t>1082000041</t>
  </si>
  <si>
    <t>Otros bienes transportables (excepto productos metálicos, maquinaria y equipo)</t>
  </si>
  <si>
    <t>CONTRATACIÓN MÍNIMA CUANTÍA</t>
  </si>
  <si>
    <t>1000505876</t>
  </si>
  <si>
    <t>830037946</t>
  </si>
  <si>
    <t>PANAMERICANA LIBRERIA Y PAPELERIA S A</t>
  </si>
  <si>
    <t>5000216830</t>
  </si>
  <si>
    <t>182258</t>
  </si>
  <si>
    <t>Es necesario realizar un ajuste de los elementos adquiridos y solo se realizará el pago cuando sean recibidos a satisfacción.</t>
  </si>
  <si>
    <t xml:space="preserve">La adquisición de tóner es necesaria para garantizar la correcta operación de las impresoras ubicadas en los CID. </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</si>
  <si>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</si>
  <si>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</si>
  <si>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</si>
  <si>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</si>
  <si>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</si>
  <si>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</si>
  <si>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</si>
  <si>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</si>
  <si>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</si>
  <si>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</si>
  <si>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</si>
  <si>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</si>
  <si>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</si>
  <si>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</si>
  <si>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</si>
  <si>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Contrato 933 se suscribio el 24/11/2021, la empresa a la cual se le adjudico el contrato solicito una prorroga la cual se dío por 4 meses  hasta el 20 de abril justificando lo siguiente "La escasez de materiales en el sector de los semiconductores está afectando a las cadenas de suministro mundiales y ralentizando la producción en múltiples sectores, desde la automoción hasta la electrónica de consumo, entre otros. Cisco es una de las muchas empresas que están experimentando retrasos en el suministro de componentes, lo que está provocando tiempos de respuesta prolongados en un subconjunto concentrado de productos Cisco".por esta razon el pago se realizará al momento de la entrega del nodo instalado, configurado y puesto en funcionamiento.</t>
  </si>
  <si>
    <t>OK JUSTIFICACION</t>
  </si>
  <si>
    <t>94411061522133011601020000007673</t>
  </si>
  <si>
    <t>19</t>
  </si>
  <si>
    <t>CONTRATO DE SUMINISTRO</t>
  </si>
  <si>
    <t>944</t>
  </si>
  <si>
    <t>31</t>
  </si>
  <si>
    <t>1106</t>
  </si>
  <si>
    <t>1522</t>
  </si>
  <si>
    <t>Suministro de elementos de ferretería para la Secretaría Distrital de laMujer. PC 731</t>
  </si>
  <si>
    <t>03</t>
  </si>
  <si>
    <t>SELEC. ABREV. SUBASTA INVERSA</t>
  </si>
  <si>
    <t>1000629505</t>
  </si>
  <si>
    <t>830073899</t>
  </si>
  <si>
    <t>COMERCIALIZADORA ELECTROCON SAS</t>
  </si>
  <si>
    <t>5000230970</t>
  </si>
  <si>
    <t>165314</t>
  </si>
  <si>
    <t xml:space="preserve">Se requiere constituir reserva presupuestal para el presente contrato, toda vez que este fue suscrito el 3 de diciembre de 2021 con un plazo de 5 meses, es decir, que finaliza el 2 de mayo de 2022 y se estipulo que la Secretaría realizará pagos mensuales de acuerdo con los ítems requeridos y entregados a satisfacción por el contratista. </t>
  </si>
  <si>
    <t>70614871610133011601020000007673</t>
  </si>
  <si>
    <t>145</t>
  </si>
  <si>
    <t>CONTRATO DE PRESTACION DE SERVICIOS PROFESIONALES</t>
  </si>
  <si>
    <t>706</t>
  </si>
  <si>
    <t>0</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</si>
  <si>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</si>
  <si>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</si>
  <si>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</si>
  <si>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</si>
  <si>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</si>
  <si>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MARIA CARMENZA USSA TUNUBALA</t>
  </si>
  <si>
    <t>5000242512</t>
  </si>
  <si>
    <t>198389</t>
  </si>
  <si>
    <t>62814861611133011601020000007673</t>
  </si>
  <si>
    <t>628</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</si>
  <si>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</si>
  <si>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</si>
  <si>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</si>
  <si>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1012069544</t>
  </si>
  <si>
    <t>1061746337</t>
  </si>
  <si>
    <t>YULIANA KAROLINA GONZALEZ HOYOS</t>
  </si>
  <si>
    <t>5000242517</t>
  </si>
  <si>
    <t>198388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</si>
  <si>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</si>
  <si>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</si>
  <si>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</si>
  <si>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</si>
  <si>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</si>
  <si>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</si>
  <si>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</si>
  <si>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</si>
  <si>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</si>
  <si>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</si>
  <si>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</si>
  <si>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</si>
  <si>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</si>
  <si>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</si>
  <si>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</si>
  <si>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El proceso es liderado por la OAP y de acuerdo con la información la adjudicación se dio el día 27 de diciembre y el contratista seleccionado tendrá 90 días para la entrega de los equipos por lo que se hace necesaria la constitución de la reserva dado que el pago no se realizará hasta la entrega de los equipos.</t>
  </si>
  <si>
    <t>96314881634133011601020000007673</t>
  </si>
  <si>
    <t>963</t>
  </si>
  <si>
    <t>1488</t>
  </si>
  <si>
    <t>1634</t>
  </si>
  <si>
    <t>Contratar la solución tecnológica para poner en funcionamiento elsistema de video conferencia BigBlueButton con el fin de conectar estesistema con la plataforma Moodle de la Secretaría de la Mujer. PC 1003</t>
  </si>
  <si>
    <t>1012214708</t>
  </si>
  <si>
    <t>900736431</t>
  </si>
  <si>
    <t>MINDSIT S.A.S.</t>
  </si>
  <si>
    <t>5000246174</t>
  </si>
  <si>
    <t>198576</t>
  </si>
  <si>
    <t>Reserva según OAP</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</si>
  <si>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</si>
  <si>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</si>
  <si>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</si>
  <si>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</si>
  <si>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</si>
  <si>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</si>
  <si>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</si>
  <si>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</si>
  <si>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</si>
  <si>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</si>
  <si>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</si>
  <si>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</si>
  <si>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</si>
  <si>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</si>
  <si>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</si>
  <si>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</si>
  <si>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</si>
  <si>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</si>
  <si>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</si>
  <si>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</si>
  <si>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</si>
  <si>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</si>
  <si>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</si>
  <si>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</si>
  <si>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</si>
  <si>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</si>
  <si>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</si>
  <si>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</si>
  <si>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</si>
  <si>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</si>
  <si>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</si>
  <si>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</si>
  <si>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</si>
  <si>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</si>
  <si>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</si>
  <si>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</si>
  <si>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</si>
  <si>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</si>
  <si>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</si>
  <si>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</si>
  <si>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</si>
  <si>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</si>
  <si>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</si>
  <si>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</si>
  <si>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</si>
  <si>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</si>
  <si>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</si>
  <si>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</si>
  <si>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</si>
  <si>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</si>
  <si>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</si>
  <si>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</si>
  <si>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</si>
  <si>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</si>
  <si>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</si>
  <si>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</si>
  <si>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</si>
  <si>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</si>
  <si>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</si>
  <si>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</si>
  <si>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</si>
  <si>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</si>
  <si>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</si>
  <si>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</si>
  <si>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</si>
  <si>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</si>
  <si>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</si>
  <si>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</si>
  <si>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</si>
  <si>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</si>
  <si>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</si>
  <si>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</si>
  <si>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</si>
  <si>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</si>
  <si>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</si>
  <si>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</si>
  <si>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</si>
  <si>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</si>
  <si>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</si>
  <si>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</si>
  <si>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</si>
  <si>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</si>
  <si>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</si>
  <si>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</si>
  <si>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</si>
  <si>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</si>
  <si>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</si>
  <si>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</si>
  <si>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</si>
  <si>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</si>
  <si>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</si>
  <si>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</si>
  <si>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</si>
  <si>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</si>
  <si>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</si>
  <si>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</si>
  <si>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</si>
  <si>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</si>
  <si>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</si>
  <si>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</si>
  <si>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</si>
  <si>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</si>
  <si>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</si>
  <si>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</si>
  <si>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</si>
  <si>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</si>
  <si>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</si>
  <si>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</si>
  <si>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</si>
  <si>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</si>
  <si>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</si>
  <si>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</si>
  <si>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</si>
  <si>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</si>
  <si>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</si>
  <si>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</si>
  <si>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</si>
  <si>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</si>
  <si>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</si>
  <si>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</si>
  <si>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</si>
  <si>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</si>
  <si>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</si>
  <si>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</si>
  <si>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</si>
  <si>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</si>
  <si>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</si>
  <si>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</si>
  <si>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</si>
  <si>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</si>
  <si>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</si>
  <si>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</si>
  <si>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</si>
  <si>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</si>
  <si>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</si>
  <si>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</si>
  <si>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</si>
  <si>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</si>
  <si>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</si>
  <si>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</si>
  <si>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</si>
  <si>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</si>
  <si>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</si>
  <si>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</si>
  <si>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</si>
  <si>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</si>
  <si>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</si>
  <si>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</si>
  <si>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</si>
  <si>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</si>
  <si>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</si>
  <si>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</si>
  <si>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</si>
  <si>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</si>
  <si>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</si>
  <si>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</si>
  <si>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</si>
  <si>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</si>
  <si>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</si>
  <si>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</si>
  <si>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</si>
  <si>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</si>
  <si>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</si>
  <si>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</si>
  <si>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</si>
  <si>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</si>
  <si>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</si>
  <si>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</si>
  <si>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</si>
  <si>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</si>
  <si>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</si>
  <si>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</si>
  <si>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</si>
  <si>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</si>
  <si>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</si>
  <si>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</si>
  <si>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</si>
  <si>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</si>
  <si>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</si>
  <si>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</si>
  <si>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</si>
  <si>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</si>
  <si>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</si>
  <si>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</si>
  <si>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</si>
  <si>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</si>
  <si>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</si>
  <si>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</si>
  <si>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</si>
  <si>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</si>
  <si>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</si>
  <si>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</si>
  <si>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</si>
  <si>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</si>
  <si>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</si>
  <si>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</si>
  <si>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</si>
  <si>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</si>
  <si>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</si>
  <si>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</si>
  <si>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</si>
  <si>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</si>
  <si>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</si>
  <si>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</si>
  <si>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</si>
  <si>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</si>
  <si>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</si>
  <si>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</si>
  <si>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</si>
  <si>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</si>
  <si>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</si>
  <si>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</si>
  <si>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</si>
  <si>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</si>
  <si>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</si>
  <si>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</si>
  <si>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</si>
  <si>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</si>
  <si>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</si>
  <si>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</si>
  <si>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</si>
  <si>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</si>
  <si>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</si>
  <si>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</si>
  <si>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</si>
  <si>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</si>
  <si>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Igualdad de oportunidades y desarrollo de capacidades para las mujeres </t>
  </si>
  <si>
    <t>Nombre: Diana María Parra Romero</t>
  </si>
  <si>
    <t xml:space="preserve">Nombre: Andrea Ramírez Pisco </t>
  </si>
  <si>
    <t xml:space="preserve">Cargo: Directora de gestión del conocimiento (M1) </t>
  </si>
  <si>
    <t>Cargo: Subsecretaria del Cuidado y Políticas de Igualdad (M2,M3,M4)</t>
  </si>
  <si>
    <t>Nombre: M1-Rocio Duran Mahecha. M2-Ángela Adriana Ávila. M3.M4- Ana María Sánchez</t>
  </si>
  <si>
    <t>Diseñar y acompañar la estrategia de emprendimiento y empleabilidad para la autonomía económica de las mujeres</t>
  </si>
  <si>
    <t>Total PDD</t>
  </si>
  <si>
    <t>Reporte PDD
ene-mar</t>
  </si>
  <si>
    <t>Reporte PDD
abr-jun</t>
  </si>
  <si>
    <t>Reporte PDD
jul-sep</t>
  </si>
  <si>
    <t>Reporte PDD
oct-dic</t>
  </si>
  <si>
    <t>Meta 1</t>
  </si>
  <si>
    <t>Meta 2</t>
  </si>
  <si>
    <t>Meta 3</t>
  </si>
  <si>
    <t>Promedio</t>
  </si>
  <si>
    <t>Redondeo</t>
  </si>
  <si>
    <t>Reporte PDD
ene</t>
  </si>
  <si>
    <t xml:space="preserve">Soportes plan de acción meta 2 y 3. </t>
  </si>
  <si>
    <t>mar</t>
  </si>
  <si>
    <t>abril</t>
  </si>
  <si>
    <t>mayo</t>
  </si>
  <si>
    <t>jun</t>
  </si>
  <si>
    <t>feb</t>
  </si>
  <si>
    <t>Ene</t>
  </si>
  <si>
    <t xml:space="preserve">Acorde con la programación para e lmes de febrero se formaron un total de 531 mujeres, para un avance del 8% en la meta, en los siguientes procesos de formación:
a. Informática: Microsoft Word, Excel e Internet: se formaron 24 mujeres
b. Herramientas TIC - Fotografía digital: se formó una 1 mujer
c. Herramientas TIC - Manejo de Adobe PhotoShop: se formarón 2 mujeres
d. Habilidades Socioemocionales Moodle: Se formaron 25 mujeres
e. Educación Financiera Moodle: Se formaron 83 mujeres
f. Habilidades Socioemocionales - CID: fueron formadas 237 mujeres
g. Habilidades digitales: se formaron 148 mujeres
h. Introducción a los indicadores de género: se formaron 4 mujeres
i. Construcción y aplicación de indicadores de género en ideas de proyecto: se formaron 3 mujeres
j. Derechos de las mujeres y TIC: se formaron 4 mujeres.
Las facilitadoras realizan un seguimiento y recolección de aprendizajes mediante instrumentos previamente diseñados, que favorecen la identificación de beneficios para las mujeres que participan del proceso. 
</t>
  </si>
  <si>
    <t>No se presentan retrasos acorde con la programación</t>
  </si>
  <si>
    <t>Desde los procesos de formación SENA, las mujeres obtienen un conocimiento complementario base para cerrar las brechas tecnológicas de género en TIC’s, esto hace que las mujeres manifiesten que los conocimientos adquiridos les permiten ingresar al mundo laboral y/o estudiantil con mayor seguridad y ampliando sus oportunidades en diferentes ámbitos de la vida cotidiana.
En los procesos de formación propios de los CID, las mujeres experimentan una inmersión en los procesos tecnológicos desde procesos como “habilidades digitales” que promueven la alfabetización digital, “Habilidades socioemocionales” que desde lo tecnológico buscan el auto-conomiento y desarrollo de habilidades sociales en las mujeres del Distrito Capital, y “Curso Indicadores de Género” que buscan introducir a las mujeres en procesos de construcción de indicadores y aplicarlos en una idea concreta, en estos cursos las mujeres manifiestan que adquieren herramientas útiles para su vida personal, en este sentido expresan que su vida cambia positivamente al mejorar el relacionamiento con su familia, amistades, y otras personas de su circulo cercano.</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</si>
  <si>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</si>
  <si>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r>
      <t xml:space="preserve">En el mes de febrero se inicio la creación y montaje de 2 cursos de formación en la plataforma moodle:
1. Se realiza la implementación dentro de la Plataforma Moodle de la Secretaría Distrital de la Mujer la Escuela de Educación Emocional diseñando y virtualizando los contenidos de acuerdo con la estrategia metodológica y las prioridades establecidas por la Dirección de Gestión del Conocimiento. Adjunto imágenes de evidencia.
2. Se realiza el diseño de línea grafica para la virtualización del Curso Virtual Tres aspectos infaltables para que logres trabajar, compuesto de 6 módulos cada uno virtualizado en HTML, CSS y JavaScript, con sus actividades pedagógicas.
</t>
    </r>
    <r>
      <rPr>
        <b/>
        <sz val="11"/>
        <color theme="1"/>
        <rFont val="Times New Roman"/>
        <family val="1"/>
      </rPr>
      <t>Anexos:</t>
    </r>
    <r>
      <rPr>
        <sz val="11"/>
        <color theme="1"/>
        <rFont val="Times New Roman"/>
        <family val="1"/>
      </rPr>
      <t xml:space="preserve">
a. Soportes implementación del curso Escuela de Educación Emocional.
b. Soportes contenido del curso Tres aspectos infaltables para que logres trabajar.
c. Listado de cursos nuevos</t>
    </r>
  </si>
  <si>
    <r>
      <t xml:space="preserve">En el mes de enero,  se realizó el proceso de planeación estratégica y definición de productos en el marco de lo programado para la vigencia 2022, para el mes de febrero se inicia con la estrategia de convocatoria de los procesos de formación de la Dirección de Gestión del Conocimiento, dentro de las cuales se realizaron las siguientes acciones:
1. Publicaciones periodicas en las redes sociales oficiales de la entidad de los cursos Manejo de Herramientas de Microsoft Office y excel 2016, Habilidades Digitales para la Autonomia de la mujeres, Prevención de Violencias Digitales, Habilidades TIC uso de Microsoft word, excel e internet y Habilidades Socioemocionales
2. Subir los contenidos de 8 procesos de formación en la plataforma "Portal Bogotá", a partir del 14 de febrero,  con el fin de ampliar el alcance de convocatoria, los cursos se suben a la pagina cada lunes o martes de la semana.
</t>
    </r>
    <r>
      <rPr>
        <b/>
        <sz val="11"/>
        <color theme="1"/>
        <rFont val="Times New Roman"/>
        <family val="1"/>
      </rPr>
      <t>Anexos:</t>
    </r>
    <r>
      <rPr>
        <sz val="11"/>
        <color theme="1"/>
        <rFont val="Times New Roman"/>
        <family val="1"/>
      </rPr>
      <t xml:space="preserve">
a. Oferta formativa 2022 con link de inscripción
b. Cronograma y pantallazos de publicaciones en redes sociales
c. Listas de excel enviadas a "Portal Bogotá"</t>
    </r>
  </si>
  <si>
    <r>
      <t xml:space="preserve">Los procesos de formación con mujeres se inicia en el mes de febrero, alcanzaando un total de 531 mujeres en sus derechos a través de procesos de desarrollo de capacidades en el uso TIC, para un avance del 8% en la meta. Como parte de la presente actividad estratégica, se realiza un reporte por cada uno de los procesos adelantados en el marco de la meta de formación a mujeres en temas TIC, en total tres (3), estos son:
</t>
    </r>
    <r>
      <rPr>
        <b/>
        <sz val="11"/>
        <color theme="1"/>
        <rFont val="Times New Roman"/>
        <family val="1"/>
      </rPr>
      <t xml:space="preserve">Proceso Moodle:
</t>
    </r>
    <r>
      <rPr>
        <sz val="11"/>
        <color theme="1"/>
        <rFont val="Times New Roman"/>
        <family val="1"/>
      </rPr>
      <t xml:space="preserve">a. Habilidades Socioemocionales Moodle: Se formaron 25 mujeres
b. Educación Financiera Moodle: Se formaron 83 mujeres
</t>
    </r>
    <r>
      <rPr>
        <b/>
        <sz val="11"/>
        <color theme="1"/>
        <rFont val="Times New Roman"/>
        <family val="1"/>
      </rPr>
      <t xml:space="preserve">Proceso CID Presencial y Virtual:
</t>
    </r>
    <r>
      <rPr>
        <sz val="11"/>
        <color theme="1"/>
        <rFont val="Times New Roman"/>
        <family val="1"/>
      </rPr>
      <t xml:space="preserve">a. Habilidades Socioemocionales: fueron formadas 237 mujeres
b. Habilidades digitales: se formaron 148 mujeres
c. Introducción a los indicadores de género: se formaron 4 mujeres
d. Construcción y aplicación de indicadores de género en ideas de proyecto: se formaron 3 mujeres
e. Derechos de las mujeres y TIC: se formaron 4 mujeres.
</t>
    </r>
    <r>
      <rPr>
        <b/>
        <sz val="11"/>
        <color theme="1"/>
        <rFont val="Times New Roman"/>
        <family val="1"/>
      </rPr>
      <t>Otros procesos de formación -  SENA</t>
    </r>
    <r>
      <rPr>
        <sz val="11"/>
        <color theme="1"/>
        <rFont val="Times New Roman"/>
        <family val="1"/>
      </rPr>
      <t xml:space="preserve">:
a. Informática: Microsoft Word, Excel e Internet: se formaron 24 mujeres
b. Herramientas TIC - Fotografía digital: se formó una 1 mujer
c. Herramientas TIC - Manejo de Adobe PhotoShop: se formarón 2 mujeres
Las facilitadoras realizan un seguimiento y recolección de aprendizajes mediante instrumentos previamente diseñados, que favorecen la identificación de beneficios para las mujeres que participan del proceso.
Anexos:
a. Base  de datos consolidad CID
b. Base de datos consolidada SENA
c. Base de datos consolidada moodle </t>
    </r>
  </si>
  <si>
    <t xml:space="preserve">Los procesos de reconocimiento a mujeres se realizara a un grupo de participantes de los Centro de Inclusión Digital y/o localidad que se formaran en los cursos, esto como una estrategia para visibilizar los esfuerzos que realizan las mujeres para participar de estos espacios de formativos, asimismo, motivar a otras mujeres para que se vinculen en los procesos. 
Dado lo anterior, las jornadas de reconocimiento se iniciaran en el mes de marzo, esto acorde con la planeación y programación realizada. </t>
  </si>
  <si>
    <r>
      <t xml:space="preserve">Como parte de la planeación se coordinó con el área de almacén de la entidad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dió apertura del CID Santa Fé en el marco de la apertura de la Manzana del Cuidado del Centro. También se iniciaron las adecuaciones del CID de Antonio Nariño y  San Cristobal, los cuales serán entregados en el mes de marzo. 
</t>
    </r>
    <r>
      <rPr>
        <b/>
        <sz val="11"/>
        <color theme="1"/>
        <rFont val="Times New Roman"/>
        <family val="1"/>
      </rPr>
      <t>Anexos:</t>
    </r>
    <r>
      <rPr>
        <sz val="11"/>
        <color theme="1"/>
        <rFont val="Times New Roman"/>
        <family val="1"/>
      </rPr>
      <t xml:space="preserve">
a. Fotos adecuaciones CID Nuevos
b. Cronograma y seguimiento de adecuaciones.
</t>
    </r>
  </si>
  <si>
    <r>
      <t xml:space="preserve">Aunque el proceso de construcción de la memoria de los procesos de formación 2022  iniciara en el mes de julio, se realizó en febrero la recolección de material como fotos y videos que sirvan de insumo para la elaboración de este producto.
</t>
    </r>
    <r>
      <rPr>
        <b/>
        <sz val="11"/>
        <color theme="1"/>
        <rFont val="Times New Roman"/>
        <family val="1"/>
      </rPr>
      <t xml:space="preserve">
Anexos</t>
    </r>
    <r>
      <rPr>
        <sz val="11"/>
        <color theme="1"/>
        <rFont val="Times New Roman"/>
        <family val="1"/>
      </rPr>
      <t>:
a. Fotos y videos memoria de formación</t>
    </r>
  </si>
  <si>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</si>
  <si>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Actividad no programada para el periodo de reporte</t>
  </si>
  <si>
    <t>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t>
  </si>
  <si>
    <t>El contrato interadministrativo 835 de 2021 suscrito con la Universidad Nacional de Colombia para el desarrollo de diplomados virtuales, se encuentra en ejecución su desembolso esta programado para el mes de abril de 2022.</t>
  </si>
  <si>
    <t>Para el mes de enero no se programó avance, sin embargo se dio inicio a actividades de planeación y alistamiento, asociadas a la ruta de divulgación, divulgación del Decreto 332 de 2020 para definir pautas desde la SDMujer de inclusión laboral con enfoque de género, de igual forma se avanzó en la construcción de un directorio de actores claves por diseñar e implementar programas de generación de ingresos con enfoque de género para la reactivación económica y se inicia la implementación del primer programa de generación de ingresos de la SDMujer dirigido a mujeres cuidadoras y se estructura una estrategia de alianzas con el sector privado y la cooperación para definir intervenciones que permitan cerrar brechas en el mercado laboral. Durante el mes de febrero, desde el equipo territorial de la E&amp;E se participó en 29 espacios de divulgación de programas de empleo y generación de ingresos en donde se realizaron 165 orientaciones a mujeres y 422 registros. Así mismo, se realizó el Informe consolidado de los reportes remitidos por las entidades y organismos distritales frente al cumplimiento de las medidas contenidas en el Decreto 332 de 2020 para ser remitido a la Secretaría Jurídica Distrital. De igual manera, se consolidó el cierre de análisis de los programas de generación de ingresos y empleo de EMRE de 2021. Se realizó el ejercicio preparatorio para la primera mesa de género de EMRE de la vigencia 2022 para la proyección de metas de género 2022 y cierre 2021. Finalmente, se avanzó en la recolección de insumos de experiencias de implementación de programas de generación de ingresos de 2021 y de bibliografía de interés para el diseño de un nuevo programa proyectado para el primer semestre de la vigencia.</t>
  </si>
  <si>
    <t>Por medio de las líneas de la estrategia de emprendimiento y empleabilidad, se beneficiará a las mujeres en orientarlas acerca de programas de generación de ingresos y empleo, por medio de una línea normativa establecida en el Decreto 332 para reducir brechas de acceso en el mercado laboral y un modeo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</si>
  <si>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Para el mes de febrero el equipo territorial realizó 165 orientaciones y 422 registros. Anexos: 1. Orientación y registros Estrategia E&amp;E Febrero. </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</si>
  <si>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por otra parte se brindó asistencia técnica por correo electrónico a 2 entidades y organismos del distrito y vía telefónica a 12 entidades y organismos distritales, resolviendo los requerimientos o inquietudes referentes a la implementación del Decreto 332 de 2020 y al diligenciamiento del reporte de información de cumplimiento del mismo. Anexos: 1. Reunión UTA 27-01-22; 2. Asistencia Técnica Alcaldía Rafael Uribe Uribe 27-01-22;  3. Asistencia Técnica IDRD 19-01-22, 9.2.3. PLANILLA ASISTENCIA TÉCNICA DECRETO 332 DE 2020. 
Para el mes de febrero, se desarrollaron los siguientes avances: i) infografías del Decreto 332 de 2020 dirigidas al sector público y privado. ii) Se realizaron cinco (5) sesiones de divulgación y acompañamiento técnico del Decreto 332 de 2020 con la Alcaldía Local de Usaquén, IDPAC, IDIPRON, Secretaría Distrital de Ambiente y algunas de las entidades pertenecientes al sector administrativo de cultura, recreación y deporte; iii) y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DecretoAnexos: Anexo 1. (evidencias 1. Infografía sector público, 2. Infografía sector privado). Anexo 2: (evidencias 3. Asistencia Usaquén, 4. Asistencia Idpac, 5. Asistencia entidades secretaria de cultura, 6. asistencia Idipron, 7. Asistencia secretaria distrital de ambiente); Anexo 3: (evidencias 8. vf. informe 01-2022-sdm, 9. instrumento seguimiento decreto 332-2020)</t>
  </si>
  <si>
    <t>Para el mes de enero no se programó la actividad, sin embargo se inició la etapa de diseñó entre el equipo de empleo y el equipo de generación de ingresos del cronograma de gestión y seguimiento que se llevara a cabo a través de mesas técnicas con cada uno de los programas EMRE durante este año. 
Anexos: 1. Se anexa plan de trabajo Mesas EMRE 2022.
Para el mes de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Ecoconducción, y se están gestionando impulso al empleo y ruta de empleo. Anexos: 1. Cuadro Emre Consolidado; 2. Ppt seguimiento programas.</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</si>
  <si>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t>
  </si>
  <si>
    <t>En el mes de febrero se realizaron las siguientes gestiones
1.Pacto Global Reunión sobre las prioridades de trabajo para el 2022. Gestión para lograr la participación de la SDMujer en el blog del Pacto Global por medio de un artículo
2.Coca- Cola FEMSA Reunión para revisar el plan para la promoción de  empleabilidad  para las mujeres. La empresa socializará las vacantes con la SDMujer y la SDMujer revisará la posibilidad de proponer un plan de formación para las mujeres
3.SODEXO Reunión organizada por la DDDP con asistencia de Alianzas. Se expuso la propuesta de SODEXO sobre la iniciativa de promover la empleabilidad de las mujeres.
4.ADIDAS. Reunión organizada por la DDDP, con la asistencia de Alianzas. En esta reunión ADIDAS expuso su propuesta en materia de promoción de la empleabilidad para mujeres
5.DIDI FOODS Reunión para establecer una hoja de ruta para la articulación de la alianza entre Didi foods y SD Mujer. Gestiones de apoyo en la elaboración memorando de entendimiento
6.Bancamía Reunión organizada por ONU Mujeres para articular posibles acciones conjuntas entre Bancamía y el Sistema de Cuidado.  Pendiente reunión con equipo de E&amp;E
7.Colsubsidio Reunión de articulación para conocer la ruta de atención integral de la agencia de empleo y proponer ejes de trabajo conjunto para superar brechas de acceso a la ruta
8.Estrategia E&amp;E – alianzas. Reunión interna  equipos de E&amp;E y Alianzas para hacer seguimiento a los avances con los aliados privados. Reunión con la Subsecretaria Diana Parra y los equipos de E&amp;E y Alianzas con el fin de definir las prioridades y metas para trabajar en empleabilidad con el sector privado
9.Banco Mundial Reunión en la cual el Banco Mundial presentó una propuesta de asistencia técnica a la SDMujer para fortalecer las iniciativas vigentes de empleabilidad, empleo y emprendimiento de las mujeres cuidadoras del Sistema de Cuidado en Bogotá.</t>
  </si>
  <si>
    <t>Avance en ruta de divulgación: 5 ferias (Kennedy, Engativá) orientación a mujeres en programas de empleo y formación para el trabajo. Divulgación Decreto.332-2020 pautas inclusión laboral con enfoque.género. Construcción directorio: actores claves programa generación de ingreso con enfoque de género</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</si>
  <si>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</si>
  <si>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t>
  </si>
  <si>
    <t>En enero no se programa avance en la actividad, sin embargo inicia la estructuración de los términos de referencia de la convocatoria y al formulario de inscripción y así mismo en el borrador del manual operativo se estructura la convocatoria y la estrategia de divulgación del programa.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t>
  </si>
  <si>
    <t>Para el mes de enero y febrero no se reportan actividades puesto que el seguimiento a las horas de formación y mentoría se realizará en la fase de implementación del programa aproximadamente para el mes de abril.</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</si>
  <si>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</si>
  <si>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</si>
  <si>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No se presentan retrasos conforme a lo programado.</t>
  </si>
  <si>
    <r>
      <t xml:space="preserve">Acorde con la programación para elmes de febrero se formaron un total de 531 mujeres, para un avance del 8% en la meta, en los siguientes procesos de formación:
a. Informática: Microsoft Word, Excel e Internet: se formaron 24 mujeres
b. Herramientas TIC - Fotografía digital: se formó una 1 mujer
c. Herramientas TIC - Manejo de Adobe PhotoShop: se formarón 2 mujeres
d. Habilidades Socioemocionales Moodle: Se formaron 25 mujeres
e. Educación Financiera Moodle: Se formaron 83 mujeres
f. Habilidades Socioemocionales - CID: fueron formadas 237 mujeres
g. Habilidades digitales: se formaron 148 mujeres
h. Introducción a los indicadores de género: se formaron 4 mujeres
i. Construcción y aplicación de indicadores de género en ideas de proyecto: se formaron 3 mujeres
j. Derechos de las mujeres y TIC: se formaron 4 mujeres.
Las facilitadoras realizan un seguimiento y recolección de aprendizajes mediante instrumentos previamente diseñados, que favorecen la identificación de beneficios para las mujeres que participan del proceso. 
</t>
    </r>
    <r>
      <rPr>
        <b/>
        <sz val="11"/>
        <color theme="1"/>
        <rFont val="Times New Roman"/>
        <family val="1"/>
      </rPr>
      <t>Anexos:</t>
    </r>
    <r>
      <rPr>
        <sz val="11"/>
        <color theme="1"/>
        <rFont val="Times New Roman"/>
        <family val="1"/>
      </rPr>
      <t xml:space="preserve">
a. Base de datos consolidada SIMISIONAL</t>
    </r>
  </si>
  <si>
    <t>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t>
  </si>
  <si>
    <t>Meta no programada para el periodo</t>
  </si>
  <si>
    <r>
      <t>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t>
    </r>
    <r>
      <rPr>
        <b/>
        <sz val="11"/>
        <color theme="1"/>
        <rFont val="Times New Roman"/>
        <family val="1"/>
      </rPr>
      <t xml:space="preserve"> 422</t>
    </r>
    <r>
      <rPr>
        <sz val="11"/>
        <color theme="1"/>
        <rFont val="Times New Roman"/>
        <family val="1"/>
      </rPr>
      <t xml:space="preserve"> registros en la Ruta de  Divulgación y Orientación.</t>
    </r>
  </si>
  <si>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t>
  </si>
  <si>
    <t>Para el mes de Marzo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t>
  </si>
  <si>
    <r>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t>
    </r>
    <r>
      <rPr>
        <b/>
        <sz val="11"/>
        <color theme="1"/>
        <rFont val="Times New Roman"/>
        <family val="1"/>
      </rPr>
      <t>165</t>
    </r>
    <r>
      <rPr>
        <sz val="11"/>
        <color theme="1"/>
        <rFont val="Times New Roman"/>
        <family val="1"/>
      </rPr>
      <t xml:space="preserve"> mujeres orientadas a través de la Ruta de Divulgación y Orientación.</t>
    </r>
  </si>
  <si>
    <t>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t>
  </si>
  <si>
    <t xml:space="preserve">M1 (100%) </t>
  </si>
  <si>
    <t>PROGRAMADO</t>
  </si>
  <si>
    <t>EJECUTADO</t>
  </si>
  <si>
    <t>Febrero: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Enero: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</si>
  <si>
    <t>NOTA</t>
  </si>
  <si>
    <t>El reporte de mujeres formadas se realizara de manera mensual, y los recursos presupuestales se realizará de manera trimestral acorde con el reporte SEGPLAN</t>
  </si>
  <si>
    <t>h</t>
  </si>
  <si>
    <r>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t>
    </r>
    <r>
      <rPr>
        <sz val="11"/>
        <color rgb="FFFF0000"/>
        <rFont val="Times New Roman"/>
        <family val="1"/>
      </rPr>
      <t xml:space="preserve"> </t>
    </r>
  </si>
  <si>
    <t xml:space="preserve">5.	Urban Challenges. Se asistió a la clausura del proyecto “Haciendo el transporte público más seguro para todos”. Presentación del proyecto “Manual para la identificación de mejores prácticas para superar las barreras que tienen las mujeres para acceder a empleos tradicionalmente masculinizados, como lo es el de conductoras de buses” implementado en Bogotá de la mano de Transmilenio, la Secretaría de Movilidad y la Secretaría de la Mujer. (10.02.22).
6.	Bancamía. Reunión organizada por ONU Mujeres para articular posibles acciones conjuntas entre Bancamía y el Sistema de Cuidado.  Pendiente hace reunión con equipo de E&amp;E. (14.02.22).
7.	Vicala. Reunión para afianzar la alianza entre Vicala y la SD Mujer, que consistirá en un acuerdo de voluntades por medio del cual, Vicala ofrece los insumos (aportará el conocimiento en la elaboración de las toallas higiénicas reutilizables, como herramienta de emprendimiento) y la SD Mujer, la línea técnica. La población objetivo son las mujeres que se encuentran recluidas en el anexo de la Cárcel Distrital de Bogotá. (15.02.22).
8.	Save The Children. Se llevó a cabo reuniones para exponerle a Save the Children la posibilidad de obtener su apoyo en el proceso de donación del dispositivo electrónico que desea donar la Fundación Sesamo a la SDMujer, para que sea instalado en Casa de Todas. Lo anterior debido a la imposibilidad de recibirlo de manera directa por parte de la SDMujer, dada la vigencia actual de la ley de garantías. En una segunda reunión que contó con la participación de la Fundación Sesamo, se amplió la información acerca del dispositivo y del proceso de donación.. (16 y 23 de febrero de 2022).
9.	Universidad Nacional de Colombia - Facultad de Enfermería. Reunión con la Facultad de Enfermería de la Universidad Nacional para lograr articular dos de los programas de la facultad: Cuidado y género y el Programa cardiovascular. La Facultad concretará la propuesta de articulación y la presentará en una segunda reunión. (17.02.22).
10.	Banco Mundial. Reunión con Santiago de la Cadena del Banco Mundial, la experta Ana Falú y Natalia Moreno, Directora del Sistema de Cuidado, con el fin de evaluar la posibilidad de obtener el apoyo de la señora Falú (financiado por el Banco), en el proceso de afinamiento del Diseño de las Manzanas de Cuidado y seguimiento a la implementación del POT en lo correspondiente a la estrategia de las manzanas de cuidado. (23.02.22). </t>
  </si>
  <si>
    <t>11.	WRI Ross Center. Se revisó y dieron observaciones al formulario para aplicar a la convocatoria de esta organización postulando al Sistema Distrital de Cuidado.  
12.	UNESCO. Gestiones para que la SDMujer aplique al premio Construir Igualdad de la CIPDH-UNESCO con la Política Pública de Mujer y Equidad de género. Borrador del formulario articulación con la DDDP. 
13.	Open Society Foundations. Gestiones para preparar el evento de intercambio de buenas prácticas en temas de cuidado y vistas técnicas a Argentina y Uruguay, ambos a ser financiados por esta entidad. 
14.	CIDEU. Reunión con esta red, con el fin de concretar acciones de visibilización de los productos del Grupo de Trabajo de Ciudades Globales y Transversalidad de Género (23.04.22)
15.	Task Force Interamericano sobre el liderazgo de las mujeres. Gestiones para que la SDMujer aplique al Premio Interamericano a las Buenas Prácticas para el Liderazgo de las Mujeres con la Estrategia Bogotá 50/50: Ruta por la paridad de género en el Gobierno Abierto. Borrador del formulario articulación con Dirección de Territorialización de Derechos y Participación. (22.02.22)
16.	I Foro de Alcaldesas y Concejalas Iberoamericanas. Reunión de seguimiento al I Foro se acordó la fecha del foro, se socializó los temas prioritarios de las 4 ciudades participantes (Barcelona, Ciudad de México, Montevideo y Bogotá) y se delegaron actividades para la realización del foro. Se realizó el documento de trabajo para la participación en el foro. (16.02.22).
ANEXOS: 1)  Acta reunión. 2) Evidencia asistencia reuniones, correos electrónicos. 3) Evidencia asistencia a la reunión, correos electrónicos.  4) Evidencia asistencia reuniones, correos electrónicos seguimiento.  5)Evidencia asistencia a la reunión. 6) Evidencia asistencia a la reunión. 7) Acta de reunión. 8) Actas de reunión . 9) Acta de reunión. 10) Evidencia asistencia reuniones, correos electrónicos.  11)	Evidencia reunión, borrador formulario aplicación. 12)	Evidencia reunión, borrador formulario y correos. electrónicos de seguimiento.  13) Evidencia reuniones.</t>
  </si>
  <si>
    <t>Durante el mes febrero de 2022 se gestionaron alianzas con 26 actores nacionales, internacionales, públicos y privados, con el fin de favorecer iniciativas asociadas a la Política Pública de Mujeres y Equidad de Género del Distrito Capital. 
I_ Las  gestiones con 10 aliados derivaron en acciones concretas: 
1.	Centro Carter. Se realizó reunión con el Centro Carter, con el fin de presentar a las 12 ciudades ganadoras entre las que se encuentra Bogotá, de su campaña “Informando a las mujeres, Transformando Vidas”. Asimismo, se expusieron las consideraciones principales de la campaña. Este premio aportará al fortalecimiento de la estrategia de cambio cultural del Sistema de Cuidado. El proceso será liderado por la Asesora de Comunicaciones de la SDMujer. (02.02.22)
2.	Grupo de Trabajo Género, Empresas y Derechos Humanos. ONU DDHH - FIP Asistencia a la sesión correspondiente al mes de febrero junto con representante de la DDDP. Presentación de la estrategia de trabajo 2022-2023 y los resultados del año 2021. (02.02.22)
3.	Save The Children. Reunión de seguimiento al MoU suscrito en octubre de 2021 entre la Fundación y la Secretaría”. La SDMujer solicitó apoyo para la instalación de una nueva sala de lactancia en la manzana de Santafé, para lo cual se realizó reunión para articular con la Secretaría de Integración social, las gestiones en materia de lactancia materna. Se articuló con Save the Children para que la fundación hiciera una visita técnica al espacio de la manzana de Santa Fe en el cual se adecuará la sala de lactancia materna que donará esta organización. (02, 16 de febrero de 2022).
4.	Banco Interamericano de Desarrollo –BID. i) BPR: Reunión de seguimiento a los avances en el marco del proyecto Comunidades Cuidadoras, ganador de la Convocatoria Bienes Públicos Regionales, con la participación de las ciudades de Montevideo, Lima, Río de Janeiro y Bogotá. (07.02.22); ii) Piloto Mártires: Reunión con el BID, en la cual el cooperante anunció que la Casa de la Mujer fue elegida como la organización que operará el Piloto de eliminación de barreras para la formación de cuidadoras de la Manzana de los Mártires. Se llegaron a acuerdos sobre el paso a paso para dar inicio al piloto (22.02.22)</t>
  </si>
  <si>
    <t>Cargo: Contratista DGC / Contratistas SCPI</t>
  </si>
  <si>
    <t xml:space="preserve"> Se plantean las temáticas de los cursos y se revisa la modalidad de contratación con el fin de revisar si se debe modificar.</t>
  </si>
  <si>
    <t>Se avanzó en la revisión bibliográfica de programas de generación de ingresos dirigidos a mujeres, mujeres cuidadoras o mujeres rurales</t>
  </si>
  <si>
    <t>Feb (producto doc.lin.técnicos)</t>
  </si>
  <si>
    <t>Febrero - 531 mujeres formadas en, Informática: Word, Excel e Internet: 24, Herramientas TIC: 1, Adobe PhotoShop: 2, Socioemocionales.Moodle: 25, Edu.Fin: 83, Hab.Socioemocionales.CID: 237, Hab.Digitales: 148, Indicadores.género: 4, Aplicación.ind.género: 3 mujeres. Derechos.mujeres y TIC: 4.</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</si>
  <si>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</si>
  <si>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Ene (ind.gestión)</t>
  </si>
  <si>
    <t>Feb (ind.gestión)</t>
  </si>
  <si>
    <t>Desde el equipo territorial de la E&amp;E se participó en 29 espacios de divulgación de programas de empleo y generación de ingresos en donde se realizaron 165 orientaciones a mujeres y 422 registros.</t>
  </si>
  <si>
    <t>Gestiones para promover alianzas que contribuyan a la implementación de la estrategia de emprendimiento y empleabilidad: Pacto Global, Coca- Cola FEMSA, SODEXO, ADIDAS, DIDI FOODS, Bancamía, Colsubsidio, Estrategia E&amp;E – alianzas (reunión interna). Banco Mundial.</t>
  </si>
  <si>
    <t>Se plantea la necesidad de elaborar un plan de trabajo con el equipo de comunicaciones para desarrollar el pilotaje de la convocatoria, los copies, intensidad de la divulgación, piezas de comunicaciones a fin de poder lanzar la convocatoria del programa en el marco del 8 de marzo</t>
  </si>
  <si>
    <t>En febrero, se plantean las temáticas de los cursos y se revisa la modalidad de contratación con el fin de revisar si se debe modificar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</si>
</sst>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 #,##0;\-&quot;$&quot;\ #,##0"/>
    <numFmt numFmtId="6" formatCode="&quot;$&quot;\ #,##0;[Red]\-&quot;$&quot;\ #,##0"/>
    <numFmt numFmtId="7" formatCode="&quot;$&quot;\ #,##0.00;\-&quot;$&quot;\ #,##0.00"/>
    <numFmt numFmtId="42" formatCode="_-&quot;$&quot;\ * #,##0_-;\-&quot;$&quot;\ * #,##0_-;_-&quot;$&quot;\ * &quot;-&quot;_-;_-@_-"/>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0_ ;\-#,##0\ "/>
    <numFmt numFmtId="179" formatCode="0.000"/>
    <numFmt numFmtId="180" formatCode="0.00000"/>
    <numFmt numFmtId="181" formatCode="0.0000"/>
    <numFmt numFmtId="182" formatCode="&quot;$&quot;#,##0.00"/>
    <numFmt numFmtId="183" formatCode="&quot;$&quot;\ #,##0.00"/>
    <numFmt numFmtId="184" formatCode="#,###\ &quot;COP&quot;"/>
    <numFmt numFmtId="185" formatCode="#,##0.0"/>
    <numFmt numFmtId="186" formatCode="0.0"/>
    <numFmt numFmtId="187" formatCode="#,##0.00000000000000"/>
    <numFmt numFmtId="188" formatCode="#,##0.0000"/>
  </numFmts>
  <fonts count="84">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b/>
      <sz val="8"/>
      <color theme="1"/>
      <name val="Calibri"/>
      <family val="2"/>
      <scheme val="minor"/>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sz val="10"/>
      <color theme="1"/>
      <name val="Arial"/>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1"/>
      <color indexed="81"/>
      <name val="Tahoma"/>
      <family val="2"/>
    </font>
    <font>
      <sz val="11"/>
      <color indexed="81"/>
      <name val="Tahoma"/>
      <family val="2"/>
    </font>
    <font>
      <b/>
      <sz val="10"/>
      <color indexed="81"/>
      <name val="Tahoma"/>
      <family val="2"/>
    </font>
    <font>
      <sz val="10"/>
      <color indexed="81"/>
      <name val="Tahoma"/>
      <family val="2"/>
    </font>
    <font>
      <sz val="8.5"/>
      <color theme="1"/>
      <name val="Times New Roman"/>
      <family val="1"/>
    </font>
    <font>
      <b/>
      <sz val="9"/>
      <color indexed="8"/>
      <name val="Times New Roman"/>
      <family val="1"/>
    </font>
  </fonts>
  <fills count="4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36">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184" fontId="71" fillId="0" borderId="0" applyFont="0" applyFill="0" applyBorder="0" applyAlignment="0" applyProtection="0"/>
  </cellStyleXfs>
  <cellXfs count="1101">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32" xfId="10" applyNumberFormat="1"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7" fillId="0" borderId="1" xfId="0" applyFont="1" applyBorder="1" applyAlignment="1">
      <alignment horizontal="center" vertical="center" wrapText="1"/>
    </xf>
    <xf numFmtId="3" fontId="32" fillId="0" borderId="1" xfId="0" applyNumberFormat="1" applyFont="1" applyBorder="1" applyAlignment="1">
      <alignment horizontal="center" vertical="center"/>
    </xf>
    <xf numFmtId="2" fontId="12" fillId="0" borderId="10" xfId="22" applyNumberFormat="1" applyFont="1" applyBorder="1" applyAlignment="1">
      <alignment horizontal="center" vertical="center" wrapText="1"/>
    </xf>
    <xf numFmtId="0" fontId="12" fillId="9" borderId="10" xfId="22" applyFont="1" applyFill="1" applyBorder="1" applyAlignment="1">
      <alignment horizontal="left" vertical="center" wrapText="1"/>
    </xf>
    <xf numFmtId="9" fontId="12" fillId="0" borderId="1" xfId="22"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8" fontId="12" fillId="0" borderId="10" xfId="10" applyNumberFormat="1" applyFont="1" applyFill="1" applyBorder="1" applyAlignment="1" applyProtection="1">
      <alignment horizontal="center" vertical="center" wrapText="1"/>
    </xf>
    <xf numFmtId="9" fontId="0" fillId="0" borderId="0" xfId="28"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9" fontId="46" fillId="29" borderId="0" xfId="0" applyNumberFormat="1" applyFont="1" applyFill="1" applyAlignment="1">
      <alignment horizontal="center" vertical="center"/>
    </xf>
    <xf numFmtId="179" fontId="47" fillId="29" borderId="0" xfId="0" applyNumberFormat="1" applyFont="1" applyFill="1" applyAlignment="1">
      <alignment horizontal="center" vertical="center"/>
    </xf>
    <xf numFmtId="0" fontId="46" fillId="30" borderId="0" xfId="0" applyFont="1" applyFill="1" applyAlignment="1">
      <alignment horizontal="center" vertical="center"/>
    </xf>
    <xf numFmtId="180"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2" applyFont="1" applyFill="1" applyBorder="1" applyAlignment="1">
      <alignment horizontal="center" vertical="center" wrapText="1"/>
    </xf>
    <xf numFmtId="0" fontId="12" fillId="0" borderId="47" xfId="22" applyFont="1" applyBorder="1" applyAlignment="1">
      <alignment horizontal="left" vertical="center" wrapText="1"/>
    </xf>
    <xf numFmtId="9" fontId="11" fillId="0" borderId="47" xfId="29" applyFont="1" applyFill="1" applyBorder="1" applyAlignment="1" applyProtection="1">
      <alignment horizontal="center" vertical="center" wrapText="1"/>
      <protection locked="0"/>
    </xf>
    <xf numFmtId="181" fontId="12" fillId="0" borderId="10" xfId="22" applyNumberFormat="1" applyFont="1" applyBorder="1" applyAlignment="1">
      <alignment horizontal="center" vertical="center" wrapText="1"/>
    </xf>
    <xf numFmtId="5" fontId="20" fillId="0" borderId="32" xfId="10" applyNumberFormat="1" applyFont="1" applyBorder="1" applyAlignment="1">
      <alignment vertical="center"/>
    </xf>
    <xf numFmtId="5" fontId="20" fillId="0" borderId="1" xfId="10" applyNumberFormat="1" applyFont="1" applyBorder="1" applyAlignment="1">
      <alignment vertical="center"/>
    </xf>
    <xf numFmtId="0" fontId="48" fillId="32" borderId="1" xfId="34" applyFont="1" applyFill="1" applyBorder="1" applyAlignment="1">
      <alignment horizontal="center" vertical="center" wrapText="1"/>
    </xf>
    <xf numFmtId="0" fontId="48" fillId="33" borderId="1" xfId="34" applyFont="1" applyFill="1" applyBorder="1" applyAlignment="1">
      <alignment horizontal="center" vertical="center" wrapText="1"/>
    </xf>
    <xf numFmtId="0" fontId="48" fillId="15" borderId="1" xfId="34"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5" applyFont="1" applyFill="1" applyBorder="1" applyAlignment="1">
      <alignment horizontal="center" vertical="center" wrapText="1"/>
    </xf>
    <xf numFmtId="182" fontId="48" fillId="15" borderId="1" xfId="34" applyNumberFormat="1" applyFont="1" applyFill="1" applyBorder="1" applyAlignment="1">
      <alignment horizontal="center" vertical="center" wrapText="1"/>
    </xf>
    <xf numFmtId="182" fontId="49" fillId="0" borderId="1" xfId="34"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8"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9" fontId="5" fillId="0" borderId="1" xfId="16" applyFont="1" applyBorder="1" applyAlignment="1">
      <alignment horizontal="left" vertical="center"/>
    </xf>
    <xf numFmtId="168"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8"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8" fontId="58" fillId="35" borderId="4" xfId="0" applyNumberFormat="1" applyFont="1" applyFill="1" applyBorder="1" applyAlignment="1">
      <alignment horizontal="right" vertical="center" wrapText="1"/>
    </xf>
    <xf numFmtId="168"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8"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8" applyFont="1" applyFill="1" applyBorder="1" applyAlignment="1">
      <alignment horizontal="left" vertical="center"/>
    </xf>
    <xf numFmtId="169" fontId="5" fillId="18" borderId="1" xfId="16"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8"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0" fillId="37" borderId="1" xfId="0" applyFont="1" applyFill="1" applyBorder="1" applyAlignment="1">
      <alignment vertical="center" wrapText="1"/>
    </xf>
    <xf numFmtId="0" fontId="60" fillId="24" borderId="1" xfId="0" applyFont="1" applyFill="1" applyBorder="1" applyAlignment="1">
      <alignment vertical="center" wrapText="1"/>
    </xf>
    <xf numFmtId="4" fontId="61" fillId="14" borderId="1" xfId="0" applyNumberFormat="1" applyFont="1" applyFill="1" applyBorder="1" applyAlignment="1">
      <alignment horizontal="center" vertical="center" wrapText="1"/>
    </xf>
    <xf numFmtId="0" fontId="62" fillId="0" borderId="0" xfId="0" applyFont="1" applyAlignment="1">
      <alignment vertical="top"/>
    </xf>
    <xf numFmtId="0" fontId="60" fillId="0" borderId="0" xfId="0" applyFont="1" applyAlignment="1">
      <alignment vertical="top"/>
    </xf>
    <xf numFmtId="14" fontId="60" fillId="0" borderId="0" xfId="0" applyNumberFormat="1" applyFont="1" applyAlignment="1">
      <alignment horizontal="right" vertical="top"/>
    </xf>
    <xf numFmtId="3" fontId="62" fillId="0" borderId="0" xfId="0" applyNumberFormat="1" applyFont="1" applyAlignment="1">
      <alignment horizontal="right" vertical="top"/>
    </xf>
    <xf numFmtId="14" fontId="62" fillId="0" borderId="0" xfId="0" applyNumberFormat="1" applyFont="1" applyAlignment="1">
      <alignment horizontal="right" vertical="top"/>
    </xf>
    <xf numFmtId="14" fontId="62" fillId="0" borderId="0" xfId="0" applyNumberFormat="1" applyFont="1" applyAlignment="1">
      <alignment vertical="top"/>
    </xf>
    <xf numFmtId="3" fontId="62" fillId="0" borderId="0" xfId="0" applyNumberFormat="1" applyFont="1" applyAlignment="1">
      <alignment vertical="top"/>
    </xf>
    <xf numFmtId="3" fontId="60" fillId="0" borderId="0" xfId="0" applyNumberFormat="1" applyFont="1" applyAlignment="1">
      <alignment vertical="top"/>
    </xf>
    <xf numFmtId="0" fontId="64" fillId="0" borderId="0" xfId="0" applyFont="1"/>
    <xf numFmtId="0" fontId="63" fillId="0" borderId="0" xfId="0" applyFont="1"/>
    <xf numFmtId="0" fontId="64" fillId="0" borderId="0" xfId="0" applyFont="1" applyAlignment="1">
      <alignment wrapText="1"/>
    </xf>
    <xf numFmtId="0" fontId="63" fillId="0" borderId="0" xfId="0" applyFont="1" applyAlignment="1">
      <alignment wrapText="1"/>
    </xf>
    <xf numFmtId="4" fontId="63" fillId="0" borderId="0" xfId="0" applyNumberFormat="1" applyFont="1"/>
    <xf numFmtId="0" fontId="63" fillId="18" borderId="0" xfId="0" applyFont="1" applyFill="1" applyAlignment="1">
      <alignment wrapText="1"/>
    </xf>
    <xf numFmtId="0" fontId="63" fillId="18" borderId="0" xfId="0" applyFont="1" applyFill="1"/>
    <xf numFmtId="0" fontId="64" fillId="18" borderId="0" xfId="0" applyFont="1" applyFill="1"/>
    <xf numFmtId="4" fontId="63"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8" applyFont="1" applyFill="1" applyBorder="1" applyAlignment="1">
      <alignment horizontal="left" vertical="center"/>
    </xf>
    <xf numFmtId="9" fontId="5" fillId="27" borderId="1" xfId="28" applyFont="1" applyFill="1" applyBorder="1" applyAlignment="1">
      <alignment horizontal="center" vertical="center"/>
    </xf>
    <xf numFmtId="0" fontId="5" fillId="27" borderId="1" xfId="10" applyNumberFormat="1" applyFont="1" applyFill="1" applyBorder="1" applyAlignment="1">
      <alignment horizontal="center" vertical="center"/>
    </xf>
    <xf numFmtId="169" fontId="5" fillId="27" borderId="1" xfId="16"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3" fillId="27" borderId="0" xfId="0" applyFont="1" applyFill="1"/>
    <xf numFmtId="0" fontId="64" fillId="27" borderId="0" xfId="0" applyFont="1" applyFill="1"/>
    <xf numFmtId="4" fontId="63" fillId="27" borderId="0" xfId="0" applyNumberFormat="1" applyFont="1" applyFill="1"/>
    <xf numFmtId="0" fontId="0" fillId="27" borderId="0" xfId="0" applyFill="1"/>
    <xf numFmtId="4" fontId="56" fillId="27" borderId="0" xfId="0" applyNumberFormat="1" applyFont="1" applyFill="1" applyAlignment="1">
      <alignment wrapText="1"/>
    </xf>
    <xf numFmtId="172" fontId="63" fillId="0" borderId="0" xfId="0" applyNumberFormat="1" applyFont="1"/>
    <xf numFmtId="183" fontId="64" fillId="0" borderId="0" xfId="0" applyNumberFormat="1" applyFont="1"/>
    <xf numFmtId="183" fontId="64" fillId="18" borderId="0" xfId="0" applyNumberFormat="1" applyFont="1" applyFill="1"/>
    <xf numFmtId="183" fontId="64" fillId="27" borderId="0" xfId="0" applyNumberFormat="1" applyFont="1" applyFill="1"/>
    <xf numFmtId="183" fontId="63" fillId="0" borderId="0" xfId="0" applyNumberFormat="1" applyFont="1"/>
    <xf numFmtId="172" fontId="66"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4" fillId="0" borderId="0" xfId="0" applyFont="1" applyAlignment="1">
      <alignment vertical="center" wrapText="1"/>
    </xf>
    <xf numFmtId="183" fontId="64" fillId="38" borderId="0" xfId="0" applyNumberFormat="1" applyFont="1" applyFill="1"/>
    <xf numFmtId="4" fontId="5" fillId="38" borderId="1" xfId="0" applyNumberFormat="1" applyFont="1" applyFill="1" applyBorder="1" applyAlignment="1">
      <alignment horizontal="right" vertical="center"/>
    </xf>
    <xf numFmtId="0" fontId="67" fillId="18" borderId="1" xfId="0" applyFont="1" applyFill="1" applyBorder="1" applyAlignment="1">
      <alignment horizontal="left" vertical="center"/>
    </xf>
    <xf numFmtId="0" fontId="67" fillId="18" borderId="1" xfId="0" applyFont="1" applyFill="1" applyBorder="1" applyAlignment="1">
      <alignment horizontal="center" vertical="center"/>
    </xf>
    <xf numFmtId="0" fontId="67" fillId="18" borderId="1" xfId="0" applyFont="1" applyFill="1" applyBorder="1" applyAlignment="1">
      <alignment horizontal="right" vertical="center"/>
    </xf>
    <xf numFmtId="9" fontId="67" fillId="18" borderId="1" xfId="28" applyFont="1" applyFill="1" applyBorder="1" applyAlignment="1">
      <alignment horizontal="center" vertical="center"/>
    </xf>
    <xf numFmtId="0" fontId="67" fillId="18" borderId="1" xfId="0" applyFont="1" applyFill="1" applyBorder="1" applyAlignment="1">
      <alignment vertical="center"/>
    </xf>
    <xf numFmtId="4" fontId="67" fillId="18" borderId="1" xfId="0" applyNumberFormat="1" applyFont="1" applyFill="1" applyBorder="1" applyAlignment="1">
      <alignment horizontal="right" vertical="center"/>
    </xf>
    <xf numFmtId="0" fontId="67" fillId="18" borderId="0" xfId="0" applyFont="1" applyFill="1"/>
    <xf numFmtId="15" fontId="68" fillId="18" borderId="0" xfId="0" applyNumberFormat="1" applyFont="1" applyFill="1" applyAlignment="1">
      <alignment horizontal="center" vertical="center" wrapText="1"/>
    </xf>
    <xf numFmtId="0" fontId="67" fillId="18" borderId="0" xfId="0" applyFont="1" applyFill="1" applyAlignment="1">
      <alignment wrapText="1"/>
    </xf>
    <xf numFmtId="0" fontId="66" fillId="18" borderId="0" xfId="0" applyFont="1" applyFill="1" applyAlignment="1">
      <alignment wrapText="1"/>
    </xf>
    <xf numFmtId="183" fontId="69" fillId="18" borderId="0" xfId="0" applyNumberFormat="1" applyFont="1" applyFill="1"/>
    <xf numFmtId="4" fontId="66" fillId="18" borderId="0" xfId="0" applyNumberFormat="1" applyFont="1" applyFill="1"/>
    <xf numFmtId="0" fontId="66" fillId="18" borderId="0" xfId="0" applyFont="1" applyFill="1"/>
    <xf numFmtId="0" fontId="69" fillId="18" borderId="0" xfId="0" applyFont="1" applyFill="1"/>
    <xf numFmtId="0" fontId="41" fillId="18" borderId="0" xfId="0" applyFont="1" applyFill="1"/>
    <xf numFmtId="9" fontId="67" fillId="18" borderId="1" xfId="28" applyFont="1" applyFill="1" applyBorder="1" applyAlignment="1">
      <alignment horizontal="left" vertical="center"/>
    </xf>
    <xf numFmtId="0" fontId="67" fillId="18" borderId="5" xfId="0" applyFont="1" applyFill="1" applyBorder="1" applyAlignment="1">
      <alignment vertical="center"/>
    </xf>
    <xf numFmtId="0" fontId="67" fillId="18" borderId="1" xfId="10" applyNumberFormat="1" applyFont="1" applyFill="1" applyBorder="1" applyAlignment="1">
      <alignment horizontal="center" vertical="center"/>
    </xf>
    <xf numFmtId="0" fontId="67" fillId="18" borderId="4" xfId="0" applyFont="1" applyFill="1" applyBorder="1" applyAlignment="1">
      <alignment vertical="center"/>
    </xf>
    <xf numFmtId="9" fontId="0" fillId="0" borderId="0" xfId="0" applyNumberFormat="1"/>
    <xf numFmtId="0" fontId="31" fillId="39" borderId="0" xfId="0" applyFont="1" applyFill="1"/>
    <xf numFmtId="173" fontId="0" fillId="39" borderId="0" xfId="10" applyNumberFormat="1" applyFont="1" applyFill="1"/>
    <xf numFmtId="0" fontId="5" fillId="35" borderId="0" xfId="0" applyFont="1" applyFill="1" applyAlignment="1">
      <alignment horizontal="left" vertical="center"/>
    </xf>
    <xf numFmtId="183" fontId="63" fillId="0" borderId="0" xfId="0" applyNumberFormat="1" applyFont="1" applyAlignment="1">
      <alignment wrapText="1"/>
    </xf>
    <xf numFmtId="183" fontId="63" fillId="18" borderId="0" xfId="0" applyNumberFormat="1" applyFont="1" applyFill="1" applyAlignment="1">
      <alignment wrapText="1"/>
    </xf>
    <xf numFmtId="183" fontId="63" fillId="18" borderId="0" xfId="0" applyNumberFormat="1" applyFont="1" applyFill="1"/>
    <xf numFmtId="183" fontId="66" fillId="18" borderId="0" xfId="0" applyNumberFormat="1" applyFont="1" applyFill="1" applyAlignment="1">
      <alignment wrapText="1"/>
    </xf>
    <xf numFmtId="183" fontId="66" fillId="18" borderId="0" xfId="0" applyNumberFormat="1" applyFont="1" applyFill="1"/>
    <xf numFmtId="183" fontId="63" fillId="27" borderId="0" xfId="0" applyNumberFormat="1" applyFont="1" applyFill="1" applyAlignment="1">
      <alignment wrapText="1"/>
    </xf>
    <xf numFmtId="183" fontId="63" fillId="27" borderId="0" xfId="0" applyNumberFormat="1" applyFont="1" applyFill="1"/>
    <xf numFmtId="183" fontId="65" fillId="27" borderId="0" xfId="0" applyNumberFormat="1" applyFont="1" applyFill="1" applyAlignment="1">
      <alignment horizontal="right" vertical="center"/>
    </xf>
    <xf numFmtId="183" fontId="63" fillId="35" borderId="0" xfId="0" applyNumberFormat="1" applyFont="1" applyFill="1" applyAlignment="1">
      <alignment wrapText="1"/>
    </xf>
    <xf numFmtId="183" fontId="63" fillId="0" borderId="0" xfId="0" applyNumberFormat="1" applyFont="1" applyAlignment="1">
      <alignment vertical="center" wrapText="1"/>
    </xf>
    <xf numFmtId="183" fontId="70" fillId="27" borderId="0" xfId="0" applyNumberFormat="1" applyFont="1" applyFill="1" applyAlignment="1">
      <alignment horizontal="right" vertical="center"/>
    </xf>
    <xf numFmtId="4" fontId="0" fillId="0" borderId="0" xfId="0" applyNumberFormat="1"/>
    <xf numFmtId="183" fontId="64" fillId="38" borderId="0" xfId="0" applyNumberFormat="1" applyFont="1" applyFill="1" applyAlignment="1">
      <alignment horizontal="center" vertical="center"/>
    </xf>
    <xf numFmtId="0" fontId="64" fillId="38" borderId="0" xfId="0" applyFont="1" applyFill="1" applyAlignment="1">
      <alignment horizontal="center" vertical="center" wrapText="1"/>
    </xf>
    <xf numFmtId="179" fontId="47" fillId="38" borderId="0" xfId="0" applyNumberFormat="1" applyFont="1" applyFill="1" applyAlignment="1">
      <alignment horizontal="center" vertical="center"/>
    </xf>
    <xf numFmtId="9" fontId="12" fillId="0" borderId="48"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3" fontId="32" fillId="0" borderId="1" xfId="28" applyNumberFormat="1" applyFont="1" applyFill="1" applyBorder="1" applyAlignment="1">
      <alignment horizontal="center" vertical="center" wrapText="1"/>
    </xf>
    <xf numFmtId="172" fontId="20" fillId="0" borderId="32" xfId="10" applyNumberFormat="1" applyFont="1" applyBorder="1" applyAlignment="1">
      <alignment vertical="center"/>
    </xf>
    <xf numFmtId="172" fontId="20" fillId="0" borderId="4" xfId="10" applyNumberFormat="1" applyFont="1" applyBorder="1" applyAlignment="1">
      <alignment vertical="center"/>
    </xf>
    <xf numFmtId="172" fontId="20" fillId="0" borderId="1" xfId="10" applyNumberFormat="1" applyFont="1" applyBorder="1" applyAlignment="1">
      <alignment vertical="center"/>
    </xf>
    <xf numFmtId="172" fontId="20" fillId="0" borderId="19" xfId="10" applyNumberFormat="1" applyFont="1" applyBorder="1" applyAlignment="1">
      <alignment vertical="center"/>
    </xf>
    <xf numFmtId="4" fontId="68"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7" fillId="24" borderId="1" xfId="0" applyNumberFormat="1" applyFont="1" applyFill="1" applyBorder="1" applyAlignment="1">
      <alignment horizontal="right" vertical="center"/>
    </xf>
    <xf numFmtId="168" fontId="58" fillId="24" borderId="4" xfId="0" applyNumberFormat="1" applyFont="1" applyFill="1" applyBorder="1" applyAlignment="1">
      <alignment horizontal="right" vertical="center" wrapText="1"/>
    </xf>
    <xf numFmtId="173" fontId="0" fillId="24" borderId="0" xfId="10" applyNumberFormat="1" applyFont="1" applyFill="1"/>
    <xf numFmtId="172" fontId="0" fillId="0" borderId="0" xfId="0" applyNumberFormat="1" applyAlignment="1">
      <alignment vertical="center"/>
    </xf>
    <xf numFmtId="173" fontId="20" fillId="0" borderId="57" xfId="10" applyNumberFormat="1" applyFont="1" applyBorder="1" applyAlignment="1">
      <alignment vertical="center"/>
    </xf>
    <xf numFmtId="173" fontId="20" fillId="0" borderId="58" xfId="10" applyNumberFormat="1" applyFont="1" applyBorder="1" applyAlignment="1">
      <alignment vertical="center"/>
    </xf>
    <xf numFmtId="0" fontId="12" fillId="19" borderId="42" xfId="22" applyFont="1" applyFill="1" applyBorder="1" applyAlignment="1">
      <alignment vertical="center" wrapText="1"/>
    </xf>
    <xf numFmtId="173" fontId="20" fillId="0" borderId="34" xfId="10" applyNumberFormat="1" applyFont="1" applyBorder="1" applyAlignment="1">
      <alignment vertical="center"/>
    </xf>
    <xf numFmtId="173" fontId="20" fillId="0" borderId="9" xfId="10" applyNumberFormat="1" applyFont="1" applyBorder="1" applyAlignment="1">
      <alignment vertical="center"/>
    </xf>
    <xf numFmtId="0" fontId="72" fillId="7" borderId="22" xfId="9" applyFont="1" applyBorder="1" applyProtection="1">
      <alignment horizontal="center" vertical="center"/>
    </xf>
    <xf numFmtId="0" fontId="72" fillId="7" borderId="0" xfId="9" applyFont="1" applyProtection="1">
      <alignment horizontal="center" vertical="center"/>
    </xf>
    <xf numFmtId="0" fontId="73" fillId="0" borderId="0" xfId="0" applyFont="1"/>
    <xf numFmtId="49" fontId="74" fillId="15" borderId="0" xfId="2" applyFont="1" applyFill="1" applyProtection="1">
      <alignment horizontal="left" vertical="center"/>
      <protection locked="0"/>
    </xf>
    <xf numFmtId="184" fontId="73" fillId="15" borderId="0" xfId="35" applyFont="1" applyFill="1" applyProtection="1">
      <protection locked="0"/>
    </xf>
    <xf numFmtId="9" fontId="0" fillId="0" borderId="0" xfId="28" applyFont="1" applyAlignment="1">
      <alignment vertical="center"/>
    </xf>
    <xf numFmtId="3" fontId="0" fillId="0" borderId="0" xfId="0" applyNumberFormat="1"/>
    <xf numFmtId="3" fontId="62" fillId="24" borderId="0" xfId="0" applyNumberFormat="1" applyFont="1" applyFill="1" applyAlignment="1">
      <alignment vertical="top"/>
    </xf>
    <xf numFmtId="168" fontId="0" fillId="0" borderId="0" xfId="10" applyFont="1"/>
    <xf numFmtId="7" fontId="0" fillId="0" borderId="0" xfId="0" applyNumberFormat="1"/>
    <xf numFmtId="4" fontId="12" fillId="9" borderId="19" xfId="28" applyNumberFormat="1" applyFont="1" applyFill="1" applyBorder="1" applyAlignment="1" applyProtection="1">
      <alignment horizontal="center" vertical="center" wrapText="1"/>
    </xf>
    <xf numFmtId="4" fontId="12" fillId="9" borderId="19" xfId="22" applyNumberFormat="1" applyFont="1" applyFill="1" applyBorder="1" applyAlignment="1">
      <alignment horizontal="center" vertical="center" wrapText="1"/>
    </xf>
    <xf numFmtId="0" fontId="32" fillId="0" borderId="1" xfId="0" applyFont="1" applyBorder="1" applyAlignment="1">
      <alignment horizontal="justify" vertical="center"/>
    </xf>
    <xf numFmtId="166" fontId="32" fillId="0" borderId="1" xfId="11" applyFont="1" applyFill="1" applyBorder="1" applyAlignment="1">
      <alignment horizontal="center" vertical="center" wrapText="1"/>
    </xf>
    <xf numFmtId="0" fontId="32" fillId="0" borderId="5" xfId="0" applyFont="1" applyBorder="1" applyAlignment="1">
      <alignment vertical="center"/>
    </xf>
    <xf numFmtId="9" fontId="32" fillId="0" borderId="1" xfId="28" applyFont="1" applyFill="1" applyBorder="1" applyAlignment="1">
      <alignment horizontal="center" vertical="center"/>
    </xf>
    <xf numFmtId="0" fontId="32" fillId="0" borderId="1" xfId="0" applyFont="1" applyBorder="1" applyAlignment="1">
      <alignment horizontal="justify" vertical="center" wrapText="1"/>
    </xf>
    <xf numFmtId="0" fontId="32" fillId="0" borderId="5" xfId="0" applyFont="1" applyBorder="1" applyAlignment="1">
      <alignment horizontal="justify" vertical="center"/>
    </xf>
    <xf numFmtId="9" fontId="32" fillId="0" borderId="1" xfId="28" applyFont="1" applyFill="1" applyBorder="1" applyAlignment="1">
      <alignment horizontal="center" vertical="center" wrapText="1"/>
    </xf>
    <xf numFmtId="0" fontId="12" fillId="9" borderId="1" xfId="0" applyFont="1" applyFill="1" applyBorder="1" applyAlignment="1">
      <alignment horizontal="center" vertical="center" wrapText="1"/>
    </xf>
    <xf numFmtId="6" fontId="32" fillId="0" borderId="0" xfId="0" applyNumberFormat="1" applyFont="1" applyAlignment="1">
      <alignment vertical="center"/>
    </xf>
    <xf numFmtId="172" fontId="17" fillId="0" borderId="1" xfId="0" applyNumberFormat="1" applyFont="1" applyBorder="1" applyAlignment="1">
      <alignment horizontal="center" vertical="center"/>
    </xf>
    <xf numFmtId="172" fontId="17" fillId="0" borderId="1" xfId="0" applyNumberFormat="1" applyFont="1" applyBorder="1" applyAlignment="1">
      <alignment vertical="center"/>
    </xf>
    <xf numFmtId="172" fontId="13" fillId="22" borderId="1" xfId="0" applyNumberFormat="1" applyFont="1" applyFill="1" applyBorder="1" applyAlignment="1">
      <alignment horizontal="center" vertical="center"/>
    </xf>
    <xf numFmtId="0" fontId="32" fillId="0" borderId="5" xfId="0" applyFont="1" applyBorder="1" applyAlignment="1">
      <alignment horizontal="justify" vertical="center" wrapText="1"/>
    </xf>
    <xf numFmtId="0" fontId="32" fillId="0" borderId="2"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4" xfId="0" applyFont="1" applyBorder="1" applyAlignment="1">
      <alignment horizontal="center" vertical="center" wrapText="1"/>
    </xf>
    <xf numFmtId="0" fontId="11" fillId="0" borderId="23" xfId="0" applyFont="1" applyBorder="1" applyAlignment="1">
      <alignment horizontal="center" vertical="center" wrapText="1"/>
    </xf>
    <xf numFmtId="166" fontId="32" fillId="0" borderId="2" xfId="11" applyFont="1" applyFill="1" applyBorder="1" applyAlignment="1">
      <alignment horizontal="justify" vertical="center" wrapText="1"/>
    </xf>
    <xf numFmtId="49" fontId="32" fillId="0" borderId="2" xfId="11" applyNumberFormat="1" applyFont="1" applyFill="1" applyBorder="1" applyAlignment="1">
      <alignment horizontal="justify" vertical="center" wrapText="1"/>
    </xf>
    <xf numFmtId="0" fontId="43" fillId="31" borderId="0" xfId="0" applyFont="1" applyFill="1" applyAlignment="1">
      <alignment vertical="center"/>
    </xf>
    <xf numFmtId="181" fontId="45" fillId="31" borderId="0" xfId="0" applyNumberFormat="1" applyFont="1" applyFill="1" applyAlignment="1">
      <alignment horizontal="center" vertical="center"/>
    </xf>
    <xf numFmtId="179" fontId="45" fillId="31" borderId="0" xfId="0" applyNumberFormat="1" applyFont="1" applyFill="1" applyAlignment="1">
      <alignment horizontal="center" vertical="center"/>
    </xf>
    <xf numFmtId="0" fontId="11" fillId="0" borderId="0" xfId="0" applyFont="1" applyAlignment="1">
      <alignment vertical="center"/>
    </xf>
    <xf numFmtId="180" fontId="43" fillId="30" borderId="0" xfId="0" applyNumberFormat="1" applyFont="1" applyFill="1" applyAlignment="1">
      <alignment horizontal="center" vertical="center"/>
    </xf>
    <xf numFmtId="0" fontId="12" fillId="0" borderId="14" xfId="22" applyFont="1" applyBorder="1" applyAlignment="1">
      <alignment horizontal="center" vertical="center" wrapText="1"/>
    </xf>
    <xf numFmtId="0" fontId="12" fillId="20" borderId="1" xfId="22" applyFont="1" applyFill="1" applyBorder="1" applyAlignment="1">
      <alignment horizontal="center" vertical="center" wrapText="1"/>
    </xf>
    <xf numFmtId="0" fontId="11" fillId="0" borderId="18" xfId="22" applyFont="1" applyBorder="1" applyAlignment="1">
      <alignment horizontal="justify" vertical="center" wrapText="1"/>
    </xf>
    <xf numFmtId="0" fontId="12" fillId="0" borderId="10" xfId="22" applyFont="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34" fillId="9" borderId="8" xfId="0" applyFont="1" applyFill="1" applyBorder="1" applyAlignment="1">
      <alignment horizontal="center" vertical="center" wrapText="1"/>
    </xf>
    <xf numFmtId="0" fontId="32" fillId="0" borderId="8" xfId="0" applyFont="1" applyBorder="1" applyAlignment="1">
      <alignment horizontal="center" vertical="center"/>
    </xf>
    <xf numFmtId="0" fontId="12" fillId="19" borderId="0" xfId="22" applyFont="1" applyFill="1" applyBorder="1" applyAlignment="1">
      <alignment vertical="center" wrapText="1"/>
    </xf>
    <xf numFmtId="0" fontId="14" fillId="19" borderId="0" xfId="22" applyFont="1" applyFill="1" applyBorder="1" applyAlignment="1">
      <alignment vertical="center" wrapText="1"/>
    </xf>
    <xf numFmtId="0" fontId="11" fillId="19" borderId="0" xfId="22" applyFont="1" applyFill="1" applyBorder="1" applyAlignment="1">
      <alignment vertical="center" wrapText="1"/>
    </xf>
    <xf numFmtId="0" fontId="12" fillId="0" borderId="0" xfId="22" applyFont="1" applyBorder="1" applyAlignment="1">
      <alignment vertical="center" wrapText="1"/>
    </xf>
    <xf numFmtId="0" fontId="12" fillId="0" borderId="0" xfId="22" applyFont="1" applyBorder="1" applyAlignment="1">
      <alignment horizontal="center" vertical="center" wrapText="1"/>
    </xf>
    <xf numFmtId="0" fontId="37" fillId="0" borderId="0" xfId="0" applyFont="1" applyBorder="1" applyAlignment="1">
      <alignment horizontal="center" vertical="center"/>
    </xf>
    <xf numFmtId="0" fontId="31" fillId="0" borderId="0" xfId="0" applyFont="1" applyBorder="1" applyAlignment="1">
      <alignment horizontal="center" vertical="center" wrapText="1"/>
    </xf>
    <xf numFmtId="0" fontId="0" fillId="0" borderId="0" xfId="0" applyBorder="1" applyAlignment="1">
      <alignment horizontal="center" vertical="center"/>
    </xf>
    <xf numFmtId="0" fontId="14" fillId="0" borderId="0" xfId="22" applyFont="1" applyBorder="1" applyAlignment="1">
      <alignment vertical="center" wrapText="1"/>
    </xf>
    <xf numFmtId="0" fontId="11" fillId="0" borderId="0" xfId="22" applyFont="1" applyBorder="1" applyAlignment="1">
      <alignment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Border="1" applyAlignment="1">
      <alignment horizontal="center" vertical="center" wrapText="1"/>
    </xf>
    <xf numFmtId="0" fontId="32" fillId="19" borderId="0" xfId="0" applyFont="1" applyFill="1" applyBorder="1" applyAlignment="1">
      <alignment vertical="center"/>
    </xf>
    <xf numFmtId="0" fontId="12" fillId="19" borderId="0" xfId="22" applyFont="1" applyFill="1" applyBorder="1" applyAlignment="1">
      <alignment horizontal="left" vertical="center" wrapText="1"/>
    </xf>
    <xf numFmtId="0" fontId="12" fillId="9" borderId="10" xfId="0" applyFont="1" applyFill="1" applyBorder="1" applyAlignment="1">
      <alignment horizontal="center" vertical="center" wrapText="1"/>
    </xf>
    <xf numFmtId="0" fontId="0" fillId="0" borderId="0" xfId="0" applyAlignment="1">
      <alignment horizontal="center"/>
    </xf>
    <xf numFmtId="186"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4" fontId="17" fillId="23" borderId="1" xfId="0" applyNumberFormat="1" applyFont="1" applyFill="1" applyBorder="1" applyAlignment="1">
      <alignment horizontal="center" vertical="center"/>
    </xf>
    <xf numFmtId="186" fontId="13" fillId="22" borderId="1" xfId="0" applyNumberFormat="1" applyFont="1" applyFill="1" applyBorder="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5" fillId="0" borderId="0" xfId="0" applyFont="1" applyAlignment="1">
      <alignment horizontal="center" vertical="center" wrapText="1"/>
    </xf>
    <xf numFmtId="0" fontId="75" fillId="0" borderId="85" xfId="0" applyFont="1" applyBorder="1" applyAlignment="1">
      <alignment horizontal="center" vertical="center"/>
    </xf>
    <xf numFmtId="0" fontId="76" fillId="0" borderId="86" xfId="0" applyFont="1" applyBorder="1" applyAlignment="1">
      <alignment horizontal="center" vertical="center"/>
    </xf>
    <xf numFmtId="0" fontId="75" fillId="0" borderId="87" xfId="0" applyFont="1" applyBorder="1" applyAlignment="1">
      <alignment horizontal="center" vertical="center"/>
    </xf>
    <xf numFmtId="0" fontId="75" fillId="40" borderId="87" xfId="0" applyFont="1" applyFill="1" applyBorder="1" applyAlignment="1">
      <alignment horizontal="center" vertical="center"/>
    </xf>
    <xf numFmtId="0" fontId="76" fillId="0" borderId="87" xfId="0" applyFont="1" applyBorder="1" applyAlignment="1">
      <alignment horizontal="center" vertical="center"/>
    </xf>
    <xf numFmtId="0" fontId="76" fillId="0" borderId="88" xfId="0" applyFont="1" applyBorder="1" applyAlignment="1">
      <alignment horizontal="center" vertical="center"/>
    </xf>
    <xf numFmtId="3" fontId="76"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5" fillId="0" borderId="89" xfId="0" applyFont="1" applyBorder="1" applyAlignment="1">
      <alignment horizontal="center" vertical="center"/>
    </xf>
    <xf numFmtId="0" fontId="76" fillId="0" borderId="90" xfId="0" applyFont="1" applyBorder="1" applyAlignment="1">
      <alignment horizontal="center" vertical="center"/>
    </xf>
    <xf numFmtId="0" fontId="75" fillId="0" borderId="91" xfId="0" applyFont="1" applyBorder="1" applyAlignment="1">
      <alignment horizontal="center" vertical="center"/>
    </xf>
    <xf numFmtId="0" fontId="75" fillId="40" borderId="91" xfId="0" applyFont="1" applyFill="1" applyBorder="1" applyAlignment="1">
      <alignment horizontal="center" vertical="center"/>
    </xf>
    <xf numFmtId="0" fontId="76" fillId="0" borderId="91" xfId="0" applyFont="1" applyBorder="1" applyAlignment="1">
      <alignment horizontal="center" vertical="center"/>
    </xf>
    <xf numFmtId="0" fontId="76" fillId="0" borderId="92" xfId="0" applyFont="1" applyBorder="1" applyAlignment="1">
      <alignment horizontal="center" vertical="center"/>
    </xf>
    <xf numFmtId="186" fontId="35" fillId="41" borderId="0" xfId="0" applyNumberFormat="1" applyFont="1" applyFill="1" applyAlignment="1">
      <alignment horizontal="center" vertical="center"/>
    </xf>
    <xf numFmtId="187" fontId="0" fillId="0" borderId="0" xfId="0" applyNumberFormat="1"/>
    <xf numFmtId="0" fontId="12" fillId="9" borderId="19" xfId="22" applyFont="1" applyFill="1" applyBorder="1" applyAlignment="1">
      <alignment horizontal="center" vertical="center" wrapText="1"/>
    </xf>
    <xf numFmtId="4" fontId="12" fillId="9" borderId="19" xfId="30" applyNumberFormat="1" applyFont="1" applyFill="1" applyBorder="1" applyAlignment="1" applyProtection="1">
      <alignment horizontal="center" vertical="center" wrapText="1"/>
    </xf>
    <xf numFmtId="3" fontId="75" fillId="0" borderId="0" xfId="0" applyNumberFormat="1" applyFont="1" applyAlignment="1">
      <alignment horizontal="center" vertical="center"/>
    </xf>
    <xf numFmtId="4" fontId="75" fillId="0" borderId="0" xfId="0" applyNumberFormat="1" applyFont="1" applyAlignment="1">
      <alignment horizontal="center" vertical="center"/>
    </xf>
    <xf numFmtId="188" fontId="12" fillId="9" borderId="19" xfId="28" applyNumberFormat="1" applyFont="1" applyFill="1" applyBorder="1" applyAlignment="1" applyProtection="1">
      <alignment horizontal="center" vertical="center" wrapText="1"/>
    </xf>
    <xf numFmtId="188" fontId="11" fillId="9" borderId="19" xfId="30" applyNumberFormat="1" applyFont="1" applyFill="1" applyBorder="1" applyAlignment="1" applyProtection="1">
      <alignment horizontal="center" vertical="center" wrapText="1"/>
    </xf>
    <xf numFmtId="4" fontId="75" fillId="24" borderId="0" xfId="0" applyNumberFormat="1" applyFont="1" applyFill="1" applyAlignment="1">
      <alignment horizontal="center" vertical="center"/>
    </xf>
    <xf numFmtId="0" fontId="60" fillId="0" borderId="0" xfId="0" applyFont="1" applyAlignment="1">
      <alignment horizontal="center" vertical="center" wrapText="1"/>
    </xf>
    <xf numFmtId="3" fontId="77" fillId="0" borderId="0" xfId="0" applyNumberFormat="1" applyFont="1" applyAlignment="1">
      <alignment vertical="top"/>
    </xf>
    <xf numFmtId="5" fontId="0" fillId="0" borderId="1" xfId="10" applyNumberFormat="1" applyFont="1" applyBorder="1" applyAlignment="1">
      <alignment vertical="center"/>
    </xf>
    <xf numFmtId="0" fontId="12"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12" fillId="0" borderId="10" xfId="22" applyFont="1" applyBorder="1" applyAlignment="1">
      <alignment horizontal="center" vertical="center" wrapText="1"/>
    </xf>
    <xf numFmtId="2" fontId="32" fillId="9" borderId="10" xfId="30" applyNumberFormat="1" applyFont="1" applyFill="1" applyBorder="1" applyAlignment="1" applyProtection="1">
      <alignment horizontal="center" vertical="center" wrapText="1"/>
    </xf>
    <xf numFmtId="1" fontId="32" fillId="9" borderId="10" xfId="30" applyNumberFormat="1" applyFont="1" applyFill="1" applyBorder="1" applyAlignment="1" applyProtection="1">
      <alignment horizontal="center" vertical="center" wrapText="1"/>
    </xf>
    <xf numFmtId="9" fontId="33" fillId="9" borderId="10" xfId="30" applyFont="1" applyFill="1" applyBorder="1" applyAlignment="1" applyProtection="1">
      <alignment vertical="center" wrapText="1"/>
    </xf>
    <xf numFmtId="174" fontId="12" fillId="9" borderId="10" xfId="28" applyNumberFormat="1" applyFont="1" applyFill="1" applyBorder="1" applyAlignment="1" applyProtection="1">
      <alignment vertical="center" wrapText="1"/>
    </xf>
    <xf numFmtId="1" fontId="12" fillId="9" borderId="10" xfId="28" applyNumberFormat="1" applyFont="1" applyFill="1" applyBorder="1" applyAlignment="1" applyProtection="1">
      <alignment horizontal="center" vertical="center" wrapText="1"/>
    </xf>
    <xf numFmtId="165" fontId="20" fillId="0" borderId="0" xfId="15" applyFont="1" applyAlignment="1">
      <alignment horizontal="center" vertical="center"/>
    </xf>
    <xf numFmtId="5" fontId="20" fillId="0" borderId="58" xfId="10" applyNumberFormat="1" applyFont="1" applyBorder="1" applyAlignment="1">
      <alignment vertical="center"/>
    </xf>
    <xf numFmtId="1" fontId="32" fillId="9" borderId="19" xfId="30" applyNumberFormat="1" applyFont="1" applyFill="1" applyBorder="1" applyAlignment="1" applyProtection="1">
      <alignment horizontal="center" vertical="center" wrapText="1"/>
    </xf>
    <xf numFmtId="1" fontId="34" fillId="9" borderId="19" xfId="28" applyNumberFormat="1" applyFont="1" applyFill="1" applyBorder="1" applyAlignment="1" applyProtection="1">
      <alignment horizontal="center" vertical="center" wrapText="1"/>
    </xf>
    <xf numFmtId="5" fontId="20" fillId="0" borderId="57" xfId="10" applyNumberFormat="1" applyFont="1" applyBorder="1" applyAlignment="1">
      <alignment vertical="center"/>
    </xf>
    <xf numFmtId="0" fontId="16" fillId="2" borderId="0" xfId="22" applyFont="1" applyFill="1" applyAlignment="1">
      <alignment horizontal="center" vertical="center" wrapText="1"/>
    </xf>
    <xf numFmtId="176" fontId="0" fillId="0" borderId="0" xfId="0" applyNumberFormat="1" applyAlignment="1">
      <alignment horizontal="center" vertical="center"/>
    </xf>
    <xf numFmtId="176" fontId="20" fillId="0" borderId="0" xfId="14" applyNumberFormat="1" applyFont="1" applyBorder="1" applyAlignment="1">
      <alignment horizontal="center" vertical="center"/>
    </xf>
    <xf numFmtId="0" fontId="12" fillId="9" borderId="8"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83" xfId="0" applyFont="1" applyFill="1" applyBorder="1" applyAlignment="1">
      <alignment horizontal="center" vertical="center" wrapText="1"/>
    </xf>
    <xf numFmtId="3" fontId="34" fillId="9" borderId="5" xfId="0" applyNumberFormat="1" applyFont="1" applyFill="1" applyBorder="1" applyAlignment="1">
      <alignment horizontal="center" vertical="center" wrapText="1"/>
    </xf>
    <xf numFmtId="3" fontId="32" fillId="0" borderId="8" xfId="0" applyNumberFormat="1" applyFont="1" applyBorder="1" applyAlignment="1">
      <alignment horizontal="center" vertical="center"/>
    </xf>
    <xf numFmtId="3" fontId="32" fillId="0" borderId="9" xfId="0" applyNumberFormat="1" applyFont="1" applyBorder="1" applyAlignment="1">
      <alignment horizontal="center" vertical="center"/>
    </xf>
    <xf numFmtId="3" fontId="32" fillId="0" borderId="5" xfId="0" applyNumberFormat="1" applyFont="1" applyBorder="1" applyAlignment="1">
      <alignment horizontal="center" vertical="center"/>
    </xf>
    <xf numFmtId="181" fontId="11" fillId="0" borderId="8" xfId="22" applyNumberFormat="1" applyFont="1" applyBorder="1" applyAlignment="1">
      <alignment horizontal="center" vertical="center" wrapText="1"/>
    </xf>
    <xf numFmtId="181" fontId="11" fillId="0" borderId="1" xfId="22" applyNumberFormat="1" applyFont="1" applyBorder="1" applyAlignment="1">
      <alignment horizontal="center" vertical="center" wrapText="1"/>
    </xf>
    <xf numFmtId="181" fontId="11" fillId="0" borderId="9" xfId="22" applyNumberFormat="1" applyFont="1" applyBorder="1" applyAlignment="1">
      <alignment horizontal="center" vertical="center" wrapText="1"/>
    </xf>
    <xf numFmtId="0" fontId="32" fillId="0" borderId="9" xfId="0" applyFont="1" applyBorder="1" applyAlignment="1">
      <alignment vertical="center"/>
    </xf>
    <xf numFmtId="0" fontId="32" fillId="0" borderId="8" xfId="0" applyFont="1" applyBorder="1" applyAlignment="1">
      <alignment vertical="center"/>
    </xf>
    <xf numFmtId="0" fontId="32" fillId="0" borderId="1" xfId="28" applyNumberFormat="1" applyFont="1" applyFill="1" applyBorder="1" applyAlignment="1">
      <alignment horizontal="justify" vertical="center" wrapText="1"/>
    </xf>
    <xf numFmtId="0" fontId="11" fillId="0" borderId="1" xfId="28" applyNumberFormat="1" applyFont="1" applyFill="1" applyBorder="1" applyAlignment="1">
      <alignment horizontal="justify" vertical="center" wrapText="1"/>
    </xf>
    <xf numFmtId="0" fontId="11" fillId="0" borderId="9" xfId="0" applyFont="1" applyBorder="1" applyAlignment="1">
      <alignment horizontal="justify" vertical="center" wrapText="1"/>
    </xf>
    <xf numFmtId="0" fontId="33" fillId="0" borderId="9" xfId="0" applyFont="1" applyBorder="1" applyAlignment="1">
      <alignment horizontal="justify" vertical="center" wrapText="1"/>
    </xf>
    <xf numFmtId="0" fontId="32" fillId="0" borderId="8" xfId="0" applyFont="1" applyFill="1" applyBorder="1" applyAlignment="1">
      <alignment vertical="center"/>
    </xf>
    <xf numFmtId="4" fontId="32" fillId="0" borderId="5" xfId="0" applyNumberFormat="1" applyFont="1" applyBorder="1" applyAlignment="1">
      <alignment horizontal="center" vertical="center"/>
    </xf>
    <xf numFmtId="10" fontId="32" fillId="0" borderId="1" xfId="28" applyNumberFormat="1" applyFont="1" applyFill="1" applyBorder="1" applyAlignment="1">
      <alignment horizontal="center" vertical="center"/>
    </xf>
    <xf numFmtId="0" fontId="32" fillId="0" borderId="9" xfId="28" applyNumberFormat="1" applyFont="1" applyFill="1" applyBorder="1" applyAlignment="1">
      <alignment horizontal="justify" vertical="center" wrapText="1"/>
    </xf>
    <xf numFmtId="173" fontId="20" fillId="0" borderId="25" xfId="10" applyNumberFormat="1" applyFont="1" applyBorder="1" applyAlignment="1">
      <alignment vertical="center"/>
    </xf>
    <xf numFmtId="173" fontId="20" fillId="0" borderId="5" xfId="10" applyNumberFormat="1" applyFont="1" applyBorder="1" applyAlignment="1">
      <alignment vertical="center"/>
    </xf>
    <xf numFmtId="172" fontId="20" fillId="0" borderId="57" xfId="10" applyNumberFormat="1" applyFont="1" applyBorder="1" applyAlignment="1">
      <alignment vertical="center"/>
    </xf>
    <xf numFmtId="0" fontId="11" fillId="19" borderId="42" xfId="22" applyFont="1" applyFill="1" applyBorder="1" applyAlignment="1">
      <alignment vertical="center" wrapText="1"/>
    </xf>
    <xf numFmtId="5" fontId="20" fillId="0" borderId="19" xfId="10" applyNumberFormat="1" applyFont="1" applyBorder="1" applyAlignment="1">
      <alignment vertical="center"/>
    </xf>
    <xf numFmtId="0" fontId="0" fillId="0" borderId="0" xfId="0" applyAlignment="1">
      <alignment vertical="top"/>
    </xf>
    <xf numFmtId="14" fontId="0" fillId="0" borderId="0" xfId="0" applyNumberFormat="1" applyAlignment="1">
      <alignment horizontal="right" vertical="top"/>
    </xf>
    <xf numFmtId="3" fontId="0" fillId="0" borderId="0" xfId="0" applyNumberFormat="1" applyAlignment="1">
      <alignment horizontal="right" vertical="top"/>
    </xf>
    <xf numFmtId="0" fontId="0" fillId="37" borderId="1" xfId="0" applyFill="1" applyBorder="1" applyAlignment="1">
      <alignment vertical="top"/>
    </xf>
    <xf numFmtId="0" fontId="0" fillId="37" borderId="1" xfId="0" applyFill="1" applyBorder="1" applyAlignment="1">
      <alignment vertical="top" wrapText="1"/>
    </xf>
    <xf numFmtId="0" fontId="0" fillId="42" borderId="1" xfId="0" applyFill="1" applyBorder="1" applyAlignment="1">
      <alignment vertical="top"/>
    </xf>
    <xf numFmtId="172" fontId="20" fillId="0" borderId="31" xfId="10" applyNumberFormat="1" applyFont="1" applyBorder="1" applyAlignment="1">
      <alignment vertical="center"/>
    </xf>
    <xf numFmtId="172" fontId="12" fillId="19" borderId="0" xfId="22" applyNumberFormat="1" applyFont="1" applyFill="1" applyBorder="1" applyAlignment="1">
      <alignment horizontal="left" vertical="center" wrapText="1"/>
    </xf>
    <xf numFmtId="172" fontId="60" fillId="0" borderId="0" xfId="0" applyNumberFormat="1" applyFont="1" applyAlignment="1">
      <alignment horizontal="center" vertical="center" wrapText="1"/>
    </xf>
    <xf numFmtId="172" fontId="0" fillId="0" borderId="0" xfId="0" applyNumberFormat="1"/>
    <xf numFmtId="172" fontId="62" fillId="0" borderId="0" xfId="0" applyNumberFormat="1" applyFont="1" applyAlignment="1">
      <alignment vertical="top"/>
    </xf>
    <xf numFmtId="172" fontId="62" fillId="24" borderId="0" xfId="0" applyNumberFormat="1" applyFont="1" applyFill="1" applyAlignment="1">
      <alignment vertical="top"/>
    </xf>
    <xf numFmtId="172" fontId="60" fillId="0" borderId="0" xfId="0" applyNumberFormat="1" applyFont="1" applyAlignment="1">
      <alignment vertical="top"/>
    </xf>
    <xf numFmtId="172" fontId="31" fillId="0" borderId="0" xfId="0" applyNumberFormat="1" applyFont="1"/>
    <xf numFmtId="42" fontId="13" fillId="22" borderId="1" xfId="0" applyNumberFormat="1" applyFont="1" applyFill="1" applyBorder="1" applyAlignment="1">
      <alignment horizontal="center" vertical="center"/>
    </xf>
    <xf numFmtId="179" fontId="35" fillId="41" borderId="0" xfId="0" applyNumberFormat="1" applyFont="1" applyFill="1" applyAlignment="1">
      <alignment horizontal="center" vertical="center"/>
    </xf>
    <xf numFmtId="0" fontId="12" fillId="9" borderId="10" xfId="0" applyFont="1" applyFill="1" applyBorder="1" applyAlignment="1">
      <alignment horizontal="center" vertical="center" wrapText="1"/>
    </xf>
    <xf numFmtId="3" fontId="32" fillId="0" borderId="0" xfId="0" applyNumberFormat="1" applyFont="1" applyAlignment="1">
      <alignment vertical="center"/>
    </xf>
    <xf numFmtId="172" fontId="17" fillId="19" borderId="1" xfId="0" applyNumberFormat="1" applyFont="1" applyFill="1" applyBorder="1" applyAlignment="1">
      <alignment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0"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12" fillId="9" borderId="10" xfId="0" applyFont="1" applyFill="1" applyBorder="1" applyAlignment="1">
      <alignment horizontal="center" vertical="center" wrapText="1"/>
    </xf>
    <xf numFmtId="0" fontId="13" fillId="22" borderId="0" xfId="0" applyFont="1" applyFill="1" applyBorder="1" applyAlignment="1">
      <alignment horizontal="left" vertical="center"/>
    </xf>
    <xf numFmtId="0" fontId="13" fillId="22" borderId="0" xfId="0" applyFont="1" applyFill="1" applyBorder="1" applyAlignment="1">
      <alignment horizontal="center" vertical="center"/>
    </xf>
    <xf numFmtId="172" fontId="13" fillId="22" borderId="0" xfId="0" applyNumberFormat="1" applyFont="1" applyFill="1" applyBorder="1" applyAlignment="1">
      <alignment horizontal="center" vertical="center"/>
    </xf>
    <xf numFmtId="177" fontId="13" fillId="22" borderId="0" xfId="15" applyNumberFormat="1" applyFont="1" applyFill="1" applyBorder="1" applyAlignment="1">
      <alignment horizontal="center" vertical="center"/>
    </xf>
    <xf numFmtId="0" fontId="13" fillId="23" borderId="0" xfId="0" applyFont="1" applyFill="1" applyBorder="1" applyAlignment="1">
      <alignment horizontal="center" vertical="center"/>
    </xf>
    <xf numFmtId="177" fontId="13" fillId="22" borderId="0" xfId="0" applyNumberFormat="1" applyFont="1" applyFill="1" applyBorder="1" applyAlignment="1">
      <alignment horizontal="center" vertical="center"/>
    </xf>
    <xf numFmtId="0" fontId="11" fillId="0" borderId="18" xfId="22" applyFont="1" applyBorder="1" applyAlignment="1">
      <alignment horizontal="center" vertical="center" wrapText="1"/>
    </xf>
    <xf numFmtId="0" fontId="12" fillId="20" borderId="1" xfId="22" applyFont="1" applyFill="1" applyBorder="1" applyAlignment="1">
      <alignment horizontal="center" vertical="center" wrapText="1"/>
    </xf>
    <xf numFmtId="0" fontId="12" fillId="0" borderId="0" xfId="22" applyFont="1" applyBorder="1" applyAlignment="1">
      <alignment horizontal="center" vertical="center" wrapText="1"/>
    </xf>
    <xf numFmtId="0" fontId="12" fillId="0" borderId="14" xfId="22" applyFont="1" applyBorder="1" applyAlignment="1">
      <alignment horizontal="center" vertical="center" wrapText="1"/>
    </xf>
    <xf numFmtId="0" fontId="11" fillId="0" borderId="18" xfId="22" applyFont="1" applyBorder="1" applyAlignment="1">
      <alignment horizontal="justify"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12" fillId="0" borderId="10" xfId="22" applyFont="1" applyBorder="1" applyAlignment="1">
      <alignment horizontal="center" vertical="center" wrapText="1"/>
    </xf>
    <xf numFmtId="9" fontId="12" fillId="0" borderId="19" xfId="22" applyNumberFormat="1" applyFont="1" applyBorder="1" applyAlignment="1">
      <alignment horizontal="center" vertical="center" wrapText="1"/>
    </xf>
    <xf numFmtId="5" fontId="20" fillId="0" borderId="4" xfId="10" applyNumberFormat="1" applyFont="1" applyBorder="1" applyAlignment="1">
      <alignment vertical="center"/>
    </xf>
    <xf numFmtId="0" fontId="32" fillId="0" borderId="1" xfId="0" applyFont="1" applyFill="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32" fillId="0" borderId="0" xfId="0" applyFont="1" applyBorder="1" applyAlignment="1">
      <alignment horizontal="center" vertical="center" wrapText="1"/>
    </xf>
    <xf numFmtId="3" fontId="32" fillId="0" borderId="0" xfId="28" applyNumberFormat="1" applyFont="1" applyFill="1" applyBorder="1" applyAlignment="1">
      <alignment horizontal="center" vertical="center" wrapText="1"/>
    </xf>
    <xf numFmtId="166" fontId="32" fillId="0" borderId="0" xfId="11" applyFont="1" applyFill="1" applyBorder="1" applyAlignment="1">
      <alignment horizontal="center" vertical="center" wrapText="1"/>
    </xf>
    <xf numFmtId="3" fontId="32" fillId="0" borderId="0" xfId="0" applyNumberFormat="1" applyFont="1" applyBorder="1" applyAlignment="1">
      <alignment horizontal="center" vertical="center"/>
    </xf>
    <xf numFmtId="0" fontId="32" fillId="0" borderId="0" xfId="0" applyFont="1" applyBorder="1" applyAlignment="1">
      <alignment vertical="center"/>
    </xf>
    <xf numFmtId="9" fontId="32" fillId="0" borderId="0" xfId="28" applyFont="1" applyFill="1" applyBorder="1" applyAlignment="1">
      <alignment horizontal="center" vertical="center"/>
    </xf>
    <xf numFmtId="0" fontId="32" fillId="0" borderId="0" xfId="28" applyNumberFormat="1" applyFont="1" applyFill="1" applyBorder="1" applyAlignment="1">
      <alignment horizontal="justify" vertical="center" wrapText="1"/>
    </xf>
    <xf numFmtId="0" fontId="33" fillId="0" borderId="14" xfId="0" applyFont="1" applyBorder="1" applyAlignment="1">
      <alignment horizontal="justify" vertical="center" wrapText="1"/>
    </xf>
    <xf numFmtId="0" fontId="82" fillId="0" borderId="0" xfId="28" applyNumberFormat="1" applyFont="1" applyFill="1" applyBorder="1" applyAlignment="1">
      <alignment horizontal="justify" vertical="center" wrapText="1"/>
    </xf>
    <xf numFmtId="0" fontId="32" fillId="0" borderId="18" xfId="0" applyFont="1" applyBorder="1" applyAlignment="1">
      <alignment horizontal="center" vertical="center"/>
    </xf>
    <xf numFmtId="0" fontId="32" fillId="0" borderId="10" xfId="0" applyFont="1" applyBorder="1" applyAlignment="1">
      <alignment horizontal="center" vertical="center"/>
    </xf>
    <xf numFmtId="0" fontId="32" fillId="0" borderId="10" xfId="0" applyFont="1" applyBorder="1" applyAlignment="1">
      <alignment horizontal="justify" vertical="center" wrapText="1"/>
    </xf>
    <xf numFmtId="0" fontId="32" fillId="0" borderId="55" xfId="0" applyFont="1" applyBorder="1" applyAlignment="1">
      <alignment horizontal="justify" vertical="center" wrapText="1"/>
    </xf>
    <xf numFmtId="0" fontId="11" fillId="0" borderId="35" xfId="0" applyFont="1" applyBorder="1" applyAlignment="1">
      <alignment horizontal="center" vertical="center" wrapText="1"/>
    </xf>
    <xf numFmtId="0" fontId="32" fillId="0" borderId="10" xfId="0" applyFont="1" applyBorder="1" applyAlignment="1">
      <alignment horizontal="center" vertical="center" wrapText="1"/>
    </xf>
    <xf numFmtId="3" fontId="32" fillId="0" borderId="10" xfId="28" applyNumberFormat="1" applyFont="1" applyFill="1" applyBorder="1" applyAlignment="1">
      <alignment horizontal="center" vertical="center" wrapText="1"/>
    </xf>
    <xf numFmtId="9" fontId="32" fillId="0" borderId="10" xfId="28" applyFont="1" applyFill="1" applyBorder="1" applyAlignment="1">
      <alignment horizontal="center" vertical="center" wrapText="1"/>
    </xf>
    <xf numFmtId="166" fontId="32" fillId="0" borderId="10" xfId="11" applyFont="1" applyFill="1" applyBorder="1" applyAlignment="1">
      <alignment horizontal="center" vertical="center" wrapText="1"/>
    </xf>
    <xf numFmtId="166" fontId="32" fillId="0" borderId="55" xfId="11" applyFont="1" applyFill="1" applyBorder="1" applyAlignment="1">
      <alignment horizontal="justify" vertical="center" wrapText="1"/>
    </xf>
    <xf numFmtId="3" fontId="32" fillId="0" borderId="18" xfId="0" applyNumberFormat="1" applyFont="1" applyBorder="1" applyAlignment="1">
      <alignment horizontal="center" vertical="center"/>
    </xf>
    <xf numFmtId="3" fontId="32" fillId="0" borderId="10" xfId="0" applyNumberFormat="1" applyFont="1" applyBorder="1" applyAlignment="1">
      <alignment horizontal="center" vertical="center"/>
    </xf>
    <xf numFmtId="3" fontId="32" fillId="0" borderId="83" xfId="0" applyNumberFormat="1" applyFont="1" applyBorder="1" applyAlignment="1">
      <alignment horizontal="center" vertical="center"/>
    </xf>
    <xf numFmtId="0" fontId="32" fillId="0" borderId="18" xfId="0" applyFont="1" applyBorder="1" applyAlignment="1">
      <alignment vertical="center"/>
    </xf>
    <xf numFmtId="0" fontId="32" fillId="0" borderId="10" xfId="0" applyFont="1" applyBorder="1" applyAlignment="1">
      <alignment vertical="center"/>
    </xf>
    <xf numFmtId="0" fontId="32" fillId="0" borderId="83" xfId="0" applyFont="1" applyBorder="1" applyAlignment="1">
      <alignment vertical="center"/>
    </xf>
    <xf numFmtId="3" fontId="32" fillId="0" borderId="23" xfId="0" applyNumberFormat="1" applyFont="1" applyBorder="1" applyAlignment="1">
      <alignment horizontal="center" vertical="center"/>
    </xf>
    <xf numFmtId="9" fontId="32" fillId="0" borderId="10" xfId="28" applyFont="1" applyFill="1" applyBorder="1" applyAlignment="1">
      <alignment horizontal="center" vertical="center"/>
    </xf>
    <xf numFmtId="0" fontId="32" fillId="0" borderId="10" xfId="28" applyNumberFormat="1" applyFont="1" applyFill="1" applyBorder="1" applyAlignment="1">
      <alignment horizontal="justify" vertical="center" wrapText="1"/>
    </xf>
    <xf numFmtId="0" fontId="33" fillId="0" borderId="83" xfId="0" applyFont="1" applyBorder="1" applyAlignment="1">
      <alignment horizontal="justify" vertical="center" wrapText="1"/>
    </xf>
    <xf numFmtId="0" fontId="32" fillId="0" borderId="42" xfId="0" applyFont="1" applyBorder="1" applyAlignment="1">
      <alignment horizontal="center" vertical="center"/>
    </xf>
    <xf numFmtId="0" fontId="32" fillId="0" borderId="11" xfId="0" applyFont="1" applyBorder="1" applyAlignment="1">
      <alignment horizontal="center" vertical="center"/>
    </xf>
    <xf numFmtId="0" fontId="32" fillId="0" borderId="11"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11" xfId="0" applyFont="1" applyBorder="1" applyAlignment="1">
      <alignment horizontal="center" vertical="center" wrapText="1"/>
    </xf>
    <xf numFmtId="0" fontId="32" fillId="0" borderId="11" xfId="0" applyFont="1" applyBorder="1" applyAlignment="1">
      <alignment horizontal="center" vertical="center" wrapText="1"/>
    </xf>
    <xf numFmtId="3" fontId="32" fillId="0" borderId="11" xfId="28" applyNumberFormat="1" applyFont="1" applyFill="1" applyBorder="1" applyAlignment="1">
      <alignment horizontal="center" vertical="center" wrapText="1"/>
    </xf>
    <xf numFmtId="166" fontId="32" fillId="0" borderId="11" xfId="11" applyFont="1" applyFill="1" applyBorder="1" applyAlignment="1">
      <alignment horizontal="center" vertical="center" wrapText="1"/>
    </xf>
    <xf numFmtId="3" fontId="32" fillId="0" borderId="11" xfId="0" applyNumberFormat="1" applyFont="1" applyBorder="1" applyAlignment="1">
      <alignment horizontal="center" vertical="center"/>
    </xf>
    <xf numFmtId="0" fontId="32" fillId="0" borderId="11" xfId="0" applyFont="1" applyBorder="1" applyAlignment="1">
      <alignment vertical="center"/>
    </xf>
    <xf numFmtId="9" fontId="32" fillId="0" borderId="11" xfId="28" applyFont="1" applyFill="1" applyBorder="1" applyAlignment="1">
      <alignment horizontal="center" vertical="center"/>
    </xf>
    <xf numFmtId="0" fontId="82" fillId="0" borderId="11" xfId="28" applyNumberFormat="1" applyFont="1" applyFill="1" applyBorder="1" applyAlignment="1">
      <alignment horizontal="justify" vertical="center" wrapText="1"/>
    </xf>
    <xf numFmtId="0" fontId="32" fillId="0" borderId="39" xfId="0" applyFont="1" applyBorder="1" applyAlignment="1">
      <alignment horizontal="center" vertical="center"/>
    </xf>
    <xf numFmtId="0" fontId="32" fillId="0" borderId="15" xfId="0" applyFont="1" applyBorder="1" applyAlignment="1">
      <alignment horizontal="center" vertical="center"/>
    </xf>
    <xf numFmtId="0" fontId="32" fillId="0" borderId="15"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5" xfId="0" applyFont="1" applyBorder="1" applyAlignment="1">
      <alignment horizontal="center" vertical="center" wrapText="1"/>
    </xf>
    <xf numFmtId="0" fontId="32" fillId="0" borderId="15" xfId="0" applyFont="1" applyBorder="1" applyAlignment="1">
      <alignment horizontal="center" vertical="center" wrapText="1"/>
    </xf>
    <xf numFmtId="3" fontId="32" fillId="0" borderId="15" xfId="28" applyNumberFormat="1" applyFont="1" applyFill="1" applyBorder="1" applyAlignment="1">
      <alignment horizontal="center" vertical="center" wrapText="1"/>
    </xf>
    <xf numFmtId="166" fontId="32" fillId="0" borderId="15" xfId="11" applyFont="1" applyFill="1" applyBorder="1" applyAlignment="1">
      <alignment horizontal="center" vertical="center" wrapText="1"/>
    </xf>
    <xf numFmtId="3" fontId="32" fillId="0" borderId="15" xfId="0" applyNumberFormat="1" applyFont="1" applyBorder="1" applyAlignment="1">
      <alignment horizontal="center" vertical="center"/>
    </xf>
    <xf numFmtId="0" fontId="32" fillId="0" borderId="15" xfId="0" applyFont="1" applyBorder="1" applyAlignment="1">
      <alignment vertical="center"/>
    </xf>
    <xf numFmtId="9" fontId="32" fillId="0" borderId="15" xfId="28" applyFont="1" applyFill="1" applyBorder="1" applyAlignment="1">
      <alignment horizontal="center" vertical="center"/>
    </xf>
    <xf numFmtId="0" fontId="82" fillId="0" borderId="15" xfId="28" applyNumberFormat="1" applyFont="1" applyFill="1" applyBorder="1" applyAlignment="1">
      <alignment horizontal="justify" vertical="center" wrapText="1"/>
    </xf>
    <xf numFmtId="0" fontId="32" fillId="0" borderId="15" xfId="28" applyNumberFormat="1" applyFont="1" applyFill="1" applyBorder="1" applyAlignment="1">
      <alignment horizontal="justify" vertical="center" wrapText="1"/>
    </xf>
    <xf numFmtId="0" fontId="33" fillId="0" borderId="16" xfId="0" applyFont="1" applyBorder="1" applyAlignment="1">
      <alignment horizontal="justify" vertical="center" wrapText="1"/>
    </xf>
    <xf numFmtId="42" fontId="83" fillId="22" borderId="0" xfId="0" applyNumberFormat="1" applyFont="1" applyFill="1" applyBorder="1" applyAlignment="1">
      <alignment horizontal="justify" vertical="top"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0" borderId="4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Border="1" applyAlignment="1">
      <alignment horizontal="center" vertical="center"/>
    </xf>
    <xf numFmtId="0" fontId="12" fillId="0" borderId="14" xfId="22"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22" applyFont="1" applyBorder="1" applyAlignment="1">
      <alignment horizontal="center" vertical="center" wrapText="1"/>
    </xf>
    <xf numFmtId="0" fontId="12" fillId="0" borderId="0" xfId="22" applyFont="1" applyBorder="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4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4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37" fillId="0" borderId="42" xfId="0" applyNumberFormat="1" applyFont="1" applyFill="1" applyBorder="1" applyAlignment="1">
      <alignment horizontal="center" vertical="center"/>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39" xfId="0" applyFont="1" applyFill="1" applyBorder="1" applyAlignment="1">
      <alignment horizontal="center" vertical="center"/>
    </xf>
    <xf numFmtId="0" fontId="37" fillId="0" borderId="16" xfId="0" applyFont="1" applyFill="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12" fillId="20" borderId="36"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2" fillId="20" borderId="36"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8"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1" fillId="0" borderId="36" xfId="22" applyFont="1" applyBorder="1" applyAlignment="1">
      <alignment horizontal="left" vertical="center" wrapText="1"/>
    </xf>
    <xf numFmtId="0" fontId="11" fillId="0" borderId="37" xfId="22" applyFont="1" applyBorder="1" applyAlignment="1">
      <alignment horizontal="left" vertical="center" wrapText="1"/>
    </xf>
    <xf numFmtId="0" fontId="11" fillId="0" borderId="38" xfId="22" applyFont="1" applyBorder="1" applyAlignment="1">
      <alignment horizontal="left" vertical="center" wrapText="1"/>
    </xf>
    <xf numFmtId="1" fontId="12" fillId="0" borderId="36" xfId="28" applyNumberFormat="1" applyFont="1" applyFill="1" applyBorder="1" applyAlignment="1" applyProtection="1">
      <alignment horizontal="center" vertical="center" wrapText="1"/>
    </xf>
    <xf numFmtId="1" fontId="12" fillId="0" borderId="38" xfId="28" applyNumberFormat="1" applyFont="1" applyFill="1" applyBorder="1" applyAlignment="1" applyProtection="1">
      <alignment horizontal="center" vertical="center" wrapText="1"/>
    </xf>
    <xf numFmtId="9" fontId="12" fillId="0" borderId="36" xfId="22" applyNumberFormat="1" applyFont="1" applyBorder="1" applyAlignment="1">
      <alignment horizontal="center" vertical="center" wrapText="1"/>
    </xf>
    <xf numFmtId="9" fontId="12" fillId="0" borderId="38" xfId="22" applyNumberFormat="1" applyFont="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19" borderId="4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4" fontId="12" fillId="0" borderId="55" xfId="22" applyNumberFormat="1" applyFont="1" applyBorder="1" applyAlignment="1">
      <alignment horizontal="center" vertical="center" wrapText="1"/>
    </xf>
    <xf numFmtId="4" fontId="12" fillId="0" borderId="23" xfId="22" applyNumberFormat="1" applyFont="1" applyBorder="1" applyAlignment="1">
      <alignment horizontal="center" vertical="center" wrapText="1"/>
    </xf>
    <xf numFmtId="0" fontId="32" fillId="0" borderId="1" xfId="22" applyFont="1" applyBorder="1" applyAlignment="1">
      <alignment horizontal="left" vertical="center" wrapText="1"/>
    </xf>
    <xf numFmtId="0" fontId="32" fillId="0" borderId="9" xfId="22" applyFont="1" applyBorder="1" applyAlignment="1">
      <alignment horizontal="left" vertical="center" wrapText="1"/>
    </xf>
    <xf numFmtId="0" fontId="12" fillId="0" borderId="40"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2" fontId="11" fillId="0" borderId="8" xfId="22" applyNumberFormat="1" applyFont="1" applyBorder="1" applyAlignment="1">
      <alignment horizontal="justify" vertical="center" wrapText="1"/>
    </xf>
    <xf numFmtId="9" fontId="11" fillId="0" borderId="1" xfId="28" applyFont="1" applyBorder="1" applyAlignment="1">
      <alignment horizontal="center" vertical="center" wrapText="1"/>
    </xf>
    <xf numFmtId="9" fontId="32" fillId="0" borderId="1" xfId="22" applyNumberFormat="1" applyFont="1" applyBorder="1" applyAlignment="1">
      <alignment horizontal="justify" vertical="center" wrapText="1"/>
    </xf>
    <xf numFmtId="9" fontId="32" fillId="0" borderId="9" xfId="22" applyNumberFormat="1" applyFont="1" applyBorder="1" applyAlignment="1">
      <alignment horizontal="justify" vertical="center" wrapText="1"/>
    </xf>
    <xf numFmtId="0" fontId="12" fillId="20" borderId="7" xfId="22" applyFont="1" applyFill="1" applyBorder="1" applyAlignment="1">
      <alignment horizontal="center" vertical="center" wrapText="1"/>
    </xf>
    <xf numFmtId="0" fontId="11" fillId="0" borderId="18" xfId="22" applyFont="1" applyBorder="1" applyAlignment="1">
      <alignment horizontal="center" vertical="center" wrapText="1"/>
    </xf>
    <xf numFmtId="0" fontId="11" fillId="0" borderId="79"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2" fillId="0" borderId="55" xfId="30" applyFont="1" applyFill="1" applyBorder="1" applyAlignment="1" applyProtection="1">
      <alignment horizontal="justify" vertical="center" wrapText="1"/>
    </xf>
    <xf numFmtId="9" fontId="32" fillId="0" borderId="22" xfId="30" applyFont="1" applyFill="1" applyBorder="1" applyAlignment="1" applyProtection="1">
      <alignment horizontal="justify" vertical="center" wrapText="1"/>
    </xf>
    <xf numFmtId="9" fontId="32" fillId="0" borderId="23" xfId="30" applyFont="1" applyFill="1" applyBorder="1" applyAlignment="1" applyProtection="1">
      <alignment horizontal="justify" vertical="center" wrapText="1"/>
    </xf>
    <xf numFmtId="9" fontId="32" fillId="0" borderId="64" xfId="30" applyFont="1" applyFill="1" applyBorder="1" applyAlignment="1" applyProtection="1">
      <alignment horizontal="justify" vertical="center" wrapText="1"/>
    </xf>
    <xf numFmtId="9" fontId="32" fillId="0" borderId="0" xfId="30" applyFont="1" applyFill="1" applyBorder="1" applyAlignment="1" applyProtection="1">
      <alignment horizontal="justify" vertical="center" wrapText="1"/>
    </xf>
    <xf numFmtId="9" fontId="32" fillId="0" borderId="24" xfId="30" applyFont="1" applyFill="1" applyBorder="1" applyAlignment="1" applyProtection="1">
      <alignment horizontal="justify" vertical="center" wrapText="1"/>
    </xf>
    <xf numFmtId="9" fontId="32" fillId="0" borderId="61" xfId="30" applyFont="1" applyFill="1" applyBorder="1" applyAlignment="1" applyProtection="1">
      <alignment horizontal="justify" vertical="center" wrapText="1"/>
    </xf>
    <xf numFmtId="9" fontId="32" fillId="0" borderId="14" xfId="30" applyFont="1" applyFill="1" applyBorder="1" applyAlignment="1" applyProtection="1">
      <alignment horizontal="justify" vertical="center" wrapText="1"/>
    </xf>
    <xf numFmtId="2" fontId="11" fillId="0" borderId="31" xfId="22" applyNumberFormat="1" applyFont="1" applyBorder="1" applyAlignment="1">
      <alignment horizontal="justify" vertical="center" wrapText="1"/>
    </xf>
    <xf numFmtId="9" fontId="11" fillId="0" borderId="19" xfId="28" applyFont="1" applyBorder="1" applyAlignment="1">
      <alignment horizontal="center" vertical="center" wrapText="1"/>
    </xf>
    <xf numFmtId="9" fontId="32" fillId="0" borderId="1" xfId="22" applyNumberFormat="1" applyFont="1" applyBorder="1" applyAlignment="1">
      <alignment horizontal="left" vertical="center" wrapText="1"/>
    </xf>
    <xf numFmtId="9" fontId="32" fillId="0" borderId="9" xfId="22" applyNumberFormat="1" applyFont="1" applyBorder="1" applyAlignment="1">
      <alignment horizontal="left" vertical="center" wrapText="1"/>
    </xf>
    <xf numFmtId="9" fontId="32" fillId="0" borderId="19" xfId="22" applyNumberFormat="1" applyFont="1" applyBorder="1" applyAlignment="1">
      <alignment horizontal="left" vertical="center" wrapText="1"/>
    </xf>
    <xf numFmtId="9" fontId="32" fillId="0" borderId="33" xfId="22" applyNumberFormat="1" applyFont="1" applyBorder="1" applyAlignment="1">
      <alignment horizontal="left" vertical="center" wrapText="1"/>
    </xf>
    <xf numFmtId="9" fontId="32" fillId="0" borderId="1" xfId="22" applyNumberFormat="1" applyFont="1" applyBorder="1" applyAlignment="1">
      <alignment horizontal="justify" vertical="top" wrapText="1"/>
    </xf>
    <xf numFmtId="9" fontId="32" fillId="0" borderId="9" xfId="22" applyNumberFormat="1" applyFont="1" applyBorder="1" applyAlignment="1">
      <alignment horizontal="justify" vertical="top" wrapText="1"/>
    </xf>
    <xf numFmtId="2" fontId="11" fillId="0" borderId="32" xfId="22" applyNumberFormat="1" applyFont="1" applyBorder="1" applyAlignment="1">
      <alignment horizontal="justify" vertical="center" wrapText="1"/>
    </xf>
    <xf numFmtId="9" fontId="11" fillId="0" borderId="35" xfId="28" applyFont="1" applyBorder="1" applyAlignment="1">
      <alignment horizontal="center" vertical="center" wrapText="1"/>
    </xf>
    <xf numFmtId="9" fontId="11" fillId="0" borderId="58" xfId="28" applyFont="1" applyBorder="1" applyAlignment="1">
      <alignment horizontal="center" vertical="center" wrapText="1"/>
    </xf>
    <xf numFmtId="9" fontId="32" fillId="0" borderId="55" xfId="22" applyNumberFormat="1" applyFont="1" applyBorder="1" applyAlignment="1">
      <alignment horizontal="justify" vertical="center" wrapText="1"/>
    </xf>
    <xf numFmtId="9" fontId="32" fillId="0" borderId="22" xfId="22" applyNumberFormat="1" applyFont="1" applyBorder="1" applyAlignment="1">
      <alignment horizontal="justify" vertical="center" wrapText="1"/>
    </xf>
    <xf numFmtId="9" fontId="32" fillId="0" borderId="61" xfId="22" applyNumberFormat="1" applyFont="1" applyBorder="1" applyAlignment="1">
      <alignment horizontal="justify" vertical="center" wrapText="1"/>
    </xf>
    <xf numFmtId="9" fontId="32" fillId="0" borderId="59" xfId="22" applyNumberFormat="1" applyFont="1" applyBorder="1" applyAlignment="1">
      <alignment horizontal="justify" vertical="center" wrapText="1"/>
    </xf>
    <xf numFmtId="9" fontId="32" fillId="0" borderId="15" xfId="22" applyNumberFormat="1" applyFont="1" applyBorder="1" applyAlignment="1">
      <alignment horizontal="justify" vertical="center" wrapText="1"/>
    </xf>
    <xf numFmtId="9" fontId="32" fillId="0" borderId="16" xfId="22" applyNumberFormat="1" applyFont="1" applyBorder="1" applyAlignment="1">
      <alignment horizontal="justify" vertical="center" wrapText="1"/>
    </xf>
    <xf numFmtId="0" fontId="12" fillId="20" borderId="62"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1" fillId="0" borderId="18" xfId="22" applyFont="1" applyBorder="1" applyAlignment="1">
      <alignment horizontal="justify" vertical="center" wrapText="1"/>
    </xf>
    <xf numFmtId="0" fontId="11" fillId="0" borderId="57" xfId="22" applyFont="1" applyBorder="1" applyAlignment="1">
      <alignment horizontal="justify" vertical="center" wrapText="1"/>
    </xf>
    <xf numFmtId="0" fontId="12" fillId="0" borderId="58" xfId="22" applyFont="1" applyBorder="1" applyAlignment="1">
      <alignment horizontal="center" vertical="center" wrapText="1"/>
    </xf>
    <xf numFmtId="9" fontId="32" fillId="0" borderId="59" xfId="30" applyFont="1" applyFill="1" applyBorder="1" applyAlignment="1" applyProtection="1">
      <alignment horizontal="justify" vertical="center" wrapText="1"/>
    </xf>
    <xf numFmtId="9" fontId="32" fillId="0" borderId="15" xfId="30" applyFont="1" applyFill="1" applyBorder="1" applyAlignment="1" applyProtection="1">
      <alignment horizontal="justify" vertical="center" wrapText="1"/>
    </xf>
    <xf numFmtId="9" fontId="32" fillId="0" borderId="60" xfId="30" applyFont="1" applyFill="1" applyBorder="1" applyAlignment="1" applyProtection="1">
      <alignment horizontal="justify" vertical="center" wrapText="1"/>
    </xf>
    <xf numFmtId="9" fontId="33" fillId="0" borderId="55"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5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1" fillId="0" borderId="1" xfId="22" applyFont="1" applyBorder="1" applyAlignment="1">
      <alignment horizontal="left" vertical="center" wrapText="1"/>
    </xf>
    <xf numFmtId="0" fontId="11" fillId="0" borderId="9" xfId="22" applyFont="1" applyBorder="1" applyAlignment="1">
      <alignment horizontal="left" vertical="center" wrapText="1"/>
    </xf>
    <xf numFmtId="0" fontId="12" fillId="20" borderId="18" xfId="22" applyFont="1" applyFill="1" applyBorder="1" applyAlignment="1">
      <alignment horizontal="center" vertical="center" wrapText="1"/>
    </xf>
    <xf numFmtId="0" fontId="12" fillId="20" borderId="32"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3" fontId="12" fillId="0" borderId="36" xfId="28" applyNumberFormat="1" applyFont="1" applyFill="1" applyBorder="1" applyAlignment="1" applyProtection="1">
      <alignment horizontal="center" vertical="center" wrapText="1"/>
    </xf>
    <xf numFmtId="3" fontId="12" fillId="0" borderId="38" xfId="28" applyNumberFormat="1" applyFont="1" applyFill="1" applyBorder="1" applyAlignment="1" applyProtection="1">
      <alignment horizontal="center" vertical="center" wrapText="1"/>
    </xf>
    <xf numFmtId="0" fontId="38" fillId="0" borderId="43" xfId="0" applyFont="1" applyFill="1" applyBorder="1" applyAlignment="1">
      <alignment horizontal="center" vertical="center"/>
    </xf>
    <xf numFmtId="0" fontId="38" fillId="0" borderId="44" xfId="0" applyFont="1" applyFill="1" applyBorder="1" applyAlignment="1">
      <alignment horizontal="center" vertical="center"/>
    </xf>
    <xf numFmtId="0" fontId="38" fillId="0" borderId="45" xfId="0" applyFont="1" applyFill="1" applyBorder="1" applyAlignment="1">
      <alignment horizontal="center" vertical="center"/>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36" fillId="0" borderId="1" xfId="22" applyNumberFormat="1" applyFont="1" applyBorder="1" applyAlignment="1">
      <alignment horizontal="justify" vertical="center" wrapText="1"/>
    </xf>
    <xf numFmtId="9" fontId="36" fillId="0" borderId="9" xfId="22" applyNumberFormat="1" applyFont="1" applyBorder="1" applyAlignment="1">
      <alignment horizontal="justify" vertical="center" wrapText="1"/>
    </xf>
    <xf numFmtId="9" fontId="36" fillId="0" borderId="19" xfId="22" applyNumberFormat="1" applyFont="1" applyBorder="1" applyAlignment="1">
      <alignment horizontal="justify" vertical="center" wrapText="1"/>
    </xf>
    <xf numFmtId="9" fontId="36" fillId="0" borderId="33" xfId="22" applyNumberFormat="1" applyFont="1" applyBorder="1" applyAlignment="1">
      <alignment horizontal="justify" vertical="center" wrapText="1"/>
    </xf>
    <xf numFmtId="9" fontId="45" fillId="0" borderId="77" xfId="0" applyNumberFormat="1" applyFont="1" applyBorder="1" applyAlignment="1">
      <alignment horizontal="center" vertical="center" wrapText="1"/>
    </xf>
    <xf numFmtId="0" fontId="44" fillId="0" borderId="82" xfId="0" applyFont="1" applyBorder="1" applyAlignment="1"/>
    <xf numFmtId="2" fontId="11" fillId="0" borderId="40" xfId="22" applyNumberFormat="1" applyFont="1" applyBorder="1" applyAlignment="1">
      <alignment horizontal="justify" vertical="center" wrapText="1"/>
    </xf>
    <xf numFmtId="9" fontId="11" fillId="0" borderId="62" xfId="22" applyNumberFormat="1" applyFont="1" applyBorder="1" applyAlignment="1">
      <alignment horizontal="center" vertical="center" wrapText="1"/>
    </xf>
    <xf numFmtId="9" fontId="11" fillId="0" borderId="4" xfId="22" applyNumberFormat="1" applyFont="1" applyBorder="1" applyAlignment="1">
      <alignment horizontal="center" vertical="center" wrapText="1"/>
    </xf>
    <xf numFmtId="9" fontId="11" fillId="0" borderId="10" xfId="22" applyNumberFormat="1" applyFont="1" applyBorder="1" applyAlignment="1">
      <alignment horizontal="center" vertical="center" wrapText="1"/>
    </xf>
    <xf numFmtId="0" fontId="43" fillId="28" borderId="80" xfId="0" applyFont="1" applyFill="1" applyBorder="1" applyAlignment="1">
      <alignment horizontal="center" vertical="center" wrapText="1"/>
    </xf>
    <xf numFmtId="0" fontId="44" fillId="0" borderId="81" xfId="0" applyFont="1" applyBorder="1" applyAlignment="1"/>
    <xf numFmtId="0" fontId="44" fillId="0" borderId="78" xfId="0" applyFont="1" applyBorder="1" applyAlignment="1"/>
    <xf numFmtId="0" fontId="12" fillId="20" borderId="35"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9" fontId="36" fillId="0" borderId="55" xfId="30" applyFont="1" applyFill="1" applyBorder="1" applyAlignment="1" applyProtection="1">
      <alignment horizontal="justify" vertical="center" wrapText="1"/>
    </xf>
    <xf numFmtId="9" fontId="36" fillId="0" borderId="22" xfId="30" applyFont="1" applyFill="1" applyBorder="1" applyAlignment="1" applyProtection="1">
      <alignment horizontal="justify" vertical="center" wrapText="1"/>
    </xf>
    <xf numFmtId="9" fontId="36" fillId="0" borderId="23" xfId="30" applyFont="1" applyFill="1" applyBorder="1" applyAlignment="1" applyProtection="1">
      <alignment horizontal="justify" vertical="center" wrapText="1"/>
    </xf>
    <xf numFmtId="9" fontId="36" fillId="0" borderId="59" xfId="30" applyFont="1" applyFill="1" applyBorder="1" applyAlignment="1" applyProtection="1">
      <alignment horizontal="justify" vertical="center" wrapText="1"/>
    </xf>
    <xf numFmtId="9" fontId="36" fillId="0" borderId="15" xfId="30" applyFont="1" applyFill="1" applyBorder="1" applyAlignment="1" applyProtection="1">
      <alignment horizontal="justify" vertical="center" wrapText="1"/>
    </xf>
    <xf numFmtId="9" fontId="36" fillId="0" borderId="60" xfId="30" applyFont="1" applyFill="1" applyBorder="1" applyAlignment="1" applyProtection="1">
      <alignment horizontal="justify" vertical="center" wrapText="1"/>
    </xf>
    <xf numFmtId="9" fontId="11" fillId="0" borderId="55" xfId="30" applyFont="1" applyFill="1" applyBorder="1" applyAlignment="1" applyProtection="1">
      <alignment horizontal="justify" vertical="center" wrapText="1"/>
    </xf>
    <xf numFmtId="9" fontId="11" fillId="0" borderId="22" xfId="30" applyFont="1" applyFill="1" applyBorder="1" applyAlignment="1" applyProtection="1">
      <alignment horizontal="justify" vertical="center" wrapText="1"/>
    </xf>
    <xf numFmtId="9" fontId="11" fillId="0" borderId="61" xfId="30" applyFont="1" applyFill="1" applyBorder="1" applyAlignment="1" applyProtection="1">
      <alignment horizontal="justify" vertical="center" wrapText="1"/>
    </xf>
    <xf numFmtId="9" fontId="11" fillId="0" borderId="59" xfId="30" applyFont="1" applyFill="1" applyBorder="1" applyAlignment="1" applyProtection="1">
      <alignment horizontal="justify" vertical="center" wrapText="1"/>
    </xf>
    <xf numFmtId="9" fontId="11" fillId="0" borderId="15" xfId="30" applyFont="1" applyFill="1" applyBorder="1" applyAlignment="1" applyProtection="1">
      <alignment horizontal="justify" vertical="center" wrapText="1"/>
    </xf>
    <xf numFmtId="9" fontId="11" fillId="0" borderId="16" xfId="30" applyFont="1" applyFill="1" applyBorder="1" applyAlignment="1" applyProtection="1">
      <alignment horizontal="justify" vertical="center" wrapText="1"/>
    </xf>
    <xf numFmtId="0" fontId="12" fillId="0" borderId="42" xfId="22" applyFont="1" applyFill="1" applyBorder="1" applyAlignment="1">
      <alignment horizontal="left" vertical="center" wrapText="1"/>
    </xf>
    <xf numFmtId="0" fontId="12" fillId="0" borderId="11" xfId="22" applyFont="1" applyFill="1" applyBorder="1" applyAlignment="1">
      <alignment horizontal="left" vertical="center" wrapText="1"/>
    </xf>
    <xf numFmtId="0" fontId="12" fillId="0" borderId="12" xfId="22" applyFont="1" applyFill="1" applyBorder="1" applyAlignment="1">
      <alignment horizontal="left" vertical="center" wrapText="1"/>
    </xf>
    <xf numFmtId="0" fontId="12" fillId="0" borderId="13" xfId="22" applyFont="1" applyFill="1" applyBorder="1" applyAlignment="1">
      <alignment horizontal="left" vertical="center" wrapText="1"/>
    </xf>
    <xf numFmtId="0" fontId="12" fillId="0" borderId="0" xfId="22" applyFont="1" applyFill="1" applyBorder="1" applyAlignment="1">
      <alignment horizontal="left" vertical="center" wrapText="1"/>
    </xf>
    <xf numFmtId="0" fontId="12" fillId="0" borderId="14" xfId="22" applyFont="1" applyFill="1" applyBorder="1" applyAlignment="1">
      <alignment horizontal="left" vertical="center" wrapText="1"/>
    </xf>
    <xf numFmtId="0" fontId="12" fillId="0" borderId="39" xfId="22" applyFont="1" applyFill="1" applyBorder="1" applyAlignment="1">
      <alignment horizontal="left" vertical="center" wrapText="1"/>
    </xf>
    <xf numFmtId="0" fontId="12" fillId="0" borderId="15" xfId="22" applyFont="1" applyFill="1" applyBorder="1" applyAlignment="1">
      <alignment horizontal="left" vertical="center" wrapText="1"/>
    </xf>
    <xf numFmtId="0" fontId="12" fillId="0" borderId="16" xfId="22" applyFont="1" applyFill="1" applyBorder="1" applyAlignment="1">
      <alignment horizontal="left" vertical="center" wrapText="1"/>
    </xf>
    <xf numFmtId="185" fontId="12" fillId="0" borderId="36" xfId="28" applyNumberFormat="1" applyFont="1" applyFill="1" applyBorder="1" applyAlignment="1" applyProtection="1">
      <alignment horizontal="center" vertical="center" wrapText="1"/>
    </xf>
    <xf numFmtId="185" fontId="12" fillId="0" borderId="38" xfId="28" applyNumberFormat="1" applyFont="1" applyFill="1" applyBorder="1" applyAlignment="1" applyProtection="1">
      <alignment horizontal="center" vertical="center" wrapText="1"/>
    </xf>
    <xf numFmtId="0" fontId="43" fillId="28" borderId="77" xfId="0" applyFont="1" applyFill="1" applyBorder="1" applyAlignment="1">
      <alignment horizontal="center" vertical="center" wrapText="1"/>
    </xf>
    <xf numFmtId="9" fontId="11" fillId="0" borderId="58" xfId="22" applyNumberFormat="1" applyFont="1" applyBorder="1" applyAlignment="1">
      <alignment horizontal="center" vertical="center" wrapText="1"/>
    </xf>
    <xf numFmtId="9" fontId="11" fillId="0" borderId="10" xfId="28" applyFont="1" applyBorder="1" applyAlignment="1">
      <alignment horizontal="center" vertical="center" wrapText="1"/>
    </xf>
    <xf numFmtId="9" fontId="11" fillId="0" borderId="4" xfId="28" applyFont="1" applyBorder="1" applyAlignment="1">
      <alignment horizontal="center" vertical="center" wrapText="1"/>
    </xf>
    <xf numFmtId="9" fontId="36" fillId="0" borderId="55" xfId="22" applyNumberFormat="1" applyFont="1" applyBorder="1" applyAlignment="1">
      <alignment horizontal="justify" vertical="center" wrapText="1"/>
    </xf>
    <xf numFmtId="9" fontId="36" fillId="0" borderId="22" xfId="22" applyNumberFormat="1" applyFont="1" applyBorder="1" applyAlignment="1">
      <alignment horizontal="justify" vertical="center" wrapText="1"/>
    </xf>
    <xf numFmtId="9" fontId="36" fillId="0" borderId="61" xfId="22" applyNumberFormat="1" applyFont="1" applyBorder="1" applyAlignment="1">
      <alignment horizontal="justify" vertical="center" wrapText="1"/>
    </xf>
    <xf numFmtId="9" fontId="36" fillId="0" borderId="64" xfId="22" applyNumberFormat="1" applyFont="1" applyBorder="1" applyAlignment="1">
      <alignment horizontal="justify" vertical="center" wrapText="1"/>
    </xf>
    <xf numFmtId="9" fontId="36" fillId="0" borderId="14" xfId="22" applyNumberFormat="1" applyFont="1" applyBorder="1" applyAlignment="1">
      <alignment horizontal="justify" vertical="center" wrapText="1"/>
    </xf>
    <xf numFmtId="9" fontId="36" fillId="0" borderId="59" xfId="22" applyNumberFormat="1" applyFont="1" applyBorder="1" applyAlignment="1">
      <alignment horizontal="justify" vertical="center" wrapText="1"/>
    </xf>
    <xf numFmtId="9" fontId="36" fillId="0" borderId="15" xfId="22" applyNumberFormat="1" applyFont="1" applyBorder="1" applyAlignment="1">
      <alignment horizontal="justify" vertical="center" wrapText="1"/>
    </xf>
    <xf numFmtId="9" fontId="36" fillId="0" borderId="16" xfId="22" applyNumberFormat="1" applyFont="1" applyBorder="1" applyAlignment="1">
      <alignment horizontal="justify" vertical="center" wrapText="1"/>
    </xf>
    <xf numFmtId="9" fontId="36" fillId="0" borderId="61" xfId="30" applyFont="1" applyFill="1" applyBorder="1" applyAlignment="1" applyProtection="1">
      <alignment horizontal="justify" vertical="center" wrapText="1"/>
    </xf>
    <xf numFmtId="9" fontId="36" fillId="0" borderId="16" xfId="30" applyFont="1" applyFill="1" applyBorder="1" applyAlignment="1" applyProtection="1">
      <alignment horizontal="justify"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7" fillId="0" borderId="42"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12" fillId="20" borderId="39"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5" fillId="0" borderId="38" xfId="22" applyFont="1" applyBorder="1" applyAlignment="1">
      <alignment horizontal="center" vertical="center" wrapText="1"/>
    </xf>
    <xf numFmtId="172" fontId="12" fillId="19" borderId="53"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52"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5" xfId="22" applyFont="1" applyBorder="1" applyAlignment="1">
      <alignment horizontal="center" vertical="center" wrapText="1"/>
    </xf>
    <xf numFmtId="9" fontId="33" fillId="0" borderId="55"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61" xfId="22" applyNumberFormat="1" applyFont="1" applyBorder="1" applyAlignment="1">
      <alignment horizontal="center" vertical="center" wrapText="1"/>
    </xf>
    <xf numFmtId="9" fontId="33" fillId="0" borderId="6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0" borderId="0" xfId="22" applyFont="1" applyAlignment="1">
      <alignment horizontal="center" vertical="center"/>
    </xf>
    <xf numFmtId="0" fontId="12" fillId="19" borderId="0" xfId="22" applyFont="1" applyFill="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7"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9" fontId="33" fillId="0" borderId="55"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61" xfId="22" applyNumberFormat="1" applyFont="1" applyBorder="1" applyAlignment="1">
      <alignment horizontal="left" vertical="center" wrapText="1"/>
    </xf>
    <xf numFmtId="9" fontId="33" fillId="0" borderId="6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58" xfId="22" applyNumberFormat="1" applyFont="1" applyBorder="1" applyAlignment="1">
      <alignment horizontal="center" vertical="center" wrapText="1"/>
    </xf>
    <xf numFmtId="9" fontId="33" fillId="0" borderId="5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0" xfId="22" applyFont="1" applyFill="1" applyAlignment="1">
      <alignment horizontal="center" vertical="center" wrapText="1"/>
    </xf>
    <xf numFmtId="0" fontId="12" fillId="20" borderId="15" xfId="22" applyFont="1" applyFill="1" applyBorder="1" applyAlignment="1">
      <alignment horizontal="center" vertical="center" wrapText="1"/>
    </xf>
    <xf numFmtId="0" fontId="12" fillId="0" borderId="0" xfId="22" applyFont="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57"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6"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9" xfId="0" applyFont="1" applyBorder="1" applyAlignment="1">
      <alignment horizontal="left"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34" fillId="9" borderId="83"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34"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Border="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56" xfId="0" applyFont="1" applyBorder="1" applyAlignment="1">
      <alignment horizontal="left" vertical="center"/>
    </xf>
    <xf numFmtId="0" fontId="32" fillId="0" borderId="5" xfId="0" applyFont="1" applyBorder="1" applyAlignment="1">
      <alignment horizontal="left" vertical="center"/>
    </xf>
    <xf numFmtId="0" fontId="34" fillId="9" borderId="2" xfId="0" applyFont="1" applyFill="1" applyBorder="1" applyAlignment="1">
      <alignment horizontal="center" vertical="center" wrapText="1"/>
    </xf>
    <xf numFmtId="0" fontId="12" fillId="19" borderId="19" xfId="22" applyFont="1" applyFill="1" applyBorder="1" applyAlignment="1">
      <alignment vertical="center" wrapText="1"/>
    </xf>
    <xf numFmtId="0" fontId="34" fillId="9" borderId="50" xfId="0" applyFont="1" applyFill="1" applyBorder="1" applyAlignment="1">
      <alignment horizontal="center" vertical="center"/>
    </xf>
    <xf numFmtId="0" fontId="34" fillId="9" borderId="63" xfId="0" applyFont="1" applyFill="1" applyBorder="1" applyAlignment="1">
      <alignment horizontal="center" vertical="center"/>
    </xf>
    <xf numFmtId="0" fontId="34" fillId="9" borderId="51"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40" xfId="0" applyFont="1" applyFill="1" applyBorder="1" applyAlignment="1">
      <alignment horizontal="center" vertical="center"/>
    </xf>
    <xf numFmtId="0" fontId="34" fillId="9" borderId="47" xfId="0" applyFont="1" applyFill="1" applyBorder="1" applyAlignment="1">
      <alignment horizontal="center" vertical="center"/>
    </xf>
    <xf numFmtId="0" fontId="34" fillId="9" borderId="48" xfId="0" applyFont="1" applyFill="1" applyBorder="1" applyAlignment="1">
      <alignment horizontal="center" vertical="center"/>
    </xf>
    <xf numFmtId="0" fontId="12" fillId="19" borderId="19" xfId="22" applyFont="1" applyFill="1" applyBorder="1" applyAlignment="1">
      <alignment horizontal="left" vertical="center" wrapText="1"/>
    </xf>
    <xf numFmtId="0" fontId="12" fillId="23" borderId="1" xfId="22" applyFont="1" applyFill="1" applyBorder="1" applyAlignment="1">
      <alignment horizontal="center" vertical="center" wrapText="1"/>
    </xf>
    <xf numFmtId="0" fontId="12" fillId="23" borderId="19" xfId="22" applyFont="1" applyFill="1" applyBorder="1" applyAlignment="1">
      <alignment horizontal="center" vertical="center" wrapText="1"/>
    </xf>
    <xf numFmtId="0" fontId="12" fillId="19" borderId="2" xfId="22" applyFont="1" applyFill="1" applyBorder="1" applyAlignment="1">
      <alignment horizontal="left" vertical="center" wrapText="1"/>
    </xf>
    <xf numFmtId="0" fontId="12" fillId="19" borderId="56"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12" fillId="19" borderId="33" xfId="22"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22" xfId="0" applyFont="1" applyBorder="1" applyAlignment="1">
      <alignment horizontal="left" vertical="center"/>
    </xf>
    <xf numFmtId="0" fontId="32" fillId="0" borderId="23" xfId="0" applyFont="1" applyBorder="1" applyAlignment="1">
      <alignment horizontal="left" vertical="center"/>
    </xf>
    <xf numFmtId="0" fontId="34" fillId="23" borderId="8" xfId="22"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34" fillId="23" borderId="31" xfId="22" applyFont="1" applyFill="1" applyBorder="1" applyAlignment="1">
      <alignment horizontal="center" vertical="center" wrapText="1"/>
    </xf>
    <xf numFmtId="0" fontId="34" fillId="23" borderId="19" xfId="22"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21" xfId="22" applyFont="1" applyFill="1" applyBorder="1" applyAlignment="1">
      <alignment horizontal="left" vertical="center" wrapText="1"/>
    </xf>
    <xf numFmtId="0" fontId="12" fillId="19" borderId="65" xfId="22" applyFont="1" applyFill="1" applyBorder="1" applyAlignment="1">
      <alignment horizontal="left" vertical="center" wrapText="1"/>
    </xf>
    <xf numFmtId="0" fontId="12" fillId="19" borderId="49" xfId="22" applyFont="1" applyFill="1" applyBorder="1" applyAlignment="1">
      <alignment horizontal="left" vertical="center" wrapText="1"/>
    </xf>
    <xf numFmtId="0" fontId="12" fillId="19" borderId="1" xfId="22" applyFont="1" applyFill="1" applyBorder="1" applyAlignment="1">
      <alignment vertical="center" wrapText="1"/>
    </xf>
    <xf numFmtId="0" fontId="12" fillId="19" borderId="9" xfId="22"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Fill="1" applyBorder="1" applyAlignment="1">
      <alignment horizontal="center" vertical="center"/>
    </xf>
    <xf numFmtId="0" fontId="40" fillId="0" borderId="1"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left" vertical="center"/>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0" fontId="0" fillId="0" borderId="0" xfId="0" applyAlignment="1">
      <alignment horizont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9" fontId="36" fillId="0" borderId="0" xfId="22" applyNumberFormat="1" applyFont="1" applyBorder="1" applyAlignment="1">
      <alignment horizontal="justify" vertical="center" wrapText="1"/>
    </xf>
    <xf numFmtId="172" fontId="0" fillId="0" borderId="0" xfId="0" applyNumberFormat="1" applyAlignment="1">
      <alignment horizontal="center" vertical="center"/>
    </xf>
    <xf numFmtId="165" fontId="31" fillId="0" borderId="0" xfId="15" applyFont="1" applyAlignment="1">
      <alignment horizontal="center" vertical="center"/>
    </xf>
    <xf numFmtId="0" fontId="31" fillId="0" borderId="0" xfId="0" applyFont="1" applyAlignment="1">
      <alignment horizontal="center" vertical="center"/>
    </xf>
    <xf numFmtId="0" fontId="45" fillId="0" borderId="0" xfId="0" applyFont="1" applyAlignment="1">
      <alignment horizontal="center" vertical="center"/>
    </xf>
    <xf numFmtId="176" fontId="0" fillId="0" borderId="0" xfId="0" applyNumberFormat="1" applyAlignment="1">
      <alignment horizontal="center" vertical="center" wrapText="1"/>
    </xf>
    <xf numFmtId="176" fontId="20" fillId="0" borderId="0" xfId="14" applyNumberFormat="1" applyFont="1" applyBorder="1" applyAlignment="1">
      <alignment horizontal="center" vertical="center" wrapText="1"/>
    </xf>
    <xf numFmtId="172" fontId="0" fillId="0" borderId="0" xfId="0" applyNumberFormat="1" applyAlignment="1">
      <alignment horizontal="center" vertical="center" wrapText="1"/>
    </xf>
    <xf numFmtId="165" fontId="20" fillId="0" borderId="0" xfId="15" applyFont="1" applyAlignment="1">
      <alignment horizontal="center" vertical="center" wrapText="1"/>
    </xf>
    <xf numFmtId="165" fontId="31" fillId="0" borderId="0" xfId="15"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2" fillId="0" borderId="0" xfId="0" applyFont="1" applyAlignment="1">
      <alignment horizontal="center" vertical="center" wrapText="1"/>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5" xr:uid="{C1E79A70-DD45-4429-938C-87D5017683A7}"/>
    <cellStyle name="Encabezado 1 2" xfId="5" xr:uid="{00000000-0005-0000-0000-000008000000}"/>
    <cellStyle name="Encabezado 2" xfId="6" xr:uid="{00000000-0005-0000-0000-000009000000}"/>
    <cellStyle name="Énfasis1" xfId="34"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1">
    <dxf>
      <font>
        <color rgb="FF9C0006"/>
      </font>
      <fill>
        <patternFill>
          <bgColor rgb="FFFFC7CE"/>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142874</xdr:colOff>
      <xdr:row>7</xdr:row>
      <xdr:rowOff>95250</xdr:rowOff>
    </xdr:from>
    <xdr:to>
      <xdr:col>13</xdr:col>
      <xdr:colOff>609600</xdr:colOff>
      <xdr:row>21</xdr:row>
      <xdr:rowOff>142875</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142874" y="1600200"/>
          <a:ext cx="10458451" cy="2714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Documents/Nana/SPI/2022%20SCPI/2022%20Instrumentos.Planeaci&#243;n/01.%20Enero.2022/01.%207673%20Seg.ene.2022%2007-feb-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uest/Downloads/V.2.%2002.%207673%20Seg.feb.2022%2003-mar-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uest/Downloads/7673%20Seg.ene.2022%2007-feb-2022%20enviado%20Diana%20Parra.aju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Instructivo"/>
      <sheetName val="Generalidades"/>
      <sheetName val="Hoja2"/>
      <sheetName val="Hoja13"/>
      <sheetName val="Hoja1"/>
    </sheetNames>
    <sheetDataSet>
      <sheetData sheetId="0"/>
      <sheetData sheetId="1">
        <row r="24">
          <cell r="D24">
            <v>0</v>
          </cell>
        </row>
      </sheetData>
      <sheetData sheetId="2">
        <row r="24">
          <cell r="D24">
            <v>4533333</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Instructivo"/>
      <sheetName val="Generalidades"/>
      <sheetName val="Hoja2"/>
      <sheetName val="Hoja13"/>
      <sheetName val="Hoja1"/>
    </sheetNames>
    <sheetDataSet>
      <sheetData sheetId="0">
        <row r="35">
          <cell r="D35">
            <v>0</v>
          </cell>
          <cell r="E35">
            <v>531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1..n"/>
      <sheetName val="Meta 4"/>
      <sheetName val="Indicadores PA "/>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35">
          <cell r="D35"/>
          <cell r="E35"/>
          <cell r="F35"/>
          <cell r="G35"/>
          <cell r="H35"/>
          <cell r="I35"/>
          <cell r="J35"/>
          <cell r="K35"/>
          <cell r="L35"/>
          <cell r="M35"/>
          <cell r="N35"/>
          <cell r="O35"/>
        </row>
      </sheetData>
      <sheetData sheetId="1">
        <row r="35">
          <cell r="D35">
            <v>0</v>
          </cell>
          <cell r="E35"/>
          <cell r="F35"/>
          <cell r="G35"/>
          <cell r="H35"/>
          <cell r="I35"/>
          <cell r="J35"/>
          <cell r="K35"/>
          <cell r="L35"/>
          <cell r="M35"/>
          <cell r="N35"/>
          <cell r="O35"/>
        </row>
      </sheetData>
      <sheetData sheetId="2">
        <row r="35">
          <cell r="D35">
            <v>0</v>
          </cell>
          <cell r="E35">
            <v>0</v>
          </cell>
          <cell r="F35">
            <v>0</v>
          </cell>
          <cell r="G35">
            <v>0</v>
          </cell>
          <cell r="H35">
            <v>0</v>
          </cell>
          <cell r="I35">
            <v>0</v>
          </cell>
          <cell r="J35">
            <v>0</v>
          </cell>
          <cell r="K35">
            <v>0</v>
          </cell>
          <cell r="L35">
            <v>0</v>
          </cell>
          <cell r="M35">
            <v>0</v>
          </cell>
          <cell r="N35">
            <v>0</v>
          </cell>
          <cell r="O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theme="7" tint="0.39997558519241921"/>
    <pageSetUpPr fitToPage="1"/>
  </sheetPr>
  <dimension ref="A1:AO51"/>
  <sheetViews>
    <sheetView showGridLines="0" view="pageBreakPreview" topLeftCell="Y50" zoomScale="70" zoomScaleNormal="75" zoomScaleSheetLayoutView="70" workbookViewId="0">
      <selection activeCell="AF1" sqref="AF1:AM1048576"/>
    </sheetView>
  </sheetViews>
  <sheetFormatPr baseColWidth="10" defaultColWidth="10.85546875" defaultRowHeight="15"/>
  <cols>
    <col min="1" max="1" width="38.5703125" style="50" customWidth="1"/>
    <col min="2" max="2" width="11.42578125" style="50" customWidth="1"/>
    <col min="3" max="3" width="19.85546875" style="50" customWidth="1"/>
    <col min="4" max="4" width="16.42578125" style="50" customWidth="1"/>
    <col min="5" max="5" width="14.7109375" style="50" bestFit="1" customWidth="1"/>
    <col min="6" max="6" width="15.28515625" style="50" bestFit="1" customWidth="1"/>
    <col min="7" max="14" width="9.7109375" style="50" customWidth="1"/>
    <col min="15" max="15" width="16"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160" customWidth="1"/>
    <col min="33" max="33" width="18.42578125" style="160" bestFit="1" customWidth="1"/>
    <col min="34" max="34" width="13.5703125" style="160" bestFit="1" customWidth="1"/>
    <col min="35" max="35" width="18.42578125" style="160" bestFit="1" customWidth="1"/>
    <col min="36" max="36" width="5.7109375" style="160" customWidth="1"/>
    <col min="37" max="37" width="18.42578125" style="160" bestFit="1" customWidth="1"/>
    <col min="38" max="38" width="4.7109375" style="160" customWidth="1"/>
    <col min="39" max="39" width="23" style="160" bestFit="1" customWidth="1"/>
    <col min="40" max="40" width="10.85546875" style="50"/>
    <col min="41" max="41" width="18.42578125" style="50" bestFit="1" customWidth="1"/>
    <col min="42" max="42" width="16.140625" style="50" customWidth="1"/>
    <col min="43" max="256" width="10.85546875" style="50"/>
    <col min="257" max="257" width="42" style="50" customWidth="1"/>
    <col min="258" max="258" width="21.7109375" style="50" customWidth="1"/>
    <col min="259" max="270" width="20.7109375" style="50" customWidth="1"/>
    <col min="271" max="271" width="16.140625" style="50" customWidth="1"/>
    <col min="272" max="283" width="18.140625" style="50" customWidth="1"/>
    <col min="284" max="284" width="22.7109375" style="50" customWidth="1"/>
    <col min="285" max="285" width="19" style="50" customWidth="1"/>
    <col min="286" max="286" width="19.42578125" style="50" customWidth="1"/>
    <col min="287" max="287" width="6.28515625" style="50" bestFit="1" customWidth="1"/>
    <col min="288" max="288" width="22.85546875" style="50" customWidth="1"/>
    <col min="289" max="289" width="18.42578125" style="50" bestFit="1" customWidth="1"/>
    <col min="290" max="290" width="8.42578125" style="50" customWidth="1"/>
    <col min="291" max="291" width="18.42578125" style="50" bestFit="1" customWidth="1"/>
    <col min="292" max="292" width="5.7109375" style="50" customWidth="1"/>
    <col min="293" max="293" width="18.42578125" style="50" bestFit="1" customWidth="1"/>
    <col min="294" max="294" width="4.7109375" style="50" customWidth="1"/>
    <col min="295" max="295" width="23" style="50" bestFit="1" customWidth="1"/>
    <col min="296" max="296" width="10.85546875" style="50"/>
    <col min="297" max="297" width="18.42578125" style="50" bestFit="1" customWidth="1"/>
    <col min="298" max="298" width="16.140625" style="50" customWidth="1"/>
    <col min="299" max="512" width="10.85546875" style="50"/>
    <col min="513" max="513" width="42" style="50" customWidth="1"/>
    <col min="514" max="514" width="21.7109375" style="50" customWidth="1"/>
    <col min="515" max="526" width="20.7109375" style="50" customWidth="1"/>
    <col min="527" max="527" width="16.140625" style="50" customWidth="1"/>
    <col min="528" max="539" width="18.140625" style="50" customWidth="1"/>
    <col min="540" max="540" width="22.7109375" style="50" customWidth="1"/>
    <col min="541" max="541" width="19" style="50" customWidth="1"/>
    <col min="542" max="542" width="19.42578125" style="50" customWidth="1"/>
    <col min="543" max="543" width="6.28515625" style="50" bestFit="1" customWidth="1"/>
    <col min="544" max="544" width="22.85546875" style="50" customWidth="1"/>
    <col min="545" max="545" width="18.42578125" style="50" bestFit="1" customWidth="1"/>
    <col min="546" max="546" width="8.42578125" style="50" customWidth="1"/>
    <col min="547" max="547" width="18.42578125" style="50" bestFit="1" customWidth="1"/>
    <col min="548" max="548" width="5.7109375" style="50" customWidth="1"/>
    <col min="549" max="549" width="18.42578125" style="50" bestFit="1" customWidth="1"/>
    <col min="550" max="550" width="4.7109375" style="50" customWidth="1"/>
    <col min="551" max="551" width="23" style="50" bestFit="1" customWidth="1"/>
    <col min="552" max="552" width="10.85546875" style="50"/>
    <col min="553" max="553" width="18.42578125" style="50" bestFit="1" customWidth="1"/>
    <col min="554" max="554" width="16.140625" style="50" customWidth="1"/>
    <col min="555" max="768" width="10.85546875" style="50"/>
    <col min="769" max="769" width="42" style="50" customWidth="1"/>
    <col min="770" max="770" width="21.7109375" style="50" customWidth="1"/>
    <col min="771" max="782" width="20.7109375" style="50" customWidth="1"/>
    <col min="783" max="783" width="16.140625" style="50" customWidth="1"/>
    <col min="784" max="795" width="18.140625" style="50" customWidth="1"/>
    <col min="796" max="796" width="22.7109375" style="50" customWidth="1"/>
    <col min="797" max="797" width="19" style="50" customWidth="1"/>
    <col min="798" max="798" width="19.42578125" style="50" customWidth="1"/>
    <col min="799" max="799" width="6.28515625" style="50" bestFit="1" customWidth="1"/>
    <col min="800" max="800" width="22.85546875" style="50" customWidth="1"/>
    <col min="801" max="801" width="18.42578125" style="50" bestFit="1" customWidth="1"/>
    <col min="802" max="802" width="8.42578125" style="50" customWidth="1"/>
    <col min="803" max="803" width="18.42578125" style="50" bestFit="1" customWidth="1"/>
    <col min="804" max="804" width="5.7109375" style="50" customWidth="1"/>
    <col min="805" max="805" width="18.42578125" style="50" bestFit="1" customWidth="1"/>
    <col min="806" max="806" width="4.7109375" style="50" customWidth="1"/>
    <col min="807" max="807" width="23" style="50" bestFit="1" customWidth="1"/>
    <col min="808" max="808" width="10.85546875" style="50"/>
    <col min="809" max="809" width="18.42578125" style="50" bestFit="1" customWidth="1"/>
    <col min="810" max="810" width="16.140625" style="50" customWidth="1"/>
    <col min="811" max="1024" width="10.85546875" style="50"/>
    <col min="1025" max="1025" width="42" style="50" customWidth="1"/>
    <col min="1026" max="1026" width="21.7109375" style="50" customWidth="1"/>
    <col min="1027" max="1038" width="20.7109375" style="50" customWidth="1"/>
    <col min="1039" max="1039" width="16.140625" style="50" customWidth="1"/>
    <col min="1040" max="1051" width="18.140625" style="50" customWidth="1"/>
    <col min="1052" max="1052" width="22.7109375" style="50" customWidth="1"/>
    <col min="1053" max="1053" width="19" style="50" customWidth="1"/>
    <col min="1054" max="1054" width="19.42578125" style="50" customWidth="1"/>
    <col min="1055" max="1055" width="6.28515625" style="50" bestFit="1" customWidth="1"/>
    <col min="1056" max="1056" width="22.85546875" style="50" customWidth="1"/>
    <col min="1057" max="1057" width="18.42578125" style="50" bestFit="1" customWidth="1"/>
    <col min="1058" max="1058" width="8.42578125" style="50" customWidth="1"/>
    <col min="1059" max="1059" width="18.42578125" style="50" bestFit="1" customWidth="1"/>
    <col min="1060" max="1060" width="5.7109375" style="50" customWidth="1"/>
    <col min="1061" max="1061" width="18.42578125" style="50" bestFit="1" customWidth="1"/>
    <col min="1062" max="1062" width="4.7109375" style="50" customWidth="1"/>
    <col min="1063" max="1063" width="23" style="50" bestFit="1" customWidth="1"/>
    <col min="1064" max="1064" width="10.85546875" style="50"/>
    <col min="1065" max="1065" width="18.42578125" style="50" bestFit="1" customWidth="1"/>
    <col min="1066" max="1066" width="16.140625" style="50" customWidth="1"/>
    <col min="1067" max="1280" width="10.85546875" style="50"/>
    <col min="1281" max="1281" width="42" style="50" customWidth="1"/>
    <col min="1282" max="1282" width="21.7109375" style="50" customWidth="1"/>
    <col min="1283" max="1294" width="20.7109375" style="50" customWidth="1"/>
    <col min="1295" max="1295" width="16.140625" style="50" customWidth="1"/>
    <col min="1296" max="1307" width="18.140625" style="50" customWidth="1"/>
    <col min="1308" max="1308" width="22.7109375" style="50" customWidth="1"/>
    <col min="1309" max="1309" width="19" style="50" customWidth="1"/>
    <col min="1310" max="1310" width="19.42578125" style="50" customWidth="1"/>
    <col min="1311" max="1311" width="6.28515625" style="50" bestFit="1" customWidth="1"/>
    <col min="1312" max="1312" width="22.85546875" style="50" customWidth="1"/>
    <col min="1313" max="1313" width="18.42578125" style="50" bestFit="1" customWidth="1"/>
    <col min="1314" max="1314" width="8.42578125" style="50" customWidth="1"/>
    <col min="1315" max="1315" width="18.42578125" style="50" bestFit="1" customWidth="1"/>
    <col min="1316" max="1316" width="5.7109375" style="50" customWidth="1"/>
    <col min="1317" max="1317" width="18.42578125" style="50" bestFit="1" customWidth="1"/>
    <col min="1318" max="1318" width="4.7109375" style="50" customWidth="1"/>
    <col min="1319" max="1319" width="23" style="50" bestFit="1" customWidth="1"/>
    <col min="1320" max="1320" width="10.85546875" style="50"/>
    <col min="1321" max="1321" width="18.42578125" style="50" bestFit="1" customWidth="1"/>
    <col min="1322" max="1322" width="16.140625" style="50" customWidth="1"/>
    <col min="1323" max="1536" width="10.85546875" style="50"/>
    <col min="1537" max="1537" width="42" style="50" customWidth="1"/>
    <col min="1538" max="1538" width="21.7109375" style="50" customWidth="1"/>
    <col min="1539" max="1550" width="20.7109375" style="50" customWidth="1"/>
    <col min="1551" max="1551" width="16.140625" style="50" customWidth="1"/>
    <col min="1552" max="1563" width="18.140625" style="50" customWidth="1"/>
    <col min="1564" max="1564" width="22.7109375" style="50" customWidth="1"/>
    <col min="1565" max="1565" width="19" style="50" customWidth="1"/>
    <col min="1566" max="1566" width="19.42578125" style="50" customWidth="1"/>
    <col min="1567" max="1567" width="6.28515625" style="50" bestFit="1" customWidth="1"/>
    <col min="1568" max="1568" width="22.85546875" style="50" customWidth="1"/>
    <col min="1569" max="1569" width="18.42578125" style="50" bestFit="1" customWidth="1"/>
    <col min="1570" max="1570" width="8.42578125" style="50" customWidth="1"/>
    <col min="1571" max="1571" width="18.42578125" style="50" bestFit="1" customWidth="1"/>
    <col min="1572" max="1572" width="5.7109375" style="50" customWidth="1"/>
    <col min="1573" max="1573" width="18.42578125" style="50" bestFit="1" customWidth="1"/>
    <col min="1574" max="1574" width="4.7109375" style="50" customWidth="1"/>
    <col min="1575" max="1575" width="23" style="50" bestFit="1" customWidth="1"/>
    <col min="1576" max="1576" width="10.85546875" style="50"/>
    <col min="1577" max="1577" width="18.42578125" style="50" bestFit="1" customWidth="1"/>
    <col min="1578" max="1578" width="16.140625" style="50" customWidth="1"/>
    <col min="1579" max="1792" width="10.85546875" style="50"/>
    <col min="1793" max="1793" width="42" style="50" customWidth="1"/>
    <col min="1794" max="1794" width="21.7109375" style="50" customWidth="1"/>
    <col min="1795" max="1806" width="20.7109375" style="50" customWidth="1"/>
    <col min="1807" max="1807" width="16.140625" style="50" customWidth="1"/>
    <col min="1808" max="1819" width="18.140625" style="50" customWidth="1"/>
    <col min="1820" max="1820" width="22.7109375" style="50" customWidth="1"/>
    <col min="1821" max="1821" width="19" style="50" customWidth="1"/>
    <col min="1822" max="1822" width="19.42578125" style="50" customWidth="1"/>
    <col min="1823" max="1823" width="6.28515625" style="50" bestFit="1" customWidth="1"/>
    <col min="1824" max="1824" width="22.85546875" style="50" customWidth="1"/>
    <col min="1825" max="1825" width="18.42578125" style="50" bestFit="1" customWidth="1"/>
    <col min="1826" max="1826" width="8.42578125" style="50" customWidth="1"/>
    <col min="1827" max="1827" width="18.42578125" style="50" bestFit="1" customWidth="1"/>
    <col min="1828" max="1828" width="5.7109375" style="50" customWidth="1"/>
    <col min="1829" max="1829" width="18.42578125" style="50" bestFit="1" customWidth="1"/>
    <col min="1830" max="1830" width="4.7109375" style="50" customWidth="1"/>
    <col min="1831" max="1831" width="23" style="50" bestFit="1" customWidth="1"/>
    <col min="1832" max="1832" width="10.85546875" style="50"/>
    <col min="1833" max="1833" width="18.42578125" style="50" bestFit="1" customWidth="1"/>
    <col min="1834" max="1834" width="16.140625" style="50" customWidth="1"/>
    <col min="1835" max="2048" width="10.85546875" style="50"/>
    <col min="2049" max="2049" width="42" style="50" customWidth="1"/>
    <col min="2050" max="2050" width="21.7109375" style="50" customWidth="1"/>
    <col min="2051" max="2062" width="20.7109375" style="50" customWidth="1"/>
    <col min="2063" max="2063" width="16.140625" style="50" customWidth="1"/>
    <col min="2064" max="2075" width="18.140625" style="50" customWidth="1"/>
    <col min="2076" max="2076" width="22.7109375" style="50" customWidth="1"/>
    <col min="2077" max="2077" width="19" style="50" customWidth="1"/>
    <col min="2078" max="2078" width="19.42578125" style="50" customWidth="1"/>
    <col min="2079" max="2079" width="6.28515625" style="50" bestFit="1" customWidth="1"/>
    <col min="2080" max="2080" width="22.85546875" style="50" customWidth="1"/>
    <col min="2081" max="2081" width="18.42578125" style="50" bestFit="1" customWidth="1"/>
    <col min="2082" max="2082" width="8.42578125" style="50" customWidth="1"/>
    <col min="2083" max="2083" width="18.42578125" style="50" bestFit="1" customWidth="1"/>
    <col min="2084" max="2084" width="5.7109375" style="50" customWidth="1"/>
    <col min="2085" max="2085" width="18.42578125" style="50" bestFit="1" customWidth="1"/>
    <col min="2086" max="2086" width="4.7109375" style="50" customWidth="1"/>
    <col min="2087" max="2087" width="23" style="50" bestFit="1" customWidth="1"/>
    <col min="2088" max="2088" width="10.85546875" style="50"/>
    <col min="2089" max="2089" width="18.42578125" style="50" bestFit="1" customWidth="1"/>
    <col min="2090" max="2090" width="16.140625" style="50" customWidth="1"/>
    <col min="2091" max="2304" width="10.85546875" style="50"/>
    <col min="2305" max="2305" width="42" style="50" customWidth="1"/>
    <col min="2306" max="2306" width="21.7109375" style="50" customWidth="1"/>
    <col min="2307" max="2318" width="20.7109375" style="50" customWidth="1"/>
    <col min="2319" max="2319" width="16.140625" style="50" customWidth="1"/>
    <col min="2320" max="2331" width="18.140625" style="50" customWidth="1"/>
    <col min="2332" max="2332" width="22.7109375" style="50" customWidth="1"/>
    <col min="2333" max="2333" width="19" style="50" customWidth="1"/>
    <col min="2334" max="2334" width="19.42578125" style="50" customWidth="1"/>
    <col min="2335" max="2335" width="6.28515625" style="50" bestFit="1" customWidth="1"/>
    <col min="2336" max="2336" width="22.85546875" style="50" customWidth="1"/>
    <col min="2337" max="2337" width="18.42578125" style="50" bestFit="1" customWidth="1"/>
    <col min="2338" max="2338" width="8.42578125" style="50" customWidth="1"/>
    <col min="2339" max="2339" width="18.42578125" style="50" bestFit="1" customWidth="1"/>
    <col min="2340" max="2340" width="5.7109375" style="50" customWidth="1"/>
    <col min="2341" max="2341" width="18.42578125" style="50" bestFit="1" customWidth="1"/>
    <col min="2342" max="2342" width="4.7109375" style="50" customWidth="1"/>
    <col min="2343" max="2343" width="23" style="50" bestFit="1" customWidth="1"/>
    <col min="2344" max="2344" width="10.85546875" style="50"/>
    <col min="2345" max="2345" width="18.42578125" style="50" bestFit="1" customWidth="1"/>
    <col min="2346" max="2346" width="16.140625" style="50" customWidth="1"/>
    <col min="2347" max="2560" width="10.85546875" style="50"/>
    <col min="2561" max="2561" width="42" style="50" customWidth="1"/>
    <col min="2562" max="2562" width="21.7109375" style="50" customWidth="1"/>
    <col min="2563" max="2574" width="20.7109375" style="50" customWidth="1"/>
    <col min="2575" max="2575" width="16.140625" style="50" customWidth="1"/>
    <col min="2576" max="2587" width="18.140625" style="50" customWidth="1"/>
    <col min="2588" max="2588" width="22.7109375" style="50" customWidth="1"/>
    <col min="2589" max="2589" width="19" style="50" customWidth="1"/>
    <col min="2590" max="2590" width="19.42578125" style="50" customWidth="1"/>
    <col min="2591" max="2591" width="6.28515625" style="50" bestFit="1" customWidth="1"/>
    <col min="2592" max="2592" width="22.85546875" style="50" customWidth="1"/>
    <col min="2593" max="2593" width="18.42578125" style="50" bestFit="1" customWidth="1"/>
    <col min="2594" max="2594" width="8.42578125" style="50" customWidth="1"/>
    <col min="2595" max="2595" width="18.42578125" style="50" bestFit="1" customWidth="1"/>
    <col min="2596" max="2596" width="5.7109375" style="50" customWidth="1"/>
    <col min="2597" max="2597" width="18.42578125" style="50" bestFit="1" customWidth="1"/>
    <col min="2598" max="2598" width="4.7109375" style="50" customWidth="1"/>
    <col min="2599" max="2599" width="23" style="50" bestFit="1" customWidth="1"/>
    <col min="2600" max="2600" width="10.85546875" style="50"/>
    <col min="2601" max="2601" width="18.42578125" style="50" bestFit="1" customWidth="1"/>
    <col min="2602" max="2602" width="16.140625" style="50" customWidth="1"/>
    <col min="2603" max="2816" width="10.85546875" style="50"/>
    <col min="2817" max="2817" width="42" style="50" customWidth="1"/>
    <col min="2818" max="2818" width="21.7109375" style="50" customWidth="1"/>
    <col min="2819" max="2830" width="20.7109375" style="50" customWidth="1"/>
    <col min="2831" max="2831" width="16.140625" style="50" customWidth="1"/>
    <col min="2832" max="2843" width="18.140625" style="50" customWidth="1"/>
    <col min="2844" max="2844" width="22.7109375" style="50" customWidth="1"/>
    <col min="2845" max="2845" width="19" style="50" customWidth="1"/>
    <col min="2846" max="2846" width="19.42578125" style="50" customWidth="1"/>
    <col min="2847" max="2847" width="6.28515625" style="50" bestFit="1" customWidth="1"/>
    <col min="2848" max="2848" width="22.85546875" style="50" customWidth="1"/>
    <col min="2849" max="2849" width="18.42578125" style="50" bestFit="1" customWidth="1"/>
    <col min="2850" max="2850" width="8.42578125" style="50" customWidth="1"/>
    <col min="2851" max="2851" width="18.42578125" style="50" bestFit="1" customWidth="1"/>
    <col min="2852" max="2852" width="5.7109375" style="50" customWidth="1"/>
    <col min="2853" max="2853" width="18.42578125" style="50" bestFit="1" customWidth="1"/>
    <col min="2854" max="2854" width="4.7109375" style="50" customWidth="1"/>
    <col min="2855" max="2855" width="23" style="50" bestFit="1" customWidth="1"/>
    <col min="2856" max="2856" width="10.85546875" style="50"/>
    <col min="2857" max="2857" width="18.42578125" style="50" bestFit="1" customWidth="1"/>
    <col min="2858" max="2858" width="16.140625" style="50" customWidth="1"/>
    <col min="2859" max="3072" width="10.85546875" style="50"/>
    <col min="3073" max="3073" width="42" style="50" customWidth="1"/>
    <col min="3074" max="3074" width="21.7109375" style="50" customWidth="1"/>
    <col min="3075" max="3086" width="20.7109375" style="50" customWidth="1"/>
    <col min="3087" max="3087" width="16.140625" style="50" customWidth="1"/>
    <col min="3088" max="3099" width="18.140625" style="50" customWidth="1"/>
    <col min="3100" max="3100" width="22.7109375" style="50" customWidth="1"/>
    <col min="3101" max="3101" width="19" style="50" customWidth="1"/>
    <col min="3102" max="3102" width="19.42578125" style="50" customWidth="1"/>
    <col min="3103" max="3103" width="6.28515625" style="50" bestFit="1" customWidth="1"/>
    <col min="3104" max="3104" width="22.85546875" style="50" customWidth="1"/>
    <col min="3105" max="3105" width="18.42578125" style="50" bestFit="1" customWidth="1"/>
    <col min="3106" max="3106" width="8.42578125" style="50" customWidth="1"/>
    <col min="3107" max="3107" width="18.42578125" style="50" bestFit="1" customWidth="1"/>
    <col min="3108" max="3108" width="5.7109375" style="50" customWidth="1"/>
    <col min="3109" max="3109" width="18.42578125" style="50" bestFit="1" customWidth="1"/>
    <col min="3110" max="3110" width="4.7109375" style="50" customWidth="1"/>
    <col min="3111" max="3111" width="23" style="50" bestFit="1" customWidth="1"/>
    <col min="3112" max="3112" width="10.85546875" style="50"/>
    <col min="3113" max="3113" width="18.42578125" style="50" bestFit="1" customWidth="1"/>
    <col min="3114" max="3114" width="16.140625" style="50" customWidth="1"/>
    <col min="3115" max="3328" width="10.85546875" style="50"/>
    <col min="3329" max="3329" width="42" style="50" customWidth="1"/>
    <col min="3330" max="3330" width="21.7109375" style="50" customWidth="1"/>
    <col min="3331" max="3342" width="20.7109375" style="50" customWidth="1"/>
    <col min="3343" max="3343" width="16.140625" style="50" customWidth="1"/>
    <col min="3344" max="3355" width="18.140625" style="50" customWidth="1"/>
    <col min="3356" max="3356" width="22.7109375" style="50" customWidth="1"/>
    <col min="3357" max="3357" width="19" style="50" customWidth="1"/>
    <col min="3358" max="3358" width="19.42578125" style="50" customWidth="1"/>
    <col min="3359" max="3359" width="6.28515625" style="50" bestFit="1" customWidth="1"/>
    <col min="3360" max="3360" width="22.85546875" style="50" customWidth="1"/>
    <col min="3361" max="3361" width="18.42578125" style="50" bestFit="1" customWidth="1"/>
    <col min="3362" max="3362" width="8.42578125" style="50" customWidth="1"/>
    <col min="3363" max="3363" width="18.42578125" style="50" bestFit="1" customWidth="1"/>
    <col min="3364" max="3364" width="5.7109375" style="50" customWidth="1"/>
    <col min="3365" max="3365" width="18.42578125" style="50" bestFit="1" customWidth="1"/>
    <col min="3366" max="3366" width="4.7109375" style="50" customWidth="1"/>
    <col min="3367" max="3367" width="23" style="50" bestFit="1" customWidth="1"/>
    <col min="3368" max="3368" width="10.85546875" style="50"/>
    <col min="3369" max="3369" width="18.42578125" style="50" bestFit="1" customWidth="1"/>
    <col min="3370" max="3370" width="16.140625" style="50" customWidth="1"/>
    <col min="3371" max="3584" width="10.85546875" style="50"/>
    <col min="3585" max="3585" width="42" style="50" customWidth="1"/>
    <col min="3586" max="3586" width="21.7109375" style="50" customWidth="1"/>
    <col min="3587" max="3598" width="20.7109375" style="50" customWidth="1"/>
    <col min="3599" max="3599" width="16.140625" style="50" customWidth="1"/>
    <col min="3600" max="3611" width="18.140625" style="50" customWidth="1"/>
    <col min="3612" max="3612" width="22.7109375" style="50" customWidth="1"/>
    <col min="3613" max="3613" width="19" style="50" customWidth="1"/>
    <col min="3614" max="3614" width="19.42578125" style="50" customWidth="1"/>
    <col min="3615" max="3615" width="6.28515625" style="50" bestFit="1" customWidth="1"/>
    <col min="3616" max="3616" width="22.85546875" style="50" customWidth="1"/>
    <col min="3617" max="3617" width="18.42578125" style="50" bestFit="1" customWidth="1"/>
    <col min="3618" max="3618" width="8.42578125" style="50" customWidth="1"/>
    <col min="3619" max="3619" width="18.42578125" style="50" bestFit="1" customWidth="1"/>
    <col min="3620" max="3620" width="5.7109375" style="50" customWidth="1"/>
    <col min="3621" max="3621" width="18.42578125" style="50" bestFit="1" customWidth="1"/>
    <col min="3622" max="3622" width="4.7109375" style="50" customWidth="1"/>
    <col min="3623" max="3623" width="23" style="50" bestFit="1" customWidth="1"/>
    <col min="3624" max="3624" width="10.85546875" style="50"/>
    <col min="3625" max="3625" width="18.42578125" style="50" bestFit="1" customWidth="1"/>
    <col min="3626" max="3626" width="16.140625" style="50" customWidth="1"/>
    <col min="3627" max="3840" width="10.85546875" style="50"/>
    <col min="3841" max="3841" width="42" style="50" customWidth="1"/>
    <col min="3842" max="3842" width="21.7109375" style="50" customWidth="1"/>
    <col min="3843" max="3854" width="20.7109375" style="50" customWidth="1"/>
    <col min="3855" max="3855" width="16.140625" style="50" customWidth="1"/>
    <col min="3856" max="3867" width="18.140625" style="50" customWidth="1"/>
    <col min="3868" max="3868" width="22.7109375" style="50" customWidth="1"/>
    <col min="3869" max="3869" width="19" style="50" customWidth="1"/>
    <col min="3870" max="3870" width="19.42578125" style="50" customWidth="1"/>
    <col min="3871" max="3871" width="6.28515625" style="50" bestFit="1" customWidth="1"/>
    <col min="3872" max="3872" width="22.85546875" style="50" customWidth="1"/>
    <col min="3873" max="3873" width="18.42578125" style="50" bestFit="1" customWidth="1"/>
    <col min="3874" max="3874" width="8.42578125" style="50" customWidth="1"/>
    <col min="3875" max="3875" width="18.42578125" style="50" bestFit="1" customWidth="1"/>
    <col min="3876" max="3876" width="5.7109375" style="50" customWidth="1"/>
    <col min="3877" max="3877" width="18.42578125" style="50" bestFit="1" customWidth="1"/>
    <col min="3878" max="3878" width="4.7109375" style="50" customWidth="1"/>
    <col min="3879" max="3879" width="23" style="50" bestFit="1" customWidth="1"/>
    <col min="3880" max="3880" width="10.85546875" style="50"/>
    <col min="3881" max="3881" width="18.42578125" style="50" bestFit="1" customWidth="1"/>
    <col min="3882" max="3882" width="16.140625" style="50" customWidth="1"/>
    <col min="3883" max="4096" width="10.85546875" style="50"/>
    <col min="4097" max="4097" width="42" style="50" customWidth="1"/>
    <col min="4098" max="4098" width="21.7109375" style="50" customWidth="1"/>
    <col min="4099" max="4110" width="20.7109375" style="50" customWidth="1"/>
    <col min="4111" max="4111" width="16.140625" style="50" customWidth="1"/>
    <col min="4112" max="4123" width="18.140625" style="50" customWidth="1"/>
    <col min="4124" max="4124" width="22.7109375" style="50" customWidth="1"/>
    <col min="4125" max="4125" width="19" style="50" customWidth="1"/>
    <col min="4126" max="4126" width="19.42578125" style="50" customWidth="1"/>
    <col min="4127" max="4127" width="6.28515625" style="50" bestFit="1" customWidth="1"/>
    <col min="4128" max="4128" width="22.85546875" style="50" customWidth="1"/>
    <col min="4129" max="4129" width="18.42578125" style="50" bestFit="1" customWidth="1"/>
    <col min="4130" max="4130" width="8.42578125" style="50" customWidth="1"/>
    <col min="4131" max="4131" width="18.42578125" style="50" bestFit="1" customWidth="1"/>
    <col min="4132" max="4132" width="5.7109375" style="50" customWidth="1"/>
    <col min="4133" max="4133" width="18.42578125" style="50" bestFit="1" customWidth="1"/>
    <col min="4134" max="4134" width="4.7109375" style="50" customWidth="1"/>
    <col min="4135" max="4135" width="23" style="50" bestFit="1" customWidth="1"/>
    <col min="4136" max="4136" width="10.85546875" style="50"/>
    <col min="4137" max="4137" width="18.42578125" style="50" bestFit="1" customWidth="1"/>
    <col min="4138" max="4138" width="16.140625" style="50" customWidth="1"/>
    <col min="4139" max="4352" width="10.85546875" style="50"/>
    <col min="4353" max="4353" width="42" style="50" customWidth="1"/>
    <col min="4354" max="4354" width="21.7109375" style="50" customWidth="1"/>
    <col min="4355" max="4366" width="20.7109375" style="50" customWidth="1"/>
    <col min="4367" max="4367" width="16.140625" style="50" customWidth="1"/>
    <col min="4368" max="4379" width="18.140625" style="50" customWidth="1"/>
    <col min="4380" max="4380" width="22.7109375" style="50" customWidth="1"/>
    <col min="4381" max="4381" width="19" style="50" customWidth="1"/>
    <col min="4382" max="4382" width="19.42578125" style="50" customWidth="1"/>
    <col min="4383" max="4383" width="6.28515625" style="50" bestFit="1" customWidth="1"/>
    <col min="4384" max="4384" width="22.85546875" style="50" customWidth="1"/>
    <col min="4385" max="4385" width="18.42578125" style="50" bestFit="1" customWidth="1"/>
    <col min="4386" max="4386" width="8.42578125" style="50" customWidth="1"/>
    <col min="4387" max="4387" width="18.42578125" style="50" bestFit="1" customWidth="1"/>
    <col min="4388" max="4388" width="5.7109375" style="50" customWidth="1"/>
    <col min="4389" max="4389" width="18.42578125" style="50" bestFit="1" customWidth="1"/>
    <col min="4390" max="4390" width="4.7109375" style="50" customWidth="1"/>
    <col min="4391" max="4391" width="23" style="50" bestFit="1" customWidth="1"/>
    <col min="4392" max="4392" width="10.85546875" style="50"/>
    <col min="4393" max="4393" width="18.42578125" style="50" bestFit="1" customWidth="1"/>
    <col min="4394" max="4394" width="16.140625" style="50" customWidth="1"/>
    <col min="4395" max="4608" width="10.85546875" style="50"/>
    <col min="4609" max="4609" width="42" style="50" customWidth="1"/>
    <col min="4610" max="4610" width="21.7109375" style="50" customWidth="1"/>
    <col min="4611" max="4622" width="20.7109375" style="50" customWidth="1"/>
    <col min="4623" max="4623" width="16.140625" style="50" customWidth="1"/>
    <col min="4624" max="4635" width="18.140625" style="50" customWidth="1"/>
    <col min="4636" max="4636" width="22.7109375" style="50" customWidth="1"/>
    <col min="4637" max="4637" width="19" style="50" customWidth="1"/>
    <col min="4638" max="4638" width="19.42578125" style="50" customWidth="1"/>
    <col min="4639" max="4639" width="6.28515625" style="50" bestFit="1" customWidth="1"/>
    <col min="4640" max="4640" width="22.85546875" style="50" customWidth="1"/>
    <col min="4641" max="4641" width="18.42578125" style="50" bestFit="1" customWidth="1"/>
    <col min="4642" max="4642" width="8.42578125" style="50" customWidth="1"/>
    <col min="4643" max="4643" width="18.42578125" style="50" bestFit="1" customWidth="1"/>
    <col min="4644" max="4644" width="5.7109375" style="50" customWidth="1"/>
    <col min="4645" max="4645" width="18.42578125" style="50" bestFit="1" customWidth="1"/>
    <col min="4646" max="4646" width="4.7109375" style="50" customWidth="1"/>
    <col min="4647" max="4647" width="23" style="50" bestFit="1" customWidth="1"/>
    <col min="4648" max="4648" width="10.85546875" style="50"/>
    <col min="4649" max="4649" width="18.42578125" style="50" bestFit="1" customWidth="1"/>
    <col min="4650" max="4650" width="16.140625" style="50" customWidth="1"/>
    <col min="4651" max="4864" width="10.85546875" style="50"/>
    <col min="4865" max="4865" width="42" style="50" customWidth="1"/>
    <col min="4866" max="4866" width="21.7109375" style="50" customWidth="1"/>
    <col min="4867" max="4878" width="20.7109375" style="50" customWidth="1"/>
    <col min="4879" max="4879" width="16.140625" style="50" customWidth="1"/>
    <col min="4880" max="4891" width="18.140625" style="50" customWidth="1"/>
    <col min="4892" max="4892" width="22.7109375" style="50" customWidth="1"/>
    <col min="4893" max="4893" width="19" style="50" customWidth="1"/>
    <col min="4894" max="4894" width="19.42578125" style="50" customWidth="1"/>
    <col min="4895" max="4895" width="6.28515625" style="50" bestFit="1" customWidth="1"/>
    <col min="4896" max="4896" width="22.85546875" style="50" customWidth="1"/>
    <col min="4897" max="4897" width="18.42578125" style="50" bestFit="1" customWidth="1"/>
    <col min="4898" max="4898" width="8.42578125" style="50" customWidth="1"/>
    <col min="4899" max="4899" width="18.42578125" style="50" bestFit="1" customWidth="1"/>
    <col min="4900" max="4900" width="5.7109375" style="50" customWidth="1"/>
    <col min="4901" max="4901" width="18.42578125" style="50" bestFit="1" customWidth="1"/>
    <col min="4902" max="4902" width="4.7109375" style="50" customWidth="1"/>
    <col min="4903" max="4903" width="23" style="50" bestFit="1" customWidth="1"/>
    <col min="4904" max="4904" width="10.85546875" style="50"/>
    <col min="4905" max="4905" width="18.42578125" style="50" bestFit="1" customWidth="1"/>
    <col min="4906" max="4906" width="16.140625" style="50" customWidth="1"/>
    <col min="4907" max="5120" width="10.85546875" style="50"/>
    <col min="5121" max="5121" width="42" style="50" customWidth="1"/>
    <col min="5122" max="5122" width="21.7109375" style="50" customWidth="1"/>
    <col min="5123" max="5134" width="20.7109375" style="50" customWidth="1"/>
    <col min="5135" max="5135" width="16.140625" style="50" customWidth="1"/>
    <col min="5136" max="5147" width="18.140625" style="50" customWidth="1"/>
    <col min="5148" max="5148" width="22.7109375" style="50" customWidth="1"/>
    <col min="5149" max="5149" width="19" style="50" customWidth="1"/>
    <col min="5150" max="5150" width="19.42578125" style="50" customWidth="1"/>
    <col min="5151" max="5151" width="6.28515625" style="50" bestFit="1" customWidth="1"/>
    <col min="5152" max="5152" width="22.85546875" style="50" customWidth="1"/>
    <col min="5153" max="5153" width="18.42578125" style="50" bestFit="1" customWidth="1"/>
    <col min="5154" max="5154" width="8.42578125" style="50" customWidth="1"/>
    <col min="5155" max="5155" width="18.42578125" style="50" bestFit="1" customWidth="1"/>
    <col min="5156" max="5156" width="5.7109375" style="50" customWidth="1"/>
    <col min="5157" max="5157" width="18.42578125" style="50" bestFit="1" customWidth="1"/>
    <col min="5158" max="5158" width="4.7109375" style="50" customWidth="1"/>
    <col min="5159" max="5159" width="23" style="50" bestFit="1" customWidth="1"/>
    <col min="5160" max="5160" width="10.85546875" style="50"/>
    <col min="5161" max="5161" width="18.42578125" style="50" bestFit="1" customWidth="1"/>
    <col min="5162" max="5162" width="16.140625" style="50" customWidth="1"/>
    <col min="5163" max="5376" width="10.85546875" style="50"/>
    <col min="5377" max="5377" width="42" style="50" customWidth="1"/>
    <col min="5378" max="5378" width="21.7109375" style="50" customWidth="1"/>
    <col min="5379" max="5390" width="20.7109375" style="50" customWidth="1"/>
    <col min="5391" max="5391" width="16.140625" style="50" customWidth="1"/>
    <col min="5392" max="5403" width="18.140625" style="50" customWidth="1"/>
    <col min="5404" max="5404" width="22.7109375" style="50" customWidth="1"/>
    <col min="5405" max="5405" width="19" style="50" customWidth="1"/>
    <col min="5406" max="5406" width="19.42578125" style="50" customWidth="1"/>
    <col min="5407" max="5407" width="6.28515625" style="50" bestFit="1" customWidth="1"/>
    <col min="5408" max="5408" width="22.85546875" style="50" customWidth="1"/>
    <col min="5409" max="5409" width="18.42578125" style="50" bestFit="1" customWidth="1"/>
    <col min="5410" max="5410" width="8.42578125" style="50" customWidth="1"/>
    <col min="5411" max="5411" width="18.42578125" style="50" bestFit="1" customWidth="1"/>
    <col min="5412" max="5412" width="5.7109375" style="50" customWidth="1"/>
    <col min="5413" max="5413" width="18.42578125" style="50" bestFit="1" customWidth="1"/>
    <col min="5414" max="5414" width="4.7109375" style="50" customWidth="1"/>
    <col min="5415" max="5415" width="23" style="50" bestFit="1" customWidth="1"/>
    <col min="5416" max="5416" width="10.85546875" style="50"/>
    <col min="5417" max="5417" width="18.42578125" style="50" bestFit="1" customWidth="1"/>
    <col min="5418" max="5418" width="16.140625" style="50" customWidth="1"/>
    <col min="5419" max="5632" width="10.85546875" style="50"/>
    <col min="5633" max="5633" width="42" style="50" customWidth="1"/>
    <col min="5634" max="5634" width="21.7109375" style="50" customWidth="1"/>
    <col min="5635" max="5646" width="20.7109375" style="50" customWidth="1"/>
    <col min="5647" max="5647" width="16.140625" style="50" customWidth="1"/>
    <col min="5648" max="5659" width="18.140625" style="50" customWidth="1"/>
    <col min="5660" max="5660" width="22.7109375" style="50" customWidth="1"/>
    <col min="5661" max="5661" width="19" style="50" customWidth="1"/>
    <col min="5662" max="5662" width="19.42578125" style="50" customWidth="1"/>
    <col min="5663" max="5663" width="6.28515625" style="50" bestFit="1" customWidth="1"/>
    <col min="5664" max="5664" width="22.85546875" style="50" customWidth="1"/>
    <col min="5665" max="5665" width="18.42578125" style="50" bestFit="1" customWidth="1"/>
    <col min="5666" max="5666" width="8.42578125" style="50" customWidth="1"/>
    <col min="5667" max="5667" width="18.42578125" style="50" bestFit="1" customWidth="1"/>
    <col min="5668" max="5668" width="5.7109375" style="50" customWidth="1"/>
    <col min="5669" max="5669" width="18.42578125" style="50" bestFit="1" customWidth="1"/>
    <col min="5670" max="5670" width="4.7109375" style="50" customWidth="1"/>
    <col min="5671" max="5671" width="23" style="50" bestFit="1" customWidth="1"/>
    <col min="5672" max="5672" width="10.85546875" style="50"/>
    <col min="5673" max="5673" width="18.42578125" style="50" bestFit="1" customWidth="1"/>
    <col min="5674" max="5674" width="16.140625" style="50" customWidth="1"/>
    <col min="5675" max="5888" width="10.85546875" style="50"/>
    <col min="5889" max="5889" width="42" style="50" customWidth="1"/>
    <col min="5890" max="5890" width="21.7109375" style="50" customWidth="1"/>
    <col min="5891" max="5902" width="20.7109375" style="50" customWidth="1"/>
    <col min="5903" max="5903" width="16.140625" style="50" customWidth="1"/>
    <col min="5904" max="5915" width="18.140625" style="50" customWidth="1"/>
    <col min="5916" max="5916" width="22.7109375" style="50" customWidth="1"/>
    <col min="5917" max="5917" width="19" style="50" customWidth="1"/>
    <col min="5918" max="5918" width="19.42578125" style="50" customWidth="1"/>
    <col min="5919" max="5919" width="6.28515625" style="50" bestFit="1" customWidth="1"/>
    <col min="5920" max="5920" width="22.85546875" style="50" customWidth="1"/>
    <col min="5921" max="5921" width="18.42578125" style="50" bestFit="1" customWidth="1"/>
    <col min="5922" max="5922" width="8.42578125" style="50" customWidth="1"/>
    <col min="5923" max="5923" width="18.42578125" style="50" bestFit="1" customWidth="1"/>
    <col min="5924" max="5924" width="5.7109375" style="50" customWidth="1"/>
    <col min="5925" max="5925" width="18.42578125" style="50" bestFit="1" customWidth="1"/>
    <col min="5926" max="5926" width="4.7109375" style="50" customWidth="1"/>
    <col min="5927" max="5927" width="23" style="50" bestFit="1" customWidth="1"/>
    <col min="5928" max="5928" width="10.85546875" style="50"/>
    <col min="5929" max="5929" width="18.42578125" style="50" bestFit="1" customWidth="1"/>
    <col min="5930" max="5930" width="16.140625" style="50" customWidth="1"/>
    <col min="5931" max="6144" width="10.85546875" style="50"/>
    <col min="6145" max="6145" width="42" style="50" customWidth="1"/>
    <col min="6146" max="6146" width="21.7109375" style="50" customWidth="1"/>
    <col min="6147" max="6158" width="20.7109375" style="50" customWidth="1"/>
    <col min="6159" max="6159" width="16.140625" style="50" customWidth="1"/>
    <col min="6160" max="6171" width="18.140625" style="50" customWidth="1"/>
    <col min="6172" max="6172" width="22.7109375" style="50" customWidth="1"/>
    <col min="6173" max="6173" width="19" style="50" customWidth="1"/>
    <col min="6174" max="6174" width="19.42578125" style="50" customWidth="1"/>
    <col min="6175" max="6175" width="6.28515625" style="50" bestFit="1" customWidth="1"/>
    <col min="6176" max="6176" width="22.85546875" style="50" customWidth="1"/>
    <col min="6177" max="6177" width="18.42578125" style="50" bestFit="1" customWidth="1"/>
    <col min="6178" max="6178" width="8.42578125" style="50" customWidth="1"/>
    <col min="6179" max="6179" width="18.42578125" style="50" bestFit="1" customWidth="1"/>
    <col min="6180" max="6180" width="5.7109375" style="50" customWidth="1"/>
    <col min="6181" max="6181" width="18.42578125" style="50" bestFit="1" customWidth="1"/>
    <col min="6182" max="6182" width="4.7109375" style="50" customWidth="1"/>
    <col min="6183" max="6183" width="23" style="50" bestFit="1" customWidth="1"/>
    <col min="6184" max="6184" width="10.85546875" style="50"/>
    <col min="6185" max="6185" width="18.42578125" style="50" bestFit="1" customWidth="1"/>
    <col min="6186" max="6186" width="16.140625" style="50" customWidth="1"/>
    <col min="6187" max="6400" width="10.85546875" style="50"/>
    <col min="6401" max="6401" width="42" style="50" customWidth="1"/>
    <col min="6402" max="6402" width="21.7109375" style="50" customWidth="1"/>
    <col min="6403" max="6414" width="20.7109375" style="50" customWidth="1"/>
    <col min="6415" max="6415" width="16.140625" style="50" customWidth="1"/>
    <col min="6416" max="6427" width="18.140625" style="50" customWidth="1"/>
    <col min="6428" max="6428" width="22.7109375" style="50" customWidth="1"/>
    <col min="6429" max="6429" width="19" style="50" customWidth="1"/>
    <col min="6430" max="6430" width="19.42578125" style="50" customWidth="1"/>
    <col min="6431" max="6431" width="6.28515625" style="50" bestFit="1" customWidth="1"/>
    <col min="6432" max="6432" width="22.85546875" style="50" customWidth="1"/>
    <col min="6433" max="6433" width="18.42578125" style="50" bestFit="1" customWidth="1"/>
    <col min="6434" max="6434" width="8.42578125" style="50" customWidth="1"/>
    <col min="6435" max="6435" width="18.42578125" style="50" bestFit="1" customWidth="1"/>
    <col min="6436" max="6436" width="5.7109375" style="50" customWidth="1"/>
    <col min="6437" max="6437" width="18.42578125" style="50" bestFit="1" customWidth="1"/>
    <col min="6438" max="6438" width="4.7109375" style="50" customWidth="1"/>
    <col min="6439" max="6439" width="23" style="50" bestFit="1" customWidth="1"/>
    <col min="6440" max="6440" width="10.85546875" style="50"/>
    <col min="6441" max="6441" width="18.42578125" style="50" bestFit="1" customWidth="1"/>
    <col min="6442" max="6442" width="16.140625" style="50" customWidth="1"/>
    <col min="6443" max="6656" width="10.85546875" style="50"/>
    <col min="6657" max="6657" width="42" style="50" customWidth="1"/>
    <col min="6658" max="6658" width="21.7109375" style="50" customWidth="1"/>
    <col min="6659" max="6670" width="20.7109375" style="50" customWidth="1"/>
    <col min="6671" max="6671" width="16.140625" style="50" customWidth="1"/>
    <col min="6672" max="6683" width="18.140625" style="50" customWidth="1"/>
    <col min="6684" max="6684" width="22.7109375" style="50" customWidth="1"/>
    <col min="6685" max="6685" width="19" style="50" customWidth="1"/>
    <col min="6686" max="6686" width="19.42578125" style="50" customWidth="1"/>
    <col min="6687" max="6687" width="6.28515625" style="50" bestFit="1" customWidth="1"/>
    <col min="6688" max="6688" width="22.85546875" style="50" customWidth="1"/>
    <col min="6689" max="6689" width="18.42578125" style="50" bestFit="1" customWidth="1"/>
    <col min="6690" max="6690" width="8.42578125" style="50" customWidth="1"/>
    <col min="6691" max="6691" width="18.42578125" style="50" bestFit="1" customWidth="1"/>
    <col min="6692" max="6692" width="5.7109375" style="50" customWidth="1"/>
    <col min="6693" max="6693" width="18.42578125" style="50" bestFit="1" customWidth="1"/>
    <col min="6694" max="6694" width="4.7109375" style="50" customWidth="1"/>
    <col min="6695" max="6695" width="23" style="50" bestFit="1" customWidth="1"/>
    <col min="6696" max="6696" width="10.85546875" style="50"/>
    <col min="6697" max="6697" width="18.42578125" style="50" bestFit="1" customWidth="1"/>
    <col min="6698" max="6698" width="16.140625" style="50" customWidth="1"/>
    <col min="6699" max="6912" width="10.85546875" style="50"/>
    <col min="6913" max="6913" width="42" style="50" customWidth="1"/>
    <col min="6914" max="6914" width="21.7109375" style="50" customWidth="1"/>
    <col min="6915" max="6926" width="20.7109375" style="50" customWidth="1"/>
    <col min="6927" max="6927" width="16.140625" style="50" customWidth="1"/>
    <col min="6928" max="6939" width="18.140625" style="50" customWidth="1"/>
    <col min="6940" max="6940" width="22.7109375" style="50" customWidth="1"/>
    <col min="6941" max="6941" width="19" style="50" customWidth="1"/>
    <col min="6942" max="6942" width="19.42578125" style="50" customWidth="1"/>
    <col min="6943" max="6943" width="6.28515625" style="50" bestFit="1" customWidth="1"/>
    <col min="6944" max="6944" width="22.85546875" style="50" customWidth="1"/>
    <col min="6945" max="6945" width="18.42578125" style="50" bestFit="1" customWidth="1"/>
    <col min="6946" max="6946" width="8.42578125" style="50" customWidth="1"/>
    <col min="6947" max="6947" width="18.42578125" style="50" bestFit="1" customWidth="1"/>
    <col min="6948" max="6948" width="5.7109375" style="50" customWidth="1"/>
    <col min="6949" max="6949" width="18.42578125" style="50" bestFit="1" customWidth="1"/>
    <col min="6950" max="6950" width="4.7109375" style="50" customWidth="1"/>
    <col min="6951" max="6951" width="23" style="50" bestFit="1" customWidth="1"/>
    <col min="6952" max="6952" width="10.85546875" style="50"/>
    <col min="6953" max="6953" width="18.42578125" style="50" bestFit="1" customWidth="1"/>
    <col min="6954" max="6954" width="16.140625" style="50" customWidth="1"/>
    <col min="6955" max="7168" width="10.85546875" style="50"/>
    <col min="7169" max="7169" width="42" style="50" customWidth="1"/>
    <col min="7170" max="7170" width="21.7109375" style="50" customWidth="1"/>
    <col min="7171" max="7182" width="20.7109375" style="50" customWidth="1"/>
    <col min="7183" max="7183" width="16.140625" style="50" customWidth="1"/>
    <col min="7184" max="7195" width="18.140625" style="50" customWidth="1"/>
    <col min="7196" max="7196" width="22.7109375" style="50" customWidth="1"/>
    <col min="7197" max="7197" width="19" style="50" customWidth="1"/>
    <col min="7198" max="7198" width="19.42578125" style="50" customWidth="1"/>
    <col min="7199" max="7199" width="6.28515625" style="50" bestFit="1" customWidth="1"/>
    <col min="7200" max="7200" width="22.85546875" style="50" customWidth="1"/>
    <col min="7201" max="7201" width="18.42578125" style="50" bestFit="1" customWidth="1"/>
    <col min="7202" max="7202" width="8.42578125" style="50" customWidth="1"/>
    <col min="7203" max="7203" width="18.42578125" style="50" bestFit="1" customWidth="1"/>
    <col min="7204" max="7204" width="5.7109375" style="50" customWidth="1"/>
    <col min="7205" max="7205" width="18.42578125" style="50" bestFit="1" customWidth="1"/>
    <col min="7206" max="7206" width="4.7109375" style="50" customWidth="1"/>
    <col min="7207" max="7207" width="23" style="50" bestFit="1" customWidth="1"/>
    <col min="7208" max="7208" width="10.85546875" style="50"/>
    <col min="7209" max="7209" width="18.42578125" style="50" bestFit="1" customWidth="1"/>
    <col min="7210" max="7210" width="16.140625" style="50" customWidth="1"/>
    <col min="7211" max="7424" width="10.85546875" style="50"/>
    <col min="7425" max="7425" width="42" style="50" customWidth="1"/>
    <col min="7426" max="7426" width="21.7109375" style="50" customWidth="1"/>
    <col min="7427" max="7438" width="20.7109375" style="50" customWidth="1"/>
    <col min="7439" max="7439" width="16.140625" style="50" customWidth="1"/>
    <col min="7440" max="7451" width="18.140625" style="50" customWidth="1"/>
    <col min="7452" max="7452" width="22.7109375" style="50" customWidth="1"/>
    <col min="7453" max="7453" width="19" style="50" customWidth="1"/>
    <col min="7454" max="7454" width="19.42578125" style="50" customWidth="1"/>
    <col min="7455" max="7455" width="6.28515625" style="50" bestFit="1" customWidth="1"/>
    <col min="7456" max="7456" width="22.85546875" style="50" customWidth="1"/>
    <col min="7457" max="7457" width="18.42578125" style="50" bestFit="1" customWidth="1"/>
    <col min="7458" max="7458" width="8.42578125" style="50" customWidth="1"/>
    <col min="7459" max="7459" width="18.42578125" style="50" bestFit="1" customWidth="1"/>
    <col min="7460" max="7460" width="5.7109375" style="50" customWidth="1"/>
    <col min="7461" max="7461" width="18.42578125" style="50" bestFit="1" customWidth="1"/>
    <col min="7462" max="7462" width="4.7109375" style="50" customWidth="1"/>
    <col min="7463" max="7463" width="23" style="50" bestFit="1" customWidth="1"/>
    <col min="7464" max="7464" width="10.85546875" style="50"/>
    <col min="7465" max="7465" width="18.42578125" style="50" bestFit="1" customWidth="1"/>
    <col min="7466" max="7466" width="16.140625" style="50" customWidth="1"/>
    <col min="7467" max="7680" width="10.85546875" style="50"/>
    <col min="7681" max="7681" width="42" style="50" customWidth="1"/>
    <col min="7682" max="7682" width="21.7109375" style="50" customWidth="1"/>
    <col min="7683" max="7694" width="20.7109375" style="50" customWidth="1"/>
    <col min="7695" max="7695" width="16.140625" style="50" customWidth="1"/>
    <col min="7696" max="7707" width="18.140625" style="50" customWidth="1"/>
    <col min="7708" max="7708" width="22.7109375" style="50" customWidth="1"/>
    <col min="7709" max="7709" width="19" style="50" customWidth="1"/>
    <col min="7710" max="7710" width="19.42578125" style="50" customWidth="1"/>
    <col min="7711" max="7711" width="6.28515625" style="50" bestFit="1" customWidth="1"/>
    <col min="7712" max="7712" width="22.85546875" style="50" customWidth="1"/>
    <col min="7713" max="7713" width="18.42578125" style="50" bestFit="1" customWidth="1"/>
    <col min="7714" max="7714" width="8.42578125" style="50" customWidth="1"/>
    <col min="7715" max="7715" width="18.42578125" style="50" bestFit="1" customWidth="1"/>
    <col min="7716" max="7716" width="5.7109375" style="50" customWidth="1"/>
    <col min="7717" max="7717" width="18.42578125" style="50" bestFit="1" customWidth="1"/>
    <col min="7718" max="7718" width="4.7109375" style="50" customWidth="1"/>
    <col min="7719" max="7719" width="23" style="50" bestFit="1" customWidth="1"/>
    <col min="7720" max="7720" width="10.85546875" style="50"/>
    <col min="7721" max="7721" width="18.42578125" style="50" bestFit="1" customWidth="1"/>
    <col min="7722" max="7722" width="16.140625" style="50" customWidth="1"/>
    <col min="7723" max="7936" width="10.85546875" style="50"/>
    <col min="7937" max="7937" width="42" style="50" customWidth="1"/>
    <col min="7938" max="7938" width="21.7109375" style="50" customWidth="1"/>
    <col min="7939" max="7950" width="20.7109375" style="50" customWidth="1"/>
    <col min="7951" max="7951" width="16.140625" style="50" customWidth="1"/>
    <col min="7952" max="7963" width="18.140625" style="50" customWidth="1"/>
    <col min="7964" max="7964" width="22.7109375" style="50" customWidth="1"/>
    <col min="7965" max="7965" width="19" style="50" customWidth="1"/>
    <col min="7966" max="7966" width="19.42578125" style="50" customWidth="1"/>
    <col min="7967" max="7967" width="6.28515625" style="50" bestFit="1" customWidth="1"/>
    <col min="7968" max="7968" width="22.85546875" style="50" customWidth="1"/>
    <col min="7969" max="7969" width="18.42578125" style="50" bestFit="1" customWidth="1"/>
    <col min="7970" max="7970" width="8.42578125" style="50" customWidth="1"/>
    <col min="7971" max="7971" width="18.42578125" style="50" bestFit="1" customWidth="1"/>
    <col min="7972" max="7972" width="5.7109375" style="50" customWidth="1"/>
    <col min="7973" max="7973" width="18.42578125" style="50" bestFit="1" customWidth="1"/>
    <col min="7974" max="7974" width="4.7109375" style="50" customWidth="1"/>
    <col min="7975" max="7975" width="23" style="50" bestFit="1" customWidth="1"/>
    <col min="7976" max="7976" width="10.85546875" style="50"/>
    <col min="7977" max="7977" width="18.42578125" style="50" bestFit="1" customWidth="1"/>
    <col min="7978" max="7978" width="16.140625" style="50" customWidth="1"/>
    <col min="7979" max="8192" width="10.85546875" style="50"/>
    <col min="8193" max="8193" width="42" style="50" customWidth="1"/>
    <col min="8194" max="8194" width="21.7109375" style="50" customWidth="1"/>
    <col min="8195" max="8206" width="20.7109375" style="50" customWidth="1"/>
    <col min="8207" max="8207" width="16.140625" style="50" customWidth="1"/>
    <col min="8208" max="8219" width="18.140625" style="50" customWidth="1"/>
    <col min="8220" max="8220" width="22.7109375" style="50" customWidth="1"/>
    <col min="8221" max="8221" width="19" style="50" customWidth="1"/>
    <col min="8222" max="8222" width="19.42578125" style="50" customWidth="1"/>
    <col min="8223" max="8223" width="6.28515625" style="50" bestFit="1" customWidth="1"/>
    <col min="8224" max="8224" width="22.85546875" style="50" customWidth="1"/>
    <col min="8225" max="8225" width="18.42578125" style="50" bestFit="1" customWidth="1"/>
    <col min="8226" max="8226" width="8.42578125" style="50" customWidth="1"/>
    <col min="8227" max="8227" width="18.42578125" style="50" bestFit="1" customWidth="1"/>
    <col min="8228" max="8228" width="5.7109375" style="50" customWidth="1"/>
    <col min="8229" max="8229" width="18.42578125" style="50" bestFit="1" customWidth="1"/>
    <col min="8230" max="8230" width="4.7109375" style="50" customWidth="1"/>
    <col min="8231" max="8231" width="23" style="50" bestFit="1" customWidth="1"/>
    <col min="8232" max="8232" width="10.85546875" style="50"/>
    <col min="8233" max="8233" width="18.42578125" style="50" bestFit="1" customWidth="1"/>
    <col min="8234" max="8234" width="16.140625" style="50" customWidth="1"/>
    <col min="8235" max="8448" width="10.85546875" style="50"/>
    <col min="8449" max="8449" width="42" style="50" customWidth="1"/>
    <col min="8450" max="8450" width="21.7109375" style="50" customWidth="1"/>
    <col min="8451" max="8462" width="20.7109375" style="50" customWidth="1"/>
    <col min="8463" max="8463" width="16.140625" style="50" customWidth="1"/>
    <col min="8464" max="8475" width="18.140625" style="50" customWidth="1"/>
    <col min="8476" max="8476" width="22.7109375" style="50" customWidth="1"/>
    <col min="8477" max="8477" width="19" style="50" customWidth="1"/>
    <col min="8478" max="8478" width="19.42578125" style="50" customWidth="1"/>
    <col min="8479" max="8479" width="6.28515625" style="50" bestFit="1" customWidth="1"/>
    <col min="8480" max="8480" width="22.85546875" style="50" customWidth="1"/>
    <col min="8481" max="8481" width="18.42578125" style="50" bestFit="1" customWidth="1"/>
    <col min="8482" max="8482" width="8.42578125" style="50" customWidth="1"/>
    <col min="8483" max="8483" width="18.42578125" style="50" bestFit="1" customWidth="1"/>
    <col min="8484" max="8484" width="5.7109375" style="50" customWidth="1"/>
    <col min="8485" max="8485" width="18.42578125" style="50" bestFit="1" customWidth="1"/>
    <col min="8486" max="8486" width="4.7109375" style="50" customWidth="1"/>
    <col min="8487" max="8487" width="23" style="50" bestFit="1" customWidth="1"/>
    <col min="8488" max="8488" width="10.85546875" style="50"/>
    <col min="8489" max="8489" width="18.42578125" style="50" bestFit="1" customWidth="1"/>
    <col min="8490" max="8490" width="16.140625" style="50" customWidth="1"/>
    <col min="8491" max="8704" width="10.85546875" style="50"/>
    <col min="8705" max="8705" width="42" style="50" customWidth="1"/>
    <col min="8706" max="8706" width="21.7109375" style="50" customWidth="1"/>
    <col min="8707" max="8718" width="20.7109375" style="50" customWidth="1"/>
    <col min="8719" max="8719" width="16.140625" style="50" customWidth="1"/>
    <col min="8720" max="8731" width="18.140625" style="50" customWidth="1"/>
    <col min="8732" max="8732" width="22.7109375" style="50" customWidth="1"/>
    <col min="8733" max="8733" width="19" style="50" customWidth="1"/>
    <col min="8734" max="8734" width="19.42578125" style="50" customWidth="1"/>
    <col min="8735" max="8735" width="6.28515625" style="50" bestFit="1" customWidth="1"/>
    <col min="8736" max="8736" width="22.85546875" style="50" customWidth="1"/>
    <col min="8737" max="8737" width="18.42578125" style="50" bestFit="1" customWidth="1"/>
    <col min="8738" max="8738" width="8.42578125" style="50" customWidth="1"/>
    <col min="8739" max="8739" width="18.42578125" style="50" bestFit="1" customWidth="1"/>
    <col min="8740" max="8740" width="5.7109375" style="50" customWidth="1"/>
    <col min="8741" max="8741" width="18.42578125" style="50" bestFit="1" customWidth="1"/>
    <col min="8742" max="8742" width="4.7109375" style="50" customWidth="1"/>
    <col min="8743" max="8743" width="23" style="50" bestFit="1" customWidth="1"/>
    <col min="8744" max="8744" width="10.85546875" style="50"/>
    <col min="8745" max="8745" width="18.42578125" style="50" bestFit="1" customWidth="1"/>
    <col min="8746" max="8746" width="16.140625" style="50" customWidth="1"/>
    <col min="8747" max="8960" width="10.85546875" style="50"/>
    <col min="8961" max="8961" width="42" style="50" customWidth="1"/>
    <col min="8962" max="8962" width="21.7109375" style="50" customWidth="1"/>
    <col min="8963" max="8974" width="20.7109375" style="50" customWidth="1"/>
    <col min="8975" max="8975" width="16.140625" style="50" customWidth="1"/>
    <col min="8976" max="8987" width="18.140625" style="50" customWidth="1"/>
    <col min="8988" max="8988" width="22.7109375" style="50" customWidth="1"/>
    <col min="8989" max="8989" width="19" style="50" customWidth="1"/>
    <col min="8990" max="8990" width="19.42578125" style="50" customWidth="1"/>
    <col min="8991" max="8991" width="6.28515625" style="50" bestFit="1" customWidth="1"/>
    <col min="8992" max="8992" width="22.85546875" style="50" customWidth="1"/>
    <col min="8993" max="8993" width="18.42578125" style="50" bestFit="1" customWidth="1"/>
    <col min="8994" max="8994" width="8.42578125" style="50" customWidth="1"/>
    <col min="8995" max="8995" width="18.42578125" style="50" bestFit="1" customWidth="1"/>
    <col min="8996" max="8996" width="5.7109375" style="50" customWidth="1"/>
    <col min="8997" max="8997" width="18.42578125" style="50" bestFit="1" customWidth="1"/>
    <col min="8998" max="8998" width="4.7109375" style="50" customWidth="1"/>
    <col min="8999" max="8999" width="23" style="50" bestFit="1" customWidth="1"/>
    <col min="9000" max="9000" width="10.85546875" style="50"/>
    <col min="9001" max="9001" width="18.42578125" style="50" bestFit="1" customWidth="1"/>
    <col min="9002" max="9002" width="16.140625" style="50" customWidth="1"/>
    <col min="9003" max="9216" width="10.85546875" style="50"/>
    <col min="9217" max="9217" width="42" style="50" customWidth="1"/>
    <col min="9218" max="9218" width="21.7109375" style="50" customWidth="1"/>
    <col min="9219" max="9230" width="20.7109375" style="50" customWidth="1"/>
    <col min="9231" max="9231" width="16.140625" style="50" customWidth="1"/>
    <col min="9232" max="9243" width="18.140625" style="50" customWidth="1"/>
    <col min="9244" max="9244" width="22.7109375" style="50" customWidth="1"/>
    <col min="9245" max="9245" width="19" style="50" customWidth="1"/>
    <col min="9246" max="9246" width="19.42578125" style="50" customWidth="1"/>
    <col min="9247" max="9247" width="6.28515625" style="50" bestFit="1" customWidth="1"/>
    <col min="9248" max="9248" width="22.85546875" style="50" customWidth="1"/>
    <col min="9249" max="9249" width="18.42578125" style="50" bestFit="1" customWidth="1"/>
    <col min="9250" max="9250" width="8.42578125" style="50" customWidth="1"/>
    <col min="9251" max="9251" width="18.42578125" style="50" bestFit="1" customWidth="1"/>
    <col min="9252" max="9252" width="5.7109375" style="50" customWidth="1"/>
    <col min="9253" max="9253" width="18.42578125" style="50" bestFit="1" customWidth="1"/>
    <col min="9254" max="9254" width="4.7109375" style="50" customWidth="1"/>
    <col min="9255" max="9255" width="23" style="50" bestFit="1" customWidth="1"/>
    <col min="9256" max="9256" width="10.85546875" style="50"/>
    <col min="9257" max="9257" width="18.42578125" style="50" bestFit="1" customWidth="1"/>
    <col min="9258" max="9258" width="16.140625" style="50" customWidth="1"/>
    <col min="9259" max="9472" width="10.85546875" style="50"/>
    <col min="9473" max="9473" width="42" style="50" customWidth="1"/>
    <col min="9474" max="9474" width="21.7109375" style="50" customWidth="1"/>
    <col min="9475" max="9486" width="20.7109375" style="50" customWidth="1"/>
    <col min="9487" max="9487" width="16.140625" style="50" customWidth="1"/>
    <col min="9488" max="9499" width="18.140625" style="50" customWidth="1"/>
    <col min="9500" max="9500" width="22.7109375" style="50" customWidth="1"/>
    <col min="9501" max="9501" width="19" style="50" customWidth="1"/>
    <col min="9502" max="9502" width="19.42578125" style="50" customWidth="1"/>
    <col min="9503" max="9503" width="6.28515625" style="50" bestFit="1" customWidth="1"/>
    <col min="9504" max="9504" width="22.85546875" style="50" customWidth="1"/>
    <col min="9505" max="9505" width="18.42578125" style="50" bestFit="1" customWidth="1"/>
    <col min="9506" max="9506" width="8.42578125" style="50" customWidth="1"/>
    <col min="9507" max="9507" width="18.42578125" style="50" bestFit="1" customWidth="1"/>
    <col min="9508" max="9508" width="5.7109375" style="50" customWidth="1"/>
    <col min="9509" max="9509" width="18.42578125" style="50" bestFit="1" customWidth="1"/>
    <col min="9510" max="9510" width="4.7109375" style="50" customWidth="1"/>
    <col min="9511" max="9511" width="23" style="50" bestFit="1" customWidth="1"/>
    <col min="9512" max="9512" width="10.85546875" style="50"/>
    <col min="9513" max="9513" width="18.42578125" style="50" bestFit="1" customWidth="1"/>
    <col min="9514" max="9514" width="16.140625" style="50" customWidth="1"/>
    <col min="9515" max="9728" width="10.85546875" style="50"/>
    <col min="9729" max="9729" width="42" style="50" customWidth="1"/>
    <col min="9730" max="9730" width="21.7109375" style="50" customWidth="1"/>
    <col min="9731" max="9742" width="20.7109375" style="50" customWidth="1"/>
    <col min="9743" max="9743" width="16.140625" style="50" customWidth="1"/>
    <col min="9744" max="9755" width="18.140625" style="50" customWidth="1"/>
    <col min="9756" max="9756" width="22.7109375" style="50" customWidth="1"/>
    <col min="9757" max="9757" width="19" style="50" customWidth="1"/>
    <col min="9758" max="9758" width="19.42578125" style="50" customWidth="1"/>
    <col min="9759" max="9759" width="6.28515625" style="50" bestFit="1" customWidth="1"/>
    <col min="9760" max="9760" width="22.85546875" style="50" customWidth="1"/>
    <col min="9761" max="9761" width="18.42578125" style="50" bestFit="1" customWidth="1"/>
    <col min="9762" max="9762" width="8.42578125" style="50" customWidth="1"/>
    <col min="9763" max="9763" width="18.42578125" style="50" bestFit="1" customWidth="1"/>
    <col min="9764" max="9764" width="5.7109375" style="50" customWidth="1"/>
    <col min="9765" max="9765" width="18.42578125" style="50" bestFit="1" customWidth="1"/>
    <col min="9766" max="9766" width="4.7109375" style="50" customWidth="1"/>
    <col min="9767" max="9767" width="23" style="50" bestFit="1" customWidth="1"/>
    <col min="9768" max="9768" width="10.85546875" style="50"/>
    <col min="9769" max="9769" width="18.42578125" style="50" bestFit="1" customWidth="1"/>
    <col min="9770" max="9770" width="16.140625" style="50" customWidth="1"/>
    <col min="9771" max="9984" width="10.85546875" style="50"/>
    <col min="9985" max="9985" width="42" style="50" customWidth="1"/>
    <col min="9986" max="9986" width="21.7109375" style="50" customWidth="1"/>
    <col min="9987" max="9998" width="20.7109375" style="50" customWidth="1"/>
    <col min="9999" max="9999" width="16.140625" style="50" customWidth="1"/>
    <col min="10000" max="10011" width="18.140625" style="50" customWidth="1"/>
    <col min="10012" max="10012" width="22.7109375" style="50" customWidth="1"/>
    <col min="10013" max="10013" width="19" style="50" customWidth="1"/>
    <col min="10014" max="10014" width="19.42578125" style="50" customWidth="1"/>
    <col min="10015" max="10015" width="6.28515625" style="50" bestFit="1" customWidth="1"/>
    <col min="10016" max="10016" width="22.85546875" style="50" customWidth="1"/>
    <col min="10017" max="10017" width="18.42578125" style="50" bestFit="1" customWidth="1"/>
    <col min="10018" max="10018" width="8.42578125" style="50" customWidth="1"/>
    <col min="10019" max="10019" width="18.42578125" style="50" bestFit="1" customWidth="1"/>
    <col min="10020" max="10020" width="5.7109375" style="50" customWidth="1"/>
    <col min="10021" max="10021" width="18.42578125" style="50" bestFit="1" customWidth="1"/>
    <col min="10022" max="10022" width="4.7109375" style="50" customWidth="1"/>
    <col min="10023" max="10023" width="23" style="50" bestFit="1" customWidth="1"/>
    <col min="10024" max="10024" width="10.85546875" style="50"/>
    <col min="10025" max="10025" width="18.42578125" style="50" bestFit="1" customWidth="1"/>
    <col min="10026" max="10026" width="16.140625" style="50" customWidth="1"/>
    <col min="10027" max="10240" width="10.85546875" style="50"/>
    <col min="10241" max="10241" width="42" style="50" customWidth="1"/>
    <col min="10242" max="10242" width="21.7109375" style="50" customWidth="1"/>
    <col min="10243" max="10254" width="20.7109375" style="50" customWidth="1"/>
    <col min="10255" max="10255" width="16.140625" style="50" customWidth="1"/>
    <col min="10256" max="10267" width="18.140625" style="50" customWidth="1"/>
    <col min="10268" max="10268" width="22.7109375" style="50" customWidth="1"/>
    <col min="10269" max="10269" width="19" style="50" customWidth="1"/>
    <col min="10270" max="10270" width="19.42578125" style="50" customWidth="1"/>
    <col min="10271" max="10271" width="6.28515625" style="50" bestFit="1" customWidth="1"/>
    <col min="10272" max="10272" width="22.85546875" style="50" customWidth="1"/>
    <col min="10273" max="10273" width="18.42578125" style="50" bestFit="1" customWidth="1"/>
    <col min="10274" max="10274" width="8.42578125" style="50" customWidth="1"/>
    <col min="10275" max="10275" width="18.42578125" style="50" bestFit="1" customWidth="1"/>
    <col min="10276" max="10276" width="5.7109375" style="50" customWidth="1"/>
    <col min="10277" max="10277" width="18.42578125" style="50" bestFit="1" customWidth="1"/>
    <col min="10278" max="10278" width="4.7109375" style="50" customWidth="1"/>
    <col min="10279" max="10279" width="23" style="50" bestFit="1" customWidth="1"/>
    <col min="10280" max="10280" width="10.85546875" style="50"/>
    <col min="10281" max="10281" width="18.42578125" style="50" bestFit="1" customWidth="1"/>
    <col min="10282" max="10282" width="16.140625" style="50" customWidth="1"/>
    <col min="10283" max="10496" width="10.85546875" style="50"/>
    <col min="10497" max="10497" width="42" style="50" customWidth="1"/>
    <col min="10498" max="10498" width="21.7109375" style="50" customWidth="1"/>
    <col min="10499" max="10510" width="20.7109375" style="50" customWidth="1"/>
    <col min="10511" max="10511" width="16.140625" style="50" customWidth="1"/>
    <col min="10512" max="10523" width="18.140625" style="50" customWidth="1"/>
    <col min="10524" max="10524" width="22.7109375" style="50" customWidth="1"/>
    <col min="10525" max="10525" width="19" style="50" customWidth="1"/>
    <col min="10526" max="10526" width="19.42578125" style="50" customWidth="1"/>
    <col min="10527" max="10527" width="6.28515625" style="50" bestFit="1" customWidth="1"/>
    <col min="10528" max="10528" width="22.85546875" style="50" customWidth="1"/>
    <col min="10529" max="10529" width="18.42578125" style="50" bestFit="1" customWidth="1"/>
    <col min="10530" max="10530" width="8.42578125" style="50" customWidth="1"/>
    <col min="10531" max="10531" width="18.42578125" style="50" bestFit="1" customWidth="1"/>
    <col min="10532" max="10532" width="5.7109375" style="50" customWidth="1"/>
    <col min="10533" max="10533" width="18.42578125" style="50" bestFit="1" customWidth="1"/>
    <col min="10534" max="10534" width="4.7109375" style="50" customWidth="1"/>
    <col min="10535" max="10535" width="23" style="50" bestFit="1" customWidth="1"/>
    <col min="10536" max="10536" width="10.85546875" style="50"/>
    <col min="10537" max="10537" width="18.42578125" style="50" bestFit="1" customWidth="1"/>
    <col min="10538" max="10538" width="16.140625" style="50" customWidth="1"/>
    <col min="10539" max="10752" width="10.85546875" style="50"/>
    <col min="10753" max="10753" width="42" style="50" customWidth="1"/>
    <col min="10754" max="10754" width="21.7109375" style="50" customWidth="1"/>
    <col min="10755" max="10766" width="20.7109375" style="50" customWidth="1"/>
    <col min="10767" max="10767" width="16.140625" style="50" customWidth="1"/>
    <col min="10768" max="10779" width="18.140625" style="50" customWidth="1"/>
    <col min="10780" max="10780" width="22.7109375" style="50" customWidth="1"/>
    <col min="10781" max="10781" width="19" style="50" customWidth="1"/>
    <col min="10782" max="10782" width="19.42578125" style="50" customWidth="1"/>
    <col min="10783" max="10783" width="6.28515625" style="50" bestFit="1" customWidth="1"/>
    <col min="10784" max="10784" width="22.85546875" style="50" customWidth="1"/>
    <col min="10785" max="10785" width="18.42578125" style="50" bestFit="1" customWidth="1"/>
    <col min="10786" max="10786" width="8.42578125" style="50" customWidth="1"/>
    <col min="10787" max="10787" width="18.42578125" style="50" bestFit="1" customWidth="1"/>
    <col min="10788" max="10788" width="5.7109375" style="50" customWidth="1"/>
    <col min="10789" max="10789" width="18.42578125" style="50" bestFit="1" customWidth="1"/>
    <col min="10790" max="10790" width="4.7109375" style="50" customWidth="1"/>
    <col min="10791" max="10791" width="23" style="50" bestFit="1" customWidth="1"/>
    <col min="10792" max="10792" width="10.85546875" style="50"/>
    <col min="10793" max="10793" width="18.42578125" style="50" bestFit="1" customWidth="1"/>
    <col min="10794" max="10794" width="16.140625" style="50" customWidth="1"/>
    <col min="10795" max="11008" width="10.85546875" style="50"/>
    <col min="11009" max="11009" width="42" style="50" customWidth="1"/>
    <col min="11010" max="11010" width="21.7109375" style="50" customWidth="1"/>
    <col min="11011" max="11022" width="20.7109375" style="50" customWidth="1"/>
    <col min="11023" max="11023" width="16.140625" style="50" customWidth="1"/>
    <col min="11024" max="11035" width="18.140625" style="50" customWidth="1"/>
    <col min="11036" max="11036" width="22.7109375" style="50" customWidth="1"/>
    <col min="11037" max="11037" width="19" style="50" customWidth="1"/>
    <col min="11038" max="11038" width="19.42578125" style="50" customWidth="1"/>
    <col min="11039" max="11039" width="6.28515625" style="50" bestFit="1" customWidth="1"/>
    <col min="11040" max="11040" width="22.85546875" style="50" customWidth="1"/>
    <col min="11041" max="11041" width="18.42578125" style="50" bestFit="1" customWidth="1"/>
    <col min="11042" max="11042" width="8.42578125" style="50" customWidth="1"/>
    <col min="11043" max="11043" width="18.42578125" style="50" bestFit="1" customWidth="1"/>
    <col min="11044" max="11044" width="5.7109375" style="50" customWidth="1"/>
    <col min="11045" max="11045" width="18.42578125" style="50" bestFit="1" customWidth="1"/>
    <col min="11046" max="11046" width="4.7109375" style="50" customWidth="1"/>
    <col min="11047" max="11047" width="23" style="50" bestFit="1" customWidth="1"/>
    <col min="11048" max="11048" width="10.85546875" style="50"/>
    <col min="11049" max="11049" width="18.42578125" style="50" bestFit="1" customWidth="1"/>
    <col min="11050" max="11050" width="16.140625" style="50" customWidth="1"/>
    <col min="11051" max="11264" width="10.85546875" style="50"/>
    <col min="11265" max="11265" width="42" style="50" customWidth="1"/>
    <col min="11266" max="11266" width="21.7109375" style="50" customWidth="1"/>
    <col min="11267" max="11278" width="20.7109375" style="50" customWidth="1"/>
    <col min="11279" max="11279" width="16.140625" style="50" customWidth="1"/>
    <col min="11280" max="11291" width="18.140625" style="50" customWidth="1"/>
    <col min="11292" max="11292" width="22.7109375" style="50" customWidth="1"/>
    <col min="11293" max="11293" width="19" style="50" customWidth="1"/>
    <col min="11294" max="11294" width="19.42578125" style="50" customWidth="1"/>
    <col min="11295" max="11295" width="6.28515625" style="50" bestFit="1" customWidth="1"/>
    <col min="11296" max="11296" width="22.85546875" style="50" customWidth="1"/>
    <col min="11297" max="11297" width="18.42578125" style="50" bestFit="1" customWidth="1"/>
    <col min="11298" max="11298" width="8.42578125" style="50" customWidth="1"/>
    <col min="11299" max="11299" width="18.42578125" style="50" bestFit="1" customWidth="1"/>
    <col min="11300" max="11300" width="5.7109375" style="50" customWidth="1"/>
    <col min="11301" max="11301" width="18.42578125" style="50" bestFit="1" customWidth="1"/>
    <col min="11302" max="11302" width="4.7109375" style="50" customWidth="1"/>
    <col min="11303" max="11303" width="23" style="50" bestFit="1" customWidth="1"/>
    <col min="11304" max="11304" width="10.85546875" style="50"/>
    <col min="11305" max="11305" width="18.42578125" style="50" bestFit="1" customWidth="1"/>
    <col min="11306" max="11306" width="16.140625" style="50" customWidth="1"/>
    <col min="11307" max="11520" width="10.85546875" style="50"/>
    <col min="11521" max="11521" width="42" style="50" customWidth="1"/>
    <col min="11522" max="11522" width="21.7109375" style="50" customWidth="1"/>
    <col min="11523" max="11534" width="20.7109375" style="50" customWidth="1"/>
    <col min="11535" max="11535" width="16.140625" style="50" customWidth="1"/>
    <col min="11536" max="11547" width="18.140625" style="50" customWidth="1"/>
    <col min="11548" max="11548" width="22.7109375" style="50" customWidth="1"/>
    <col min="11549" max="11549" width="19" style="50" customWidth="1"/>
    <col min="11550" max="11550" width="19.42578125" style="50" customWidth="1"/>
    <col min="11551" max="11551" width="6.28515625" style="50" bestFit="1" customWidth="1"/>
    <col min="11552" max="11552" width="22.85546875" style="50" customWidth="1"/>
    <col min="11553" max="11553" width="18.42578125" style="50" bestFit="1" customWidth="1"/>
    <col min="11554" max="11554" width="8.42578125" style="50" customWidth="1"/>
    <col min="11555" max="11555" width="18.42578125" style="50" bestFit="1" customWidth="1"/>
    <col min="11556" max="11556" width="5.7109375" style="50" customWidth="1"/>
    <col min="11557" max="11557" width="18.42578125" style="50" bestFit="1" customWidth="1"/>
    <col min="11558" max="11558" width="4.7109375" style="50" customWidth="1"/>
    <col min="11559" max="11559" width="23" style="50" bestFit="1" customWidth="1"/>
    <col min="11560" max="11560" width="10.85546875" style="50"/>
    <col min="11561" max="11561" width="18.42578125" style="50" bestFit="1" customWidth="1"/>
    <col min="11562" max="11562" width="16.140625" style="50" customWidth="1"/>
    <col min="11563" max="11776" width="10.85546875" style="50"/>
    <col min="11777" max="11777" width="42" style="50" customWidth="1"/>
    <col min="11778" max="11778" width="21.7109375" style="50" customWidth="1"/>
    <col min="11779" max="11790" width="20.7109375" style="50" customWidth="1"/>
    <col min="11791" max="11791" width="16.140625" style="50" customWidth="1"/>
    <col min="11792" max="11803" width="18.140625" style="50" customWidth="1"/>
    <col min="11804" max="11804" width="22.7109375" style="50" customWidth="1"/>
    <col min="11805" max="11805" width="19" style="50" customWidth="1"/>
    <col min="11806" max="11806" width="19.42578125" style="50" customWidth="1"/>
    <col min="11807" max="11807" width="6.28515625" style="50" bestFit="1" customWidth="1"/>
    <col min="11808" max="11808" width="22.85546875" style="50" customWidth="1"/>
    <col min="11809" max="11809" width="18.42578125" style="50" bestFit="1" customWidth="1"/>
    <col min="11810" max="11810" width="8.42578125" style="50" customWidth="1"/>
    <col min="11811" max="11811" width="18.42578125" style="50" bestFit="1" customWidth="1"/>
    <col min="11812" max="11812" width="5.7109375" style="50" customWidth="1"/>
    <col min="11813" max="11813" width="18.42578125" style="50" bestFit="1" customWidth="1"/>
    <col min="11814" max="11814" width="4.7109375" style="50" customWidth="1"/>
    <col min="11815" max="11815" width="23" style="50" bestFit="1" customWidth="1"/>
    <col min="11816" max="11816" width="10.85546875" style="50"/>
    <col min="11817" max="11817" width="18.42578125" style="50" bestFit="1" customWidth="1"/>
    <col min="11818" max="11818" width="16.140625" style="50" customWidth="1"/>
    <col min="11819" max="12032" width="10.85546875" style="50"/>
    <col min="12033" max="12033" width="42" style="50" customWidth="1"/>
    <col min="12034" max="12034" width="21.7109375" style="50" customWidth="1"/>
    <col min="12035" max="12046" width="20.7109375" style="50" customWidth="1"/>
    <col min="12047" max="12047" width="16.140625" style="50" customWidth="1"/>
    <col min="12048" max="12059" width="18.140625" style="50" customWidth="1"/>
    <col min="12060" max="12060" width="22.7109375" style="50" customWidth="1"/>
    <col min="12061" max="12061" width="19" style="50" customWidth="1"/>
    <col min="12062" max="12062" width="19.42578125" style="50" customWidth="1"/>
    <col min="12063" max="12063" width="6.28515625" style="50" bestFit="1" customWidth="1"/>
    <col min="12064" max="12064" width="22.85546875" style="50" customWidth="1"/>
    <col min="12065" max="12065" width="18.42578125" style="50" bestFit="1" customWidth="1"/>
    <col min="12066" max="12066" width="8.42578125" style="50" customWidth="1"/>
    <col min="12067" max="12067" width="18.42578125" style="50" bestFit="1" customWidth="1"/>
    <col min="12068" max="12068" width="5.7109375" style="50" customWidth="1"/>
    <col min="12069" max="12069" width="18.42578125" style="50" bestFit="1" customWidth="1"/>
    <col min="12070" max="12070" width="4.7109375" style="50" customWidth="1"/>
    <col min="12071" max="12071" width="23" style="50" bestFit="1" customWidth="1"/>
    <col min="12072" max="12072" width="10.85546875" style="50"/>
    <col min="12073" max="12073" width="18.42578125" style="50" bestFit="1" customWidth="1"/>
    <col min="12074" max="12074" width="16.140625" style="50" customWidth="1"/>
    <col min="12075" max="12288" width="10.85546875" style="50"/>
    <col min="12289" max="12289" width="42" style="50" customWidth="1"/>
    <col min="12290" max="12290" width="21.7109375" style="50" customWidth="1"/>
    <col min="12291" max="12302" width="20.7109375" style="50" customWidth="1"/>
    <col min="12303" max="12303" width="16.140625" style="50" customWidth="1"/>
    <col min="12304" max="12315" width="18.140625" style="50" customWidth="1"/>
    <col min="12316" max="12316" width="22.7109375" style="50" customWidth="1"/>
    <col min="12317" max="12317" width="19" style="50" customWidth="1"/>
    <col min="12318" max="12318" width="19.42578125" style="50" customWidth="1"/>
    <col min="12319" max="12319" width="6.28515625" style="50" bestFit="1" customWidth="1"/>
    <col min="12320" max="12320" width="22.85546875" style="50" customWidth="1"/>
    <col min="12321" max="12321" width="18.42578125" style="50" bestFit="1" customWidth="1"/>
    <col min="12322" max="12322" width="8.42578125" style="50" customWidth="1"/>
    <col min="12323" max="12323" width="18.42578125" style="50" bestFit="1" customWidth="1"/>
    <col min="12324" max="12324" width="5.7109375" style="50" customWidth="1"/>
    <col min="12325" max="12325" width="18.42578125" style="50" bestFit="1" customWidth="1"/>
    <col min="12326" max="12326" width="4.7109375" style="50" customWidth="1"/>
    <col min="12327" max="12327" width="23" style="50" bestFit="1" customWidth="1"/>
    <col min="12328" max="12328" width="10.85546875" style="50"/>
    <col min="12329" max="12329" width="18.42578125" style="50" bestFit="1" customWidth="1"/>
    <col min="12330" max="12330" width="16.140625" style="50" customWidth="1"/>
    <col min="12331" max="12544" width="10.85546875" style="50"/>
    <col min="12545" max="12545" width="42" style="50" customWidth="1"/>
    <col min="12546" max="12546" width="21.7109375" style="50" customWidth="1"/>
    <col min="12547" max="12558" width="20.7109375" style="50" customWidth="1"/>
    <col min="12559" max="12559" width="16.140625" style="50" customWidth="1"/>
    <col min="12560" max="12571" width="18.140625" style="50" customWidth="1"/>
    <col min="12572" max="12572" width="22.7109375" style="50" customWidth="1"/>
    <col min="12573" max="12573" width="19" style="50" customWidth="1"/>
    <col min="12574" max="12574" width="19.42578125" style="50" customWidth="1"/>
    <col min="12575" max="12575" width="6.28515625" style="50" bestFit="1" customWidth="1"/>
    <col min="12576" max="12576" width="22.85546875" style="50" customWidth="1"/>
    <col min="12577" max="12577" width="18.42578125" style="50" bestFit="1" customWidth="1"/>
    <col min="12578" max="12578" width="8.42578125" style="50" customWidth="1"/>
    <col min="12579" max="12579" width="18.42578125" style="50" bestFit="1" customWidth="1"/>
    <col min="12580" max="12580" width="5.7109375" style="50" customWidth="1"/>
    <col min="12581" max="12581" width="18.42578125" style="50" bestFit="1" customWidth="1"/>
    <col min="12582" max="12582" width="4.7109375" style="50" customWidth="1"/>
    <col min="12583" max="12583" width="23" style="50" bestFit="1" customWidth="1"/>
    <col min="12584" max="12584" width="10.85546875" style="50"/>
    <col min="12585" max="12585" width="18.42578125" style="50" bestFit="1" customWidth="1"/>
    <col min="12586" max="12586" width="16.140625" style="50" customWidth="1"/>
    <col min="12587" max="12800" width="10.85546875" style="50"/>
    <col min="12801" max="12801" width="42" style="50" customWidth="1"/>
    <col min="12802" max="12802" width="21.7109375" style="50" customWidth="1"/>
    <col min="12803" max="12814" width="20.7109375" style="50" customWidth="1"/>
    <col min="12815" max="12815" width="16.140625" style="50" customWidth="1"/>
    <col min="12816" max="12827" width="18.140625" style="50" customWidth="1"/>
    <col min="12828" max="12828" width="22.7109375" style="50" customWidth="1"/>
    <col min="12829" max="12829" width="19" style="50" customWidth="1"/>
    <col min="12830" max="12830" width="19.42578125" style="50" customWidth="1"/>
    <col min="12831" max="12831" width="6.28515625" style="50" bestFit="1" customWidth="1"/>
    <col min="12832" max="12832" width="22.85546875" style="50" customWidth="1"/>
    <col min="12833" max="12833" width="18.42578125" style="50" bestFit="1" customWidth="1"/>
    <col min="12834" max="12834" width="8.42578125" style="50" customWidth="1"/>
    <col min="12835" max="12835" width="18.42578125" style="50" bestFit="1" customWidth="1"/>
    <col min="12836" max="12836" width="5.7109375" style="50" customWidth="1"/>
    <col min="12837" max="12837" width="18.42578125" style="50" bestFit="1" customWidth="1"/>
    <col min="12838" max="12838" width="4.7109375" style="50" customWidth="1"/>
    <col min="12839" max="12839" width="23" style="50" bestFit="1" customWidth="1"/>
    <col min="12840" max="12840" width="10.85546875" style="50"/>
    <col min="12841" max="12841" width="18.42578125" style="50" bestFit="1" customWidth="1"/>
    <col min="12842" max="12842" width="16.140625" style="50" customWidth="1"/>
    <col min="12843" max="13056" width="10.85546875" style="50"/>
    <col min="13057" max="13057" width="42" style="50" customWidth="1"/>
    <col min="13058" max="13058" width="21.7109375" style="50" customWidth="1"/>
    <col min="13059" max="13070" width="20.7109375" style="50" customWidth="1"/>
    <col min="13071" max="13071" width="16.140625" style="50" customWidth="1"/>
    <col min="13072" max="13083" width="18.140625" style="50" customWidth="1"/>
    <col min="13084" max="13084" width="22.7109375" style="50" customWidth="1"/>
    <col min="13085" max="13085" width="19" style="50" customWidth="1"/>
    <col min="13086" max="13086" width="19.42578125" style="50" customWidth="1"/>
    <col min="13087" max="13087" width="6.28515625" style="50" bestFit="1" customWidth="1"/>
    <col min="13088" max="13088" width="22.85546875" style="50" customWidth="1"/>
    <col min="13089" max="13089" width="18.42578125" style="50" bestFit="1" customWidth="1"/>
    <col min="13090" max="13090" width="8.42578125" style="50" customWidth="1"/>
    <col min="13091" max="13091" width="18.42578125" style="50" bestFit="1" customWidth="1"/>
    <col min="13092" max="13092" width="5.7109375" style="50" customWidth="1"/>
    <col min="13093" max="13093" width="18.42578125" style="50" bestFit="1" customWidth="1"/>
    <col min="13094" max="13094" width="4.7109375" style="50" customWidth="1"/>
    <col min="13095" max="13095" width="23" style="50" bestFit="1" customWidth="1"/>
    <col min="13096" max="13096" width="10.85546875" style="50"/>
    <col min="13097" max="13097" width="18.42578125" style="50" bestFit="1" customWidth="1"/>
    <col min="13098" max="13098" width="16.140625" style="50" customWidth="1"/>
    <col min="13099" max="13312" width="10.85546875" style="50"/>
    <col min="13313" max="13313" width="42" style="50" customWidth="1"/>
    <col min="13314" max="13314" width="21.7109375" style="50" customWidth="1"/>
    <col min="13315" max="13326" width="20.7109375" style="50" customWidth="1"/>
    <col min="13327" max="13327" width="16.140625" style="50" customWidth="1"/>
    <col min="13328" max="13339" width="18.140625" style="50" customWidth="1"/>
    <col min="13340" max="13340" width="22.7109375" style="50" customWidth="1"/>
    <col min="13341" max="13341" width="19" style="50" customWidth="1"/>
    <col min="13342" max="13342" width="19.42578125" style="50" customWidth="1"/>
    <col min="13343" max="13343" width="6.28515625" style="50" bestFit="1" customWidth="1"/>
    <col min="13344" max="13344" width="22.85546875" style="50" customWidth="1"/>
    <col min="13345" max="13345" width="18.42578125" style="50" bestFit="1" customWidth="1"/>
    <col min="13346" max="13346" width="8.42578125" style="50" customWidth="1"/>
    <col min="13347" max="13347" width="18.42578125" style="50" bestFit="1" customWidth="1"/>
    <col min="13348" max="13348" width="5.7109375" style="50" customWidth="1"/>
    <col min="13349" max="13349" width="18.42578125" style="50" bestFit="1" customWidth="1"/>
    <col min="13350" max="13350" width="4.7109375" style="50" customWidth="1"/>
    <col min="13351" max="13351" width="23" style="50" bestFit="1" customWidth="1"/>
    <col min="13352" max="13352" width="10.85546875" style="50"/>
    <col min="13353" max="13353" width="18.42578125" style="50" bestFit="1" customWidth="1"/>
    <col min="13354" max="13354" width="16.140625" style="50" customWidth="1"/>
    <col min="13355" max="13568" width="10.85546875" style="50"/>
    <col min="13569" max="13569" width="42" style="50" customWidth="1"/>
    <col min="13570" max="13570" width="21.7109375" style="50" customWidth="1"/>
    <col min="13571" max="13582" width="20.7109375" style="50" customWidth="1"/>
    <col min="13583" max="13583" width="16.140625" style="50" customWidth="1"/>
    <col min="13584" max="13595" width="18.140625" style="50" customWidth="1"/>
    <col min="13596" max="13596" width="22.7109375" style="50" customWidth="1"/>
    <col min="13597" max="13597" width="19" style="50" customWidth="1"/>
    <col min="13598" max="13598" width="19.42578125" style="50" customWidth="1"/>
    <col min="13599" max="13599" width="6.28515625" style="50" bestFit="1" customWidth="1"/>
    <col min="13600" max="13600" width="22.85546875" style="50" customWidth="1"/>
    <col min="13601" max="13601" width="18.42578125" style="50" bestFit="1" customWidth="1"/>
    <col min="13602" max="13602" width="8.42578125" style="50" customWidth="1"/>
    <col min="13603" max="13603" width="18.42578125" style="50" bestFit="1" customWidth="1"/>
    <col min="13604" max="13604" width="5.7109375" style="50" customWidth="1"/>
    <col min="13605" max="13605" width="18.42578125" style="50" bestFit="1" customWidth="1"/>
    <col min="13606" max="13606" width="4.7109375" style="50" customWidth="1"/>
    <col min="13607" max="13607" width="23" style="50" bestFit="1" customWidth="1"/>
    <col min="13608" max="13608" width="10.85546875" style="50"/>
    <col min="13609" max="13609" width="18.42578125" style="50" bestFit="1" customWidth="1"/>
    <col min="13610" max="13610" width="16.140625" style="50" customWidth="1"/>
    <col min="13611" max="13824" width="10.85546875" style="50"/>
    <col min="13825" max="13825" width="42" style="50" customWidth="1"/>
    <col min="13826" max="13826" width="21.7109375" style="50" customWidth="1"/>
    <col min="13827" max="13838" width="20.7109375" style="50" customWidth="1"/>
    <col min="13839" max="13839" width="16.140625" style="50" customWidth="1"/>
    <col min="13840" max="13851" width="18.140625" style="50" customWidth="1"/>
    <col min="13852" max="13852" width="22.7109375" style="50" customWidth="1"/>
    <col min="13853" max="13853" width="19" style="50" customWidth="1"/>
    <col min="13854" max="13854" width="19.42578125" style="50" customWidth="1"/>
    <col min="13855" max="13855" width="6.28515625" style="50" bestFit="1" customWidth="1"/>
    <col min="13856" max="13856" width="22.85546875" style="50" customWidth="1"/>
    <col min="13857" max="13857" width="18.42578125" style="50" bestFit="1" customWidth="1"/>
    <col min="13858" max="13858" width="8.42578125" style="50" customWidth="1"/>
    <col min="13859" max="13859" width="18.42578125" style="50" bestFit="1" customWidth="1"/>
    <col min="13860" max="13860" width="5.7109375" style="50" customWidth="1"/>
    <col min="13861" max="13861" width="18.42578125" style="50" bestFit="1" customWidth="1"/>
    <col min="13862" max="13862" width="4.7109375" style="50" customWidth="1"/>
    <col min="13863" max="13863" width="23" style="50" bestFit="1" customWidth="1"/>
    <col min="13864" max="13864" width="10.85546875" style="50"/>
    <col min="13865" max="13865" width="18.42578125" style="50" bestFit="1" customWidth="1"/>
    <col min="13866" max="13866" width="16.140625" style="50" customWidth="1"/>
    <col min="13867" max="14080" width="10.85546875" style="50"/>
    <col min="14081" max="14081" width="42" style="50" customWidth="1"/>
    <col min="14082" max="14082" width="21.7109375" style="50" customWidth="1"/>
    <col min="14083" max="14094" width="20.7109375" style="50" customWidth="1"/>
    <col min="14095" max="14095" width="16.140625" style="50" customWidth="1"/>
    <col min="14096" max="14107" width="18.140625" style="50" customWidth="1"/>
    <col min="14108" max="14108" width="22.7109375" style="50" customWidth="1"/>
    <col min="14109" max="14109" width="19" style="50" customWidth="1"/>
    <col min="14110" max="14110" width="19.42578125" style="50" customWidth="1"/>
    <col min="14111" max="14111" width="6.28515625" style="50" bestFit="1" customWidth="1"/>
    <col min="14112" max="14112" width="22.85546875" style="50" customWidth="1"/>
    <col min="14113" max="14113" width="18.42578125" style="50" bestFit="1" customWidth="1"/>
    <col min="14114" max="14114" width="8.42578125" style="50" customWidth="1"/>
    <col min="14115" max="14115" width="18.42578125" style="50" bestFit="1" customWidth="1"/>
    <col min="14116" max="14116" width="5.7109375" style="50" customWidth="1"/>
    <col min="14117" max="14117" width="18.42578125" style="50" bestFit="1" customWidth="1"/>
    <col min="14118" max="14118" width="4.7109375" style="50" customWidth="1"/>
    <col min="14119" max="14119" width="23" style="50" bestFit="1" customWidth="1"/>
    <col min="14120" max="14120" width="10.85546875" style="50"/>
    <col min="14121" max="14121" width="18.42578125" style="50" bestFit="1" customWidth="1"/>
    <col min="14122" max="14122" width="16.140625" style="50" customWidth="1"/>
    <col min="14123" max="14336" width="10.85546875" style="50"/>
    <col min="14337" max="14337" width="42" style="50" customWidth="1"/>
    <col min="14338" max="14338" width="21.7109375" style="50" customWidth="1"/>
    <col min="14339" max="14350" width="20.7109375" style="50" customWidth="1"/>
    <col min="14351" max="14351" width="16.140625" style="50" customWidth="1"/>
    <col min="14352" max="14363" width="18.140625" style="50" customWidth="1"/>
    <col min="14364" max="14364" width="22.7109375" style="50" customWidth="1"/>
    <col min="14365" max="14365" width="19" style="50" customWidth="1"/>
    <col min="14366" max="14366" width="19.42578125" style="50" customWidth="1"/>
    <col min="14367" max="14367" width="6.28515625" style="50" bestFit="1" customWidth="1"/>
    <col min="14368" max="14368" width="22.85546875" style="50" customWidth="1"/>
    <col min="14369" max="14369" width="18.42578125" style="50" bestFit="1" customWidth="1"/>
    <col min="14370" max="14370" width="8.42578125" style="50" customWidth="1"/>
    <col min="14371" max="14371" width="18.42578125" style="50" bestFit="1" customWidth="1"/>
    <col min="14372" max="14372" width="5.7109375" style="50" customWidth="1"/>
    <col min="14373" max="14373" width="18.42578125" style="50" bestFit="1" customWidth="1"/>
    <col min="14374" max="14374" width="4.7109375" style="50" customWidth="1"/>
    <col min="14375" max="14375" width="23" style="50" bestFit="1" customWidth="1"/>
    <col min="14376" max="14376" width="10.85546875" style="50"/>
    <col min="14377" max="14377" width="18.42578125" style="50" bestFit="1" customWidth="1"/>
    <col min="14378" max="14378" width="16.140625" style="50" customWidth="1"/>
    <col min="14379" max="14592" width="10.85546875" style="50"/>
    <col min="14593" max="14593" width="42" style="50" customWidth="1"/>
    <col min="14594" max="14594" width="21.7109375" style="50" customWidth="1"/>
    <col min="14595" max="14606" width="20.7109375" style="50" customWidth="1"/>
    <col min="14607" max="14607" width="16.140625" style="50" customWidth="1"/>
    <col min="14608" max="14619" width="18.140625" style="50" customWidth="1"/>
    <col min="14620" max="14620" width="22.7109375" style="50" customWidth="1"/>
    <col min="14621" max="14621" width="19" style="50" customWidth="1"/>
    <col min="14622" max="14622" width="19.42578125" style="50" customWidth="1"/>
    <col min="14623" max="14623" width="6.28515625" style="50" bestFit="1" customWidth="1"/>
    <col min="14624" max="14624" width="22.85546875" style="50" customWidth="1"/>
    <col min="14625" max="14625" width="18.42578125" style="50" bestFit="1" customWidth="1"/>
    <col min="14626" max="14626" width="8.42578125" style="50" customWidth="1"/>
    <col min="14627" max="14627" width="18.42578125" style="50" bestFit="1" customWidth="1"/>
    <col min="14628" max="14628" width="5.7109375" style="50" customWidth="1"/>
    <col min="14629" max="14629" width="18.42578125" style="50" bestFit="1" customWidth="1"/>
    <col min="14630" max="14630" width="4.7109375" style="50" customWidth="1"/>
    <col min="14631" max="14631" width="23" style="50" bestFit="1" customWidth="1"/>
    <col min="14632" max="14632" width="10.85546875" style="50"/>
    <col min="14633" max="14633" width="18.42578125" style="50" bestFit="1" customWidth="1"/>
    <col min="14634" max="14634" width="16.140625" style="50" customWidth="1"/>
    <col min="14635" max="14848" width="10.85546875" style="50"/>
    <col min="14849" max="14849" width="42" style="50" customWidth="1"/>
    <col min="14850" max="14850" width="21.7109375" style="50" customWidth="1"/>
    <col min="14851" max="14862" width="20.7109375" style="50" customWidth="1"/>
    <col min="14863" max="14863" width="16.140625" style="50" customWidth="1"/>
    <col min="14864" max="14875" width="18.140625" style="50" customWidth="1"/>
    <col min="14876" max="14876" width="22.7109375" style="50" customWidth="1"/>
    <col min="14877" max="14877" width="19" style="50" customWidth="1"/>
    <col min="14878" max="14878" width="19.42578125" style="50" customWidth="1"/>
    <col min="14879" max="14879" width="6.28515625" style="50" bestFit="1" customWidth="1"/>
    <col min="14880" max="14880" width="22.85546875" style="50" customWidth="1"/>
    <col min="14881" max="14881" width="18.42578125" style="50" bestFit="1" customWidth="1"/>
    <col min="14882" max="14882" width="8.42578125" style="50" customWidth="1"/>
    <col min="14883" max="14883" width="18.42578125" style="50" bestFit="1" customWidth="1"/>
    <col min="14884" max="14884" width="5.7109375" style="50" customWidth="1"/>
    <col min="14885" max="14885" width="18.42578125" style="50" bestFit="1" customWidth="1"/>
    <col min="14886" max="14886" width="4.7109375" style="50" customWidth="1"/>
    <col min="14887" max="14887" width="23" style="50" bestFit="1" customWidth="1"/>
    <col min="14888" max="14888" width="10.85546875" style="50"/>
    <col min="14889" max="14889" width="18.42578125" style="50" bestFit="1" customWidth="1"/>
    <col min="14890" max="14890" width="16.140625" style="50" customWidth="1"/>
    <col min="14891" max="15104" width="10.85546875" style="50"/>
    <col min="15105" max="15105" width="42" style="50" customWidth="1"/>
    <col min="15106" max="15106" width="21.7109375" style="50" customWidth="1"/>
    <col min="15107" max="15118" width="20.7109375" style="50" customWidth="1"/>
    <col min="15119" max="15119" width="16.140625" style="50" customWidth="1"/>
    <col min="15120" max="15131" width="18.140625" style="50" customWidth="1"/>
    <col min="15132" max="15132" width="22.7109375" style="50" customWidth="1"/>
    <col min="15133" max="15133" width="19" style="50" customWidth="1"/>
    <col min="15134" max="15134" width="19.42578125" style="50" customWidth="1"/>
    <col min="15135" max="15135" width="6.28515625" style="50" bestFit="1" customWidth="1"/>
    <col min="15136" max="15136" width="22.85546875" style="50" customWidth="1"/>
    <col min="15137" max="15137" width="18.42578125" style="50" bestFit="1" customWidth="1"/>
    <col min="15138" max="15138" width="8.42578125" style="50" customWidth="1"/>
    <col min="15139" max="15139" width="18.42578125" style="50" bestFit="1" customWidth="1"/>
    <col min="15140" max="15140" width="5.7109375" style="50" customWidth="1"/>
    <col min="15141" max="15141" width="18.42578125" style="50" bestFit="1" customWidth="1"/>
    <col min="15142" max="15142" width="4.7109375" style="50" customWidth="1"/>
    <col min="15143" max="15143" width="23" style="50" bestFit="1" customWidth="1"/>
    <col min="15144" max="15144" width="10.85546875" style="50"/>
    <col min="15145" max="15145" width="18.42578125" style="50" bestFit="1" customWidth="1"/>
    <col min="15146" max="15146" width="16.140625" style="50" customWidth="1"/>
    <col min="15147" max="15360" width="10.85546875" style="50"/>
    <col min="15361" max="15361" width="42" style="50" customWidth="1"/>
    <col min="15362" max="15362" width="21.7109375" style="50" customWidth="1"/>
    <col min="15363" max="15374" width="20.7109375" style="50" customWidth="1"/>
    <col min="15375" max="15375" width="16.140625" style="50" customWidth="1"/>
    <col min="15376" max="15387" width="18.140625" style="50" customWidth="1"/>
    <col min="15388" max="15388" width="22.7109375" style="50" customWidth="1"/>
    <col min="15389" max="15389" width="19" style="50" customWidth="1"/>
    <col min="15390" max="15390" width="19.42578125" style="50" customWidth="1"/>
    <col min="15391" max="15391" width="6.28515625" style="50" bestFit="1" customWidth="1"/>
    <col min="15392" max="15392" width="22.85546875" style="50" customWidth="1"/>
    <col min="15393" max="15393" width="18.42578125" style="50" bestFit="1" customWidth="1"/>
    <col min="15394" max="15394" width="8.42578125" style="50" customWidth="1"/>
    <col min="15395" max="15395" width="18.42578125" style="50" bestFit="1" customWidth="1"/>
    <col min="15396" max="15396" width="5.7109375" style="50" customWidth="1"/>
    <col min="15397" max="15397" width="18.42578125" style="50" bestFit="1" customWidth="1"/>
    <col min="15398" max="15398" width="4.7109375" style="50" customWidth="1"/>
    <col min="15399" max="15399" width="23" style="50" bestFit="1" customWidth="1"/>
    <col min="15400" max="15400" width="10.85546875" style="50"/>
    <col min="15401" max="15401" width="18.42578125" style="50" bestFit="1" customWidth="1"/>
    <col min="15402" max="15402" width="16.140625" style="50" customWidth="1"/>
    <col min="15403" max="15616" width="10.85546875" style="50"/>
    <col min="15617" max="15617" width="42" style="50" customWidth="1"/>
    <col min="15618" max="15618" width="21.7109375" style="50" customWidth="1"/>
    <col min="15619" max="15630" width="20.7109375" style="50" customWidth="1"/>
    <col min="15631" max="15631" width="16.140625" style="50" customWidth="1"/>
    <col min="15632" max="15643" width="18.140625" style="50" customWidth="1"/>
    <col min="15644" max="15644" width="22.7109375" style="50" customWidth="1"/>
    <col min="15645" max="15645" width="19" style="50" customWidth="1"/>
    <col min="15646" max="15646" width="19.42578125" style="50" customWidth="1"/>
    <col min="15647" max="15647" width="6.28515625" style="50" bestFit="1" customWidth="1"/>
    <col min="15648" max="15648" width="22.85546875" style="50" customWidth="1"/>
    <col min="15649" max="15649" width="18.42578125" style="50" bestFit="1" customWidth="1"/>
    <col min="15650" max="15650" width="8.42578125" style="50" customWidth="1"/>
    <col min="15651" max="15651" width="18.42578125" style="50" bestFit="1" customWidth="1"/>
    <col min="15652" max="15652" width="5.7109375" style="50" customWidth="1"/>
    <col min="15653" max="15653" width="18.42578125" style="50" bestFit="1" customWidth="1"/>
    <col min="15654" max="15654" width="4.7109375" style="50" customWidth="1"/>
    <col min="15655" max="15655" width="23" style="50" bestFit="1" customWidth="1"/>
    <col min="15656" max="15656" width="10.85546875" style="50"/>
    <col min="15657" max="15657" width="18.42578125" style="50" bestFit="1" customWidth="1"/>
    <col min="15658" max="15658" width="16.140625" style="50" customWidth="1"/>
    <col min="15659" max="15872" width="10.85546875" style="50"/>
    <col min="15873" max="15873" width="42" style="50" customWidth="1"/>
    <col min="15874" max="15874" width="21.7109375" style="50" customWidth="1"/>
    <col min="15875" max="15886" width="20.7109375" style="50" customWidth="1"/>
    <col min="15887" max="15887" width="16.140625" style="50" customWidth="1"/>
    <col min="15888" max="15899" width="18.140625" style="50" customWidth="1"/>
    <col min="15900" max="15900" width="22.7109375" style="50" customWidth="1"/>
    <col min="15901" max="15901" width="19" style="50" customWidth="1"/>
    <col min="15902" max="15902" width="19.42578125" style="50" customWidth="1"/>
    <col min="15903" max="15903" width="6.28515625" style="50" bestFit="1" customWidth="1"/>
    <col min="15904" max="15904" width="22.85546875" style="50" customWidth="1"/>
    <col min="15905" max="15905" width="18.42578125" style="50" bestFit="1" customWidth="1"/>
    <col min="15906" max="15906" width="8.42578125" style="50" customWidth="1"/>
    <col min="15907" max="15907" width="18.42578125" style="50" bestFit="1" customWidth="1"/>
    <col min="15908" max="15908" width="5.7109375" style="50" customWidth="1"/>
    <col min="15909" max="15909" width="18.42578125" style="50" bestFit="1" customWidth="1"/>
    <col min="15910" max="15910" width="4.7109375" style="50" customWidth="1"/>
    <col min="15911" max="15911" width="23" style="50" bestFit="1" customWidth="1"/>
    <col min="15912" max="15912" width="10.85546875" style="50"/>
    <col min="15913" max="15913" width="18.42578125" style="50" bestFit="1" customWidth="1"/>
    <col min="15914" max="15914" width="16.140625" style="50" customWidth="1"/>
    <col min="15915" max="16128" width="10.85546875" style="50"/>
    <col min="16129" max="16129" width="42" style="50" customWidth="1"/>
    <col min="16130" max="16130" width="21.7109375" style="50" customWidth="1"/>
    <col min="16131" max="16142" width="20.7109375" style="50" customWidth="1"/>
    <col min="16143" max="16143" width="16.140625" style="50" customWidth="1"/>
    <col min="16144" max="16155" width="18.140625" style="50" customWidth="1"/>
    <col min="16156" max="16156" width="22.7109375" style="50" customWidth="1"/>
    <col min="16157" max="16157" width="19" style="50" customWidth="1"/>
    <col min="16158" max="16158" width="19.42578125" style="50" customWidth="1"/>
    <col min="16159" max="16159" width="6.28515625" style="50" bestFit="1" customWidth="1"/>
    <col min="16160" max="16160" width="22.85546875" style="50" customWidth="1"/>
    <col min="16161" max="16161" width="18.42578125" style="50" bestFit="1" customWidth="1"/>
    <col min="16162" max="16162" width="8.42578125" style="50" customWidth="1"/>
    <col min="16163" max="16163" width="18.42578125" style="50" bestFit="1" customWidth="1"/>
    <col min="16164" max="16164" width="5.7109375" style="50" customWidth="1"/>
    <col min="16165" max="16165" width="18.42578125" style="50" bestFit="1" customWidth="1"/>
    <col min="16166" max="16166" width="4.7109375" style="50" customWidth="1"/>
    <col min="16167" max="16167" width="23" style="50" bestFit="1" customWidth="1"/>
    <col min="16168" max="16168" width="10.85546875" style="50"/>
    <col min="16169" max="16169" width="18.42578125" style="50" bestFit="1" customWidth="1"/>
    <col min="16170" max="16170" width="16.140625" style="50" customWidth="1"/>
    <col min="16171" max="16384" width="10.85546875" style="50"/>
  </cols>
  <sheetData>
    <row r="1" spans="1:30" ht="32.25" customHeight="1">
      <c r="A1" s="637"/>
      <c r="B1" s="640" t="s">
        <v>0</v>
      </c>
      <c r="C1" s="641"/>
      <c r="D1" s="641"/>
      <c r="E1" s="641"/>
      <c r="F1" s="641"/>
      <c r="G1" s="641"/>
      <c r="H1" s="641"/>
      <c r="I1" s="641"/>
      <c r="J1" s="641"/>
      <c r="K1" s="641"/>
      <c r="L1" s="641"/>
      <c r="M1" s="641"/>
      <c r="N1" s="641"/>
      <c r="O1" s="641"/>
      <c r="P1" s="641"/>
      <c r="Q1" s="641"/>
      <c r="R1" s="641"/>
      <c r="S1" s="641"/>
      <c r="T1" s="641"/>
      <c r="U1" s="641"/>
      <c r="V1" s="641"/>
      <c r="W1" s="641"/>
      <c r="X1" s="641"/>
      <c r="Y1" s="641"/>
      <c r="Z1" s="641"/>
      <c r="AA1" s="642"/>
      <c r="AB1" s="643" t="s">
        <v>1</v>
      </c>
      <c r="AC1" s="644"/>
      <c r="AD1" s="645"/>
    </row>
    <row r="2" spans="1:30" ht="30.75" customHeight="1">
      <c r="A2" s="638"/>
      <c r="B2" s="646" t="s">
        <v>2</v>
      </c>
      <c r="C2" s="647"/>
      <c r="D2" s="647"/>
      <c r="E2" s="647"/>
      <c r="F2" s="647"/>
      <c r="G2" s="647"/>
      <c r="H2" s="647"/>
      <c r="I2" s="647"/>
      <c r="J2" s="647"/>
      <c r="K2" s="647"/>
      <c r="L2" s="647"/>
      <c r="M2" s="647"/>
      <c r="N2" s="647"/>
      <c r="O2" s="647"/>
      <c r="P2" s="647"/>
      <c r="Q2" s="647"/>
      <c r="R2" s="647"/>
      <c r="S2" s="647"/>
      <c r="T2" s="647"/>
      <c r="U2" s="647"/>
      <c r="V2" s="647"/>
      <c r="W2" s="647"/>
      <c r="X2" s="647"/>
      <c r="Y2" s="647"/>
      <c r="Z2" s="647"/>
      <c r="AA2" s="648"/>
      <c r="AB2" s="649" t="s">
        <v>3</v>
      </c>
      <c r="AC2" s="650"/>
      <c r="AD2" s="651"/>
    </row>
    <row r="3" spans="1:30" ht="24" customHeight="1">
      <c r="A3" s="638"/>
      <c r="B3" s="652" t="s">
        <v>4</v>
      </c>
      <c r="C3" s="653"/>
      <c r="D3" s="653"/>
      <c r="E3" s="653"/>
      <c r="F3" s="653"/>
      <c r="G3" s="653"/>
      <c r="H3" s="653"/>
      <c r="I3" s="653"/>
      <c r="J3" s="653"/>
      <c r="K3" s="653"/>
      <c r="L3" s="653"/>
      <c r="M3" s="653"/>
      <c r="N3" s="653"/>
      <c r="O3" s="653"/>
      <c r="P3" s="653"/>
      <c r="Q3" s="653"/>
      <c r="R3" s="653"/>
      <c r="S3" s="653"/>
      <c r="T3" s="653"/>
      <c r="U3" s="653"/>
      <c r="V3" s="653"/>
      <c r="W3" s="653"/>
      <c r="X3" s="653"/>
      <c r="Y3" s="653"/>
      <c r="Z3" s="653"/>
      <c r="AA3" s="654"/>
      <c r="AB3" s="649" t="s">
        <v>5</v>
      </c>
      <c r="AC3" s="650"/>
      <c r="AD3" s="651"/>
    </row>
    <row r="4" spans="1:30" ht="21.95" customHeight="1" thickBot="1">
      <c r="A4" s="639"/>
      <c r="B4" s="655"/>
      <c r="C4" s="656"/>
      <c r="D4" s="656"/>
      <c r="E4" s="656"/>
      <c r="F4" s="656"/>
      <c r="G4" s="656"/>
      <c r="H4" s="656"/>
      <c r="I4" s="656"/>
      <c r="J4" s="656"/>
      <c r="K4" s="656"/>
      <c r="L4" s="656"/>
      <c r="M4" s="656"/>
      <c r="N4" s="656"/>
      <c r="O4" s="656"/>
      <c r="P4" s="656"/>
      <c r="Q4" s="656"/>
      <c r="R4" s="656"/>
      <c r="S4" s="656"/>
      <c r="T4" s="656"/>
      <c r="U4" s="656"/>
      <c r="V4" s="656"/>
      <c r="W4" s="656"/>
      <c r="X4" s="656"/>
      <c r="Y4" s="656"/>
      <c r="Z4" s="656"/>
      <c r="AA4" s="657"/>
      <c r="AB4" s="658" t="s">
        <v>6</v>
      </c>
      <c r="AC4" s="659"/>
      <c r="AD4" s="660"/>
    </row>
    <row r="5" spans="1:30" ht="9" customHeight="1" thickBot="1">
      <c r="A5" s="51"/>
      <c r="B5" s="52"/>
      <c r="C5" s="53"/>
      <c r="D5" s="437"/>
      <c r="E5" s="437"/>
      <c r="F5" s="437"/>
      <c r="G5" s="437"/>
      <c r="H5" s="437"/>
      <c r="I5" s="437"/>
      <c r="J5" s="437"/>
      <c r="K5" s="437"/>
      <c r="L5" s="437"/>
      <c r="M5" s="437"/>
      <c r="N5" s="437"/>
      <c r="O5" s="437"/>
      <c r="P5" s="437"/>
      <c r="Q5" s="437"/>
      <c r="R5" s="437"/>
      <c r="S5" s="437"/>
      <c r="T5" s="437"/>
      <c r="U5" s="437"/>
      <c r="V5" s="437"/>
      <c r="W5" s="437"/>
      <c r="X5" s="437"/>
      <c r="Y5" s="437"/>
      <c r="Z5" s="438"/>
      <c r="AA5" s="437"/>
      <c r="AB5" s="56"/>
      <c r="AC5" s="57"/>
      <c r="AD5" s="58"/>
    </row>
    <row r="6" spans="1:30" ht="9" customHeight="1" thickBot="1">
      <c r="A6" s="59"/>
      <c r="B6" s="437"/>
      <c r="C6" s="437"/>
      <c r="D6" s="437"/>
      <c r="E6" s="437"/>
      <c r="F6" s="437"/>
      <c r="G6" s="437"/>
      <c r="H6" s="437"/>
      <c r="I6" s="437"/>
      <c r="J6" s="437"/>
      <c r="K6" s="437"/>
      <c r="L6" s="437"/>
      <c r="M6" s="437"/>
      <c r="N6" s="437"/>
      <c r="O6" s="437"/>
      <c r="P6" s="437"/>
      <c r="Q6" s="437"/>
      <c r="R6" s="437"/>
      <c r="S6" s="437"/>
      <c r="T6" s="437"/>
      <c r="U6" s="437"/>
      <c r="V6" s="437"/>
      <c r="W6" s="437"/>
      <c r="X6" s="437"/>
      <c r="Y6" s="437"/>
      <c r="Z6" s="438"/>
      <c r="AA6" s="437"/>
      <c r="AB6" s="437"/>
      <c r="AC6" s="439"/>
      <c r="AD6" s="61"/>
    </row>
    <row r="7" spans="1:30">
      <c r="A7" s="661" t="s">
        <v>7</v>
      </c>
      <c r="B7" s="662"/>
      <c r="C7" s="670" t="s">
        <v>30</v>
      </c>
      <c r="D7" s="661" t="s">
        <v>8</v>
      </c>
      <c r="E7" s="673"/>
      <c r="F7" s="673"/>
      <c r="G7" s="673"/>
      <c r="H7" s="662"/>
      <c r="I7" s="676">
        <v>44624</v>
      </c>
      <c r="J7" s="677"/>
      <c r="K7" s="661" t="s">
        <v>9</v>
      </c>
      <c r="L7" s="662"/>
      <c r="M7" s="682" t="s">
        <v>10</v>
      </c>
      <c r="N7" s="683"/>
      <c r="O7" s="687"/>
      <c r="P7" s="688"/>
      <c r="Q7" s="437"/>
      <c r="R7" s="437"/>
      <c r="S7" s="437"/>
      <c r="T7" s="437"/>
      <c r="U7" s="437"/>
      <c r="V7" s="437"/>
      <c r="W7" s="437"/>
      <c r="X7" s="437"/>
      <c r="Y7" s="437"/>
      <c r="Z7" s="438"/>
      <c r="AA7" s="437"/>
      <c r="AB7" s="437"/>
      <c r="AC7" s="439"/>
      <c r="AD7" s="61"/>
    </row>
    <row r="8" spans="1:30">
      <c r="A8" s="663"/>
      <c r="B8" s="664"/>
      <c r="C8" s="671"/>
      <c r="D8" s="663"/>
      <c r="E8" s="674"/>
      <c r="F8" s="674"/>
      <c r="G8" s="674"/>
      <c r="H8" s="664"/>
      <c r="I8" s="678"/>
      <c r="J8" s="679"/>
      <c r="K8" s="663"/>
      <c r="L8" s="664"/>
      <c r="M8" s="689" t="s">
        <v>12</v>
      </c>
      <c r="N8" s="690"/>
      <c r="O8" s="691"/>
      <c r="P8" s="692"/>
      <c r="Q8" s="437"/>
      <c r="R8" s="437"/>
      <c r="S8" s="437"/>
      <c r="T8" s="437"/>
      <c r="U8" s="437"/>
      <c r="V8" s="437"/>
      <c r="W8" s="437"/>
      <c r="X8" s="437"/>
      <c r="Y8" s="437"/>
      <c r="Z8" s="438"/>
      <c r="AA8" s="437"/>
      <c r="AB8" s="437"/>
      <c r="AC8" s="439"/>
      <c r="AD8" s="61"/>
    </row>
    <row r="9" spans="1:30" ht="15.75" thickBot="1">
      <c r="A9" s="665"/>
      <c r="B9" s="666"/>
      <c r="C9" s="672"/>
      <c r="D9" s="665"/>
      <c r="E9" s="675"/>
      <c r="F9" s="675"/>
      <c r="G9" s="675"/>
      <c r="H9" s="666"/>
      <c r="I9" s="680"/>
      <c r="J9" s="681"/>
      <c r="K9" s="665"/>
      <c r="L9" s="666"/>
      <c r="M9" s="693" t="s">
        <v>13</v>
      </c>
      <c r="N9" s="694"/>
      <c r="O9" s="695" t="s">
        <v>11</v>
      </c>
      <c r="P9" s="696"/>
      <c r="Q9" s="437"/>
      <c r="R9" s="437"/>
      <c r="S9" s="437"/>
      <c r="T9" s="437"/>
      <c r="U9" s="437"/>
      <c r="V9" s="437"/>
      <c r="W9" s="437"/>
      <c r="X9" s="437"/>
      <c r="Y9" s="437"/>
      <c r="Z9" s="438"/>
      <c r="AA9" s="437"/>
      <c r="AB9" s="437"/>
      <c r="AC9" s="439"/>
      <c r="AD9" s="61"/>
    </row>
    <row r="10" spans="1:30" ht="15" customHeight="1" thickBot="1">
      <c r="A10" s="161"/>
      <c r="B10" s="440"/>
      <c r="C10" s="440"/>
      <c r="D10" s="566"/>
      <c r="E10" s="566"/>
      <c r="F10" s="566"/>
      <c r="G10" s="566"/>
      <c r="H10" s="566"/>
      <c r="I10" s="442"/>
      <c r="J10" s="442"/>
      <c r="K10" s="566"/>
      <c r="L10" s="566"/>
      <c r="M10" s="443"/>
      <c r="N10" s="443"/>
      <c r="O10" s="444"/>
      <c r="P10" s="444"/>
      <c r="Q10" s="440"/>
      <c r="R10" s="440"/>
      <c r="S10" s="440"/>
      <c r="T10" s="440"/>
      <c r="U10" s="440"/>
      <c r="V10" s="440"/>
      <c r="W10" s="440"/>
      <c r="X10" s="440"/>
      <c r="Y10" s="440"/>
      <c r="Z10" s="445"/>
      <c r="AA10" s="440"/>
      <c r="AB10" s="440"/>
      <c r="AC10" s="446"/>
      <c r="AD10" s="162"/>
    </row>
    <row r="11" spans="1:30" ht="15" customHeight="1">
      <c r="A11" s="661" t="s">
        <v>14</v>
      </c>
      <c r="B11" s="662"/>
      <c r="C11" s="667" t="s">
        <v>15</v>
      </c>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9"/>
    </row>
    <row r="12" spans="1:30" ht="15" customHeight="1">
      <c r="A12" s="663"/>
      <c r="B12" s="664"/>
      <c r="C12" s="652"/>
      <c r="D12" s="653"/>
      <c r="E12" s="653"/>
      <c r="F12" s="653"/>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4"/>
    </row>
    <row r="13" spans="1:30" ht="15" customHeight="1" thickBot="1">
      <c r="A13" s="665"/>
      <c r="B13" s="666"/>
      <c r="C13" s="655"/>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7"/>
    </row>
    <row r="14" spans="1:30" ht="9" customHeight="1" thickBot="1">
      <c r="A14" s="67"/>
      <c r="B14" s="68"/>
      <c r="C14" s="447"/>
      <c r="D14" s="447"/>
      <c r="E14" s="447"/>
      <c r="F14" s="447"/>
      <c r="G14" s="447"/>
      <c r="H14" s="447"/>
      <c r="I14" s="447"/>
      <c r="J14" s="447"/>
      <c r="K14" s="447"/>
      <c r="L14" s="447"/>
      <c r="M14" s="448"/>
      <c r="N14" s="448"/>
      <c r="O14" s="448"/>
      <c r="P14" s="448"/>
      <c r="Q14" s="448"/>
      <c r="R14" s="449"/>
      <c r="S14" s="449"/>
      <c r="T14" s="449"/>
      <c r="U14" s="449"/>
      <c r="V14" s="449"/>
      <c r="W14" s="449"/>
      <c r="X14" s="449"/>
      <c r="Y14" s="566"/>
      <c r="Z14" s="566"/>
      <c r="AA14" s="566"/>
      <c r="AB14" s="566"/>
      <c r="AC14" s="566"/>
      <c r="AD14" s="567"/>
    </row>
    <row r="15" spans="1:30" ht="39" customHeight="1" thickBot="1">
      <c r="A15" s="697" t="s">
        <v>16</v>
      </c>
      <c r="B15" s="698"/>
      <c r="C15" s="684" t="s">
        <v>17</v>
      </c>
      <c r="D15" s="685"/>
      <c r="E15" s="685"/>
      <c r="F15" s="685"/>
      <c r="G15" s="685"/>
      <c r="H15" s="685"/>
      <c r="I15" s="685"/>
      <c r="J15" s="685"/>
      <c r="K15" s="686"/>
      <c r="L15" s="699" t="s">
        <v>18</v>
      </c>
      <c r="M15" s="700"/>
      <c r="N15" s="700"/>
      <c r="O15" s="700"/>
      <c r="P15" s="700"/>
      <c r="Q15" s="701"/>
      <c r="R15" s="702" t="s">
        <v>19</v>
      </c>
      <c r="S15" s="703"/>
      <c r="T15" s="703"/>
      <c r="U15" s="703"/>
      <c r="V15" s="703"/>
      <c r="W15" s="703"/>
      <c r="X15" s="704"/>
      <c r="Y15" s="699" t="s">
        <v>20</v>
      </c>
      <c r="Z15" s="701"/>
      <c r="AA15" s="684" t="s">
        <v>21</v>
      </c>
      <c r="AB15" s="685"/>
      <c r="AC15" s="685"/>
      <c r="AD15" s="686"/>
    </row>
    <row r="16" spans="1:30" ht="9" customHeight="1" thickBot="1">
      <c r="A16" s="59"/>
      <c r="B16" s="437"/>
      <c r="C16" s="707"/>
      <c r="D16" s="707"/>
      <c r="E16" s="707"/>
      <c r="F16" s="707"/>
      <c r="G16" s="707"/>
      <c r="H16" s="707"/>
      <c r="I16" s="707"/>
      <c r="J16" s="707"/>
      <c r="K16" s="707"/>
      <c r="L16" s="707"/>
      <c r="M16" s="707"/>
      <c r="N16" s="707"/>
      <c r="O16" s="707"/>
      <c r="P16" s="707"/>
      <c r="Q16" s="707"/>
      <c r="R16" s="707"/>
      <c r="S16" s="707"/>
      <c r="T16" s="707"/>
      <c r="U16" s="707"/>
      <c r="V16" s="707"/>
      <c r="W16" s="707"/>
      <c r="X16" s="707"/>
      <c r="Y16" s="707"/>
      <c r="Z16" s="707"/>
      <c r="AA16" s="707"/>
      <c r="AB16" s="707"/>
      <c r="AC16" s="73"/>
      <c r="AD16" s="74"/>
    </row>
    <row r="17" spans="1:41" s="76" customFormat="1" ht="37.5" customHeight="1" thickBot="1">
      <c r="A17" s="697" t="s">
        <v>22</v>
      </c>
      <c r="B17" s="698"/>
      <c r="C17" s="708" t="s">
        <v>23</v>
      </c>
      <c r="D17" s="709"/>
      <c r="E17" s="709"/>
      <c r="F17" s="709"/>
      <c r="G17" s="709"/>
      <c r="H17" s="709"/>
      <c r="I17" s="709"/>
      <c r="J17" s="709"/>
      <c r="K17" s="709"/>
      <c r="L17" s="709"/>
      <c r="M17" s="709"/>
      <c r="N17" s="709"/>
      <c r="O17" s="709"/>
      <c r="P17" s="709"/>
      <c r="Q17" s="710"/>
      <c r="R17" s="699" t="s">
        <v>24</v>
      </c>
      <c r="S17" s="700"/>
      <c r="T17" s="700"/>
      <c r="U17" s="700"/>
      <c r="V17" s="701"/>
      <c r="W17" s="711">
        <v>7000</v>
      </c>
      <c r="X17" s="712"/>
      <c r="Y17" s="700" t="s">
        <v>25</v>
      </c>
      <c r="Z17" s="700"/>
      <c r="AA17" s="700"/>
      <c r="AB17" s="701"/>
      <c r="AC17" s="713">
        <v>0.3</v>
      </c>
      <c r="AD17" s="714"/>
      <c r="AF17" s="503"/>
      <c r="AG17" s="503"/>
      <c r="AH17" s="503"/>
      <c r="AI17" s="503"/>
      <c r="AJ17" s="503"/>
      <c r="AK17" s="503"/>
      <c r="AL17" s="503"/>
      <c r="AM17" s="503"/>
    </row>
    <row r="18" spans="1:41" ht="16.5" hidden="1" customHeight="1" thickBot="1">
      <c r="A18" s="77"/>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79"/>
    </row>
    <row r="19" spans="1:41" ht="32.1" hidden="1" customHeight="1" thickBot="1">
      <c r="A19" s="699" t="s">
        <v>26</v>
      </c>
      <c r="B19" s="700"/>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1"/>
      <c r="AE19" s="83"/>
      <c r="AF19" s="504"/>
    </row>
    <row r="20" spans="1:41" ht="32.1" customHeight="1" thickBot="1">
      <c r="A20" s="82"/>
      <c r="B20" s="439"/>
      <c r="C20" s="715" t="s">
        <v>27</v>
      </c>
      <c r="D20" s="716"/>
      <c r="E20" s="716"/>
      <c r="F20" s="716"/>
      <c r="G20" s="716"/>
      <c r="H20" s="716"/>
      <c r="I20" s="716"/>
      <c r="J20" s="716"/>
      <c r="K20" s="716"/>
      <c r="L20" s="716"/>
      <c r="M20" s="716"/>
      <c r="N20" s="716"/>
      <c r="O20" s="716"/>
      <c r="P20" s="717"/>
      <c r="Q20" s="715" t="s">
        <v>28</v>
      </c>
      <c r="R20" s="716"/>
      <c r="S20" s="716"/>
      <c r="T20" s="716"/>
      <c r="U20" s="716"/>
      <c r="V20" s="716"/>
      <c r="W20" s="716"/>
      <c r="X20" s="716"/>
      <c r="Y20" s="716"/>
      <c r="Z20" s="716"/>
      <c r="AA20" s="716"/>
      <c r="AB20" s="716"/>
      <c r="AC20" s="716"/>
      <c r="AD20" s="717"/>
      <c r="AE20" s="83"/>
      <c r="AF20" s="504"/>
    </row>
    <row r="21" spans="1:41" ht="32.1" customHeight="1" thickBot="1">
      <c r="A21" s="389"/>
      <c r="B21" s="56"/>
      <c r="C21" s="569" t="s">
        <v>29</v>
      </c>
      <c r="D21" s="570" t="s">
        <v>30</v>
      </c>
      <c r="E21" s="570" t="s">
        <v>31</v>
      </c>
      <c r="F21" s="570" t="s">
        <v>32</v>
      </c>
      <c r="G21" s="570" t="s">
        <v>33</v>
      </c>
      <c r="H21" s="570" t="s">
        <v>34</v>
      </c>
      <c r="I21" s="570" t="s">
        <v>35</v>
      </c>
      <c r="J21" s="570" t="s">
        <v>36</v>
      </c>
      <c r="K21" s="570" t="s">
        <v>37</v>
      </c>
      <c r="L21" s="570" t="s">
        <v>38</v>
      </c>
      <c r="M21" s="570" t="s">
        <v>39</v>
      </c>
      <c r="N21" s="570" t="s">
        <v>40</v>
      </c>
      <c r="O21" s="570" t="s">
        <v>41</v>
      </c>
      <c r="P21" s="571" t="s">
        <v>42</v>
      </c>
      <c r="Q21" s="569" t="s">
        <v>29</v>
      </c>
      <c r="R21" s="570" t="s">
        <v>30</v>
      </c>
      <c r="S21" s="570" t="s">
        <v>31</v>
      </c>
      <c r="T21" s="570" t="s">
        <v>32</v>
      </c>
      <c r="U21" s="570" t="s">
        <v>33</v>
      </c>
      <c r="V21" s="570" t="s">
        <v>34</v>
      </c>
      <c r="W21" s="570" t="s">
        <v>35</v>
      </c>
      <c r="X21" s="570" t="s">
        <v>36</v>
      </c>
      <c r="Y21" s="570" t="s">
        <v>37</v>
      </c>
      <c r="Z21" s="570" t="s">
        <v>38</v>
      </c>
      <c r="AA21" s="570" t="s">
        <v>39</v>
      </c>
      <c r="AB21" s="570" t="s">
        <v>40</v>
      </c>
      <c r="AC21" s="570" t="s">
        <v>41</v>
      </c>
      <c r="AD21" s="571" t="s">
        <v>42</v>
      </c>
      <c r="AE21" s="3"/>
      <c r="AF21" s="505"/>
    </row>
    <row r="22" spans="1:41" ht="32.1" customHeight="1">
      <c r="A22" s="718" t="s">
        <v>43</v>
      </c>
      <c r="B22" s="719"/>
      <c r="C22" s="527">
        <v>0</v>
      </c>
      <c r="D22" s="166">
        <v>0</v>
      </c>
      <c r="E22" s="166">
        <v>0</v>
      </c>
      <c r="F22" s="166">
        <v>0</v>
      </c>
      <c r="G22" s="166">
        <v>0</v>
      </c>
      <c r="H22" s="166">
        <v>0</v>
      </c>
      <c r="I22" s="166">
        <v>0</v>
      </c>
      <c r="J22" s="166">
        <v>0</v>
      </c>
      <c r="K22" s="166">
        <v>0</v>
      </c>
      <c r="L22" s="166">
        <v>0</v>
      </c>
      <c r="M22" s="166">
        <v>0</v>
      </c>
      <c r="N22" s="166">
        <v>0</v>
      </c>
      <c r="O22" s="166">
        <f>SUM(C22:N22)</f>
        <v>0</v>
      </c>
      <c r="P22" s="390"/>
      <c r="Q22" s="376">
        <v>1390832000</v>
      </c>
      <c r="R22" s="166">
        <v>0</v>
      </c>
      <c r="S22" s="377">
        <v>5539000</v>
      </c>
      <c r="T22" s="377">
        <f>(5500000*91%)+3360000+(150000000*33%)</f>
        <v>57865000</v>
      </c>
      <c r="U22" s="377">
        <f>(471340694*95%)+14783248</f>
        <v>462556907.29999995</v>
      </c>
      <c r="V22" s="377">
        <f>(58000000*86%)+(5117000*71%)+20000000+(71651306*81%)</f>
        <v>131550627.86000001</v>
      </c>
      <c r="W22" s="377">
        <f>157760500+92608376+92608376</f>
        <v>342977252</v>
      </c>
      <c r="X22" s="166">
        <v>0</v>
      </c>
      <c r="Y22" s="377">
        <v>10550000</v>
      </c>
      <c r="Z22" s="166">
        <v>0</v>
      </c>
      <c r="AA22" s="166">
        <v>0</v>
      </c>
      <c r="AB22" s="166">
        <v>0</v>
      </c>
      <c r="AC22" s="377">
        <f>SUM(Q22:AB22)</f>
        <v>2401870787.1599998</v>
      </c>
      <c r="AD22" s="170"/>
      <c r="AE22" s="3"/>
      <c r="AF22" s="505"/>
      <c r="AG22" s="1089"/>
    </row>
    <row r="23" spans="1:41" ht="32.1" customHeight="1">
      <c r="A23" s="705" t="s">
        <v>44</v>
      </c>
      <c r="B23" s="706"/>
      <c r="C23" s="528">
        <v>0</v>
      </c>
      <c r="D23" s="163">
        <v>0</v>
      </c>
      <c r="E23" s="163">
        <v>0</v>
      </c>
      <c r="F23" s="163">
        <v>0</v>
      </c>
      <c r="G23" s="163">
        <v>0</v>
      </c>
      <c r="H23" s="163">
        <v>0</v>
      </c>
      <c r="I23" s="163">
        <v>0</v>
      </c>
      <c r="J23" s="163">
        <v>0</v>
      </c>
      <c r="K23" s="163">
        <v>0</v>
      </c>
      <c r="L23" s="163">
        <v>0</v>
      </c>
      <c r="M23" s="163">
        <v>0</v>
      </c>
      <c r="N23" s="163">
        <v>0</v>
      </c>
      <c r="O23" s="166">
        <f>SUM(C23:N23)</f>
        <v>0</v>
      </c>
      <c r="P23" s="168" t="str">
        <f>IFERROR(O23/(SUMIF(C23:N23,"&gt;0",C22:N22))," ")</f>
        <v xml:space="preserve"> </v>
      </c>
      <c r="Q23" s="376">
        <v>1351177000</v>
      </c>
      <c r="R23" s="166">
        <v>0</v>
      </c>
      <c r="S23" s="166">
        <v>0</v>
      </c>
      <c r="T23" s="166">
        <v>0</v>
      </c>
      <c r="U23" s="166">
        <v>0</v>
      </c>
      <c r="V23" s="166">
        <v>0</v>
      </c>
      <c r="W23" s="166">
        <v>0</v>
      </c>
      <c r="X23" s="166">
        <v>0</v>
      </c>
      <c r="Y23" s="166">
        <v>0</v>
      </c>
      <c r="Z23" s="166">
        <v>0</v>
      </c>
      <c r="AA23" s="166">
        <v>0</v>
      </c>
      <c r="AB23" s="166">
        <v>0</v>
      </c>
      <c r="AC23" s="378">
        <f>SUM(Q23:AB23)</f>
        <v>1351177000</v>
      </c>
      <c r="AD23" s="168">
        <f>IFERROR(AC23/(SUMIF(Q23:AB23,"&gt;0",Q22:AB22))," ")</f>
        <v>0.97148828902412365</v>
      </c>
      <c r="AE23" s="3"/>
      <c r="AF23" s="505"/>
    </row>
    <row r="24" spans="1:41" ht="32.1" customHeight="1">
      <c r="A24" s="705" t="s">
        <v>45</v>
      </c>
      <c r="B24" s="706"/>
      <c r="C24" s="164">
        <v>0</v>
      </c>
      <c r="D24" s="220">
        <f>106321566-'[1]Meta 2'!D24-'[1]Meta 3'!D24</f>
        <v>101788233</v>
      </c>
      <c r="E24" s="220">
        <v>124895643</v>
      </c>
      <c r="F24" s="487">
        <f>277514964+10440572</f>
        <v>287955536</v>
      </c>
      <c r="G24" s="163">
        <v>0</v>
      </c>
      <c r="H24" s="163">
        <v>0</v>
      </c>
      <c r="I24" s="163">
        <v>0</v>
      </c>
      <c r="J24" s="163">
        <v>0</v>
      </c>
      <c r="K24" s="163">
        <v>0</v>
      </c>
      <c r="L24" s="163">
        <v>0</v>
      </c>
      <c r="M24" s="163">
        <v>0</v>
      </c>
      <c r="N24" s="163">
        <v>0</v>
      </c>
      <c r="O24" s="166">
        <f>SUM(C24:N24)</f>
        <v>514639412</v>
      </c>
      <c r="P24" s="391"/>
      <c r="Q24" s="376">
        <v>0</v>
      </c>
      <c r="R24" s="377">
        <v>93098268.096666679</v>
      </c>
      <c r="S24" s="377">
        <v>167652934.76333335</v>
      </c>
      <c r="T24" s="377">
        <v>167652934.76333335</v>
      </c>
      <c r="U24" s="378">
        <v>167652934.76333335</v>
      </c>
      <c r="V24" s="378">
        <v>168278559.76333335</v>
      </c>
      <c r="W24" s="378">
        <v>213550774.04904768</v>
      </c>
      <c r="X24" s="378">
        <v>202142440.71571437</v>
      </c>
      <c r="Y24" s="378">
        <v>218642440.71571437</v>
      </c>
      <c r="Z24" s="378">
        <v>216925688.71571437</v>
      </c>
      <c r="AA24" s="378">
        <v>311250816.71571434</v>
      </c>
      <c r="AB24" s="378">
        <f>300289816.715714+174733177.382381</f>
        <v>475022994.09809494</v>
      </c>
      <c r="AC24" s="378">
        <f>SUM(Q24:AB24)</f>
        <v>2401870787.1600003</v>
      </c>
      <c r="AD24" s="168"/>
      <c r="AE24" s="3"/>
      <c r="AF24" s="505"/>
    </row>
    <row r="25" spans="1:41" ht="32.1" customHeight="1" thickBot="1">
      <c r="A25" s="720" t="s">
        <v>46</v>
      </c>
      <c r="B25" s="721"/>
      <c r="C25" s="538">
        <v>26967057.460000001</v>
      </c>
      <c r="D25" s="531">
        <v>9406242.5399999991</v>
      </c>
      <c r="E25" s="165">
        <v>0</v>
      </c>
      <c r="F25" s="165">
        <v>0</v>
      </c>
      <c r="G25" s="165">
        <v>0</v>
      </c>
      <c r="H25" s="165">
        <v>0</v>
      </c>
      <c r="I25" s="165">
        <v>0</v>
      </c>
      <c r="J25" s="165">
        <v>0</v>
      </c>
      <c r="K25" s="165">
        <v>0</v>
      </c>
      <c r="L25" s="165">
        <v>0</v>
      </c>
      <c r="M25" s="165">
        <v>0</v>
      </c>
      <c r="N25" s="165">
        <v>0</v>
      </c>
      <c r="O25" s="388">
        <f>SUM(C25:N25)</f>
        <v>36373300</v>
      </c>
      <c r="P25" s="169">
        <f>IFERROR(O25/(SUMIF(C25:N25,"&gt;0",C24:N24))," ")</f>
        <v>0.3573428767547227</v>
      </c>
      <c r="Q25" s="499">
        <v>0</v>
      </c>
      <c r="R25" s="499">
        <v>30987234</v>
      </c>
      <c r="S25" s="388">
        <v>0</v>
      </c>
      <c r="T25" s="388">
        <v>0</v>
      </c>
      <c r="U25" s="388">
        <v>0</v>
      </c>
      <c r="V25" s="388">
        <v>0</v>
      </c>
      <c r="W25" s="388">
        <v>0</v>
      </c>
      <c r="X25" s="388">
        <v>0</v>
      </c>
      <c r="Y25" s="388">
        <v>0</v>
      </c>
      <c r="Z25" s="388">
        <v>0</v>
      </c>
      <c r="AA25" s="388">
        <v>0</v>
      </c>
      <c r="AB25" s="388">
        <v>0</v>
      </c>
      <c r="AC25" s="379">
        <f>SUM(Q25:AB25)</f>
        <v>30987234</v>
      </c>
      <c r="AD25" s="169">
        <f>IFERROR(AC25/(SUMIF(Q25:AB25,"&gt;0",Q24:AB24))," ")</f>
        <v>0.33284436578159587</v>
      </c>
      <c r="AE25" s="3"/>
      <c r="AF25" s="505"/>
    </row>
    <row r="26" spans="1:41" ht="32.1" customHeight="1" thickBot="1">
      <c r="A26" s="59"/>
      <c r="B26" s="437"/>
      <c r="C26" s="451"/>
      <c r="D26" s="539"/>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39"/>
      <c r="AD26" s="162"/>
      <c r="AH26" s="1089"/>
    </row>
    <row r="27" spans="1:41" ht="33.950000000000003" customHeight="1">
      <c r="A27" s="722" t="s">
        <v>47</v>
      </c>
      <c r="B27" s="723"/>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5"/>
    </row>
    <row r="28" spans="1:41" ht="15" customHeight="1">
      <c r="A28" s="726" t="s">
        <v>48</v>
      </c>
      <c r="B28" s="728" t="s">
        <v>49</v>
      </c>
      <c r="C28" s="729"/>
      <c r="D28" s="732" t="s">
        <v>50</v>
      </c>
      <c r="E28" s="733"/>
      <c r="F28" s="733"/>
      <c r="G28" s="733"/>
      <c r="H28" s="733"/>
      <c r="I28" s="733"/>
      <c r="J28" s="733"/>
      <c r="K28" s="733"/>
      <c r="L28" s="733"/>
      <c r="M28" s="733"/>
      <c r="N28" s="733"/>
      <c r="O28" s="734"/>
      <c r="P28" s="735" t="s">
        <v>41</v>
      </c>
      <c r="Q28" s="735" t="s">
        <v>51</v>
      </c>
      <c r="R28" s="735"/>
      <c r="S28" s="735"/>
      <c r="T28" s="735"/>
      <c r="U28" s="735"/>
      <c r="V28" s="735"/>
      <c r="W28" s="735"/>
      <c r="X28" s="735"/>
      <c r="Y28" s="735"/>
      <c r="Z28" s="735"/>
      <c r="AA28" s="735"/>
      <c r="AB28" s="735"/>
      <c r="AC28" s="735"/>
      <c r="AD28" s="706"/>
    </row>
    <row r="29" spans="1:41" ht="27" customHeight="1">
      <c r="A29" s="727"/>
      <c r="B29" s="730"/>
      <c r="C29" s="731"/>
      <c r="D29" s="565" t="s">
        <v>29</v>
      </c>
      <c r="E29" s="565" t="s">
        <v>30</v>
      </c>
      <c r="F29" s="565" t="s">
        <v>31</v>
      </c>
      <c r="G29" s="565" t="s">
        <v>32</v>
      </c>
      <c r="H29" s="565" t="s">
        <v>33</v>
      </c>
      <c r="I29" s="565" t="s">
        <v>34</v>
      </c>
      <c r="J29" s="565" t="s">
        <v>35</v>
      </c>
      <c r="K29" s="565" t="s">
        <v>36</v>
      </c>
      <c r="L29" s="565" t="s">
        <v>37</v>
      </c>
      <c r="M29" s="565" t="s">
        <v>38</v>
      </c>
      <c r="N29" s="565" t="s">
        <v>39</v>
      </c>
      <c r="O29" s="565" t="s">
        <v>40</v>
      </c>
      <c r="P29" s="734"/>
      <c r="Q29" s="735"/>
      <c r="R29" s="735"/>
      <c r="S29" s="735"/>
      <c r="T29" s="735"/>
      <c r="U29" s="735"/>
      <c r="V29" s="735"/>
      <c r="W29" s="735"/>
      <c r="X29" s="735"/>
      <c r="Y29" s="735"/>
      <c r="Z29" s="735"/>
      <c r="AA29" s="735"/>
      <c r="AB29" s="735"/>
      <c r="AC29" s="735"/>
      <c r="AD29" s="706"/>
    </row>
    <row r="30" spans="1:41" ht="72" customHeight="1" thickBot="1">
      <c r="A30" s="564" t="str">
        <f>C17</f>
        <v>Formar 26100 mujeres en sus derechos a través de procesos de desarrollo de capacidades en el uso TIC</v>
      </c>
      <c r="B30" s="736"/>
      <c r="C30" s="737"/>
      <c r="D30" s="180"/>
      <c r="E30" s="572"/>
      <c r="F30" s="572"/>
      <c r="G30" s="572"/>
      <c r="H30" s="572"/>
      <c r="I30" s="572"/>
      <c r="J30" s="572"/>
      <c r="K30" s="572"/>
      <c r="L30" s="572"/>
      <c r="M30" s="572"/>
      <c r="N30" s="572"/>
      <c r="O30" s="572"/>
      <c r="P30" s="86">
        <f>SUM(D30:O30)</f>
        <v>0</v>
      </c>
      <c r="Q30" s="738" t="s">
        <v>1105</v>
      </c>
      <c r="R30" s="738"/>
      <c r="S30" s="738"/>
      <c r="T30" s="738"/>
      <c r="U30" s="738"/>
      <c r="V30" s="738"/>
      <c r="W30" s="738"/>
      <c r="X30" s="738"/>
      <c r="Y30" s="738"/>
      <c r="Z30" s="738"/>
      <c r="AA30" s="738"/>
      <c r="AB30" s="738"/>
      <c r="AC30" s="738"/>
      <c r="AD30" s="739"/>
    </row>
    <row r="31" spans="1:41" ht="45" customHeight="1">
      <c r="A31" s="740" t="s">
        <v>53</v>
      </c>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2"/>
    </row>
    <row r="32" spans="1:41" ht="23.1" customHeight="1">
      <c r="A32" s="705" t="s">
        <v>54</v>
      </c>
      <c r="B32" s="735" t="s">
        <v>55</v>
      </c>
      <c r="C32" s="735" t="s">
        <v>49</v>
      </c>
      <c r="D32" s="735" t="s">
        <v>56</v>
      </c>
      <c r="E32" s="735"/>
      <c r="F32" s="735"/>
      <c r="G32" s="735"/>
      <c r="H32" s="735"/>
      <c r="I32" s="735"/>
      <c r="J32" s="735"/>
      <c r="K32" s="735"/>
      <c r="L32" s="735"/>
      <c r="M32" s="735"/>
      <c r="N32" s="735"/>
      <c r="O32" s="735"/>
      <c r="P32" s="735"/>
      <c r="Q32" s="735" t="s">
        <v>57</v>
      </c>
      <c r="R32" s="735"/>
      <c r="S32" s="735"/>
      <c r="T32" s="735"/>
      <c r="U32" s="735"/>
      <c r="V32" s="735"/>
      <c r="W32" s="735"/>
      <c r="X32" s="735"/>
      <c r="Y32" s="735"/>
      <c r="Z32" s="735"/>
      <c r="AA32" s="735"/>
      <c r="AB32" s="735"/>
      <c r="AC32" s="735"/>
      <c r="AD32" s="706"/>
      <c r="AG32" s="498"/>
      <c r="AH32" s="498"/>
      <c r="AI32" s="498"/>
      <c r="AJ32" s="498"/>
      <c r="AK32" s="498"/>
      <c r="AL32" s="498"/>
      <c r="AM32" s="498"/>
      <c r="AN32" s="87"/>
      <c r="AO32" s="87"/>
    </row>
    <row r="33" spans="1:41" ht="23.1" customHeight="1">
      <c r="A33" s="705"/>
      <c r="B33" s="735"/>
      <c r="C33" s="743"/>
      <c r="D33" s="565" t="s">
        <v>29</v>
      </c>
      <c r="E33" s="565" t="s">
        <v>30</v>
      </c>
      <c r="F33" s="565" t="s">
        <v>31</v>
      </c>
      <c r="G33" s="565" t="s">
        <v>32</v>
      </c>
      <c r="H33" s="565" t="s">
        <v>33</v>
      </c>
      <c r="I33" s="565" t="s">
        <v>34</v>
      </c>
      <c r="J33" s="565" t="s">
        <v>35</v>
      </c>
      <c r="K33" s="565" t="s">
        <v>36</v>
      </c>
      <c r="L33" s="565" t="s">
        <v>37</v>
      </c>
      <c r="M33" s="565" t="s">
        <v>38</v>
      </c>
      <c r="N33" s="565" t="s">
        <v>39</v>
      </c>
      <c r="O33" s="565" t="s">
        <v>40</v>
      </c>
      <c r="P33" s="565" t="s">
        <v>41</v>
      </c>
      <c r="Q33" s="730" t="s">
        <v>58</v>
      </c>
      <c r="R33" s="744"/>
      <c r="S33" s="744"/>
      <c r="T33" s="744"/>
      <c r="U33" s="744"/>
      <c r="V33" s="731"/>
      <c r="W33" s="730" t="s">
        <v>59</v>
      </c>
      <c r="X33" s="744"/>
      <c r="Y33" s="744"/>
      <c r="Z33" s="731"/>
      <c r="AA33" s="730" t="s">
        <v>60</v>
      </c>
      <c r="AB33" s="744"/>
      <c r="AC33" s="744"/>
      <c r="AD33" s="749"/>
      <c r="AF33" s="160" t="s">
        <v>1064</v>
      </c>
      <c r="AG33" s="498" t="s">
        <v>310</v>
      </c>
      <c r="AH33" s="498" t="s">
        <v>311</v>
      </c>
      <c r="AI33" s="498"/>
      <c r="AJ33" s="498"/>
      <c r="AK33" s="498"/>
      <c r="AL33" s="498"/>
      <c r="AM33" s="498"/>
      <c r="AN33" s="87"/>
      <c r="AO33" s="87"/>
    </row>
    <row r="34" spans="1:41" ht="137.25" customHeight="1">
      <c r="A34" s="750" t="str">
        <f>A30</f>
        <v>Formar 26100 mujeres en sus derechos a través de procesos de desarrollo de capacidades en el uso TIC</v>
      </c>
      <c r="B34" s="752">
        <f>B38+B40+B42+B44+B46+B48</f>
        <v>0.3</v>
      </c>
      <c r="C34" s="90" t="s">
        <v>61</v>
      </c>
      <c r="D34" s="180">
        <v>0</v>
      </c>
      <c r="E34" s="572">
        <v>500</v>
      </c>
      <c r="F34" s="572">
        <v>700</v>
      </c>
      <c r="G34" s="572">
        <v>700</v>
      </c>
      <c r="H34" s="572">
        <v>700</v>
      </c>
      <c r="I34" s="572">
        <v>700</v>
      </c>
      <c r="J34" s="572">
        <v>700</v>
      </c>
      <c r="K34" s="572">
        <v>700</v>
      </c>
      <c r="L34" s="572">
        <v>700</v>
      </c>
      <c r="M34" s="572">
        <v>700</v>
      </c>
      <c r="N34" s="572">
        <v>700</v>
      </c>
      <c r="O34" s="572">
        <v>200</v>
      </c>
      <c r="P34" s="572">
        <f>SUM(D34:O34)</f>
        <v>7000</v>
      </c>
      <c r="Q34" s="754" t="s">
        <v>1065</v>
      </c>
      <c r="R34" s="755"/>
      <c r="S34" s="755"/>
      <c r="T34" s="755"/>
      <c r="U34" s="755"/>
      <c r="V34" s="756"/>
      <c r="W34" s="754" t="s">
        <v>1066</v>
      </c>
      <c r="X34" s="755"/>
      <c r="Y34" s="755"/>
      <c r="Z34" s="756"/>
      <c r="AA34" s="754" t="s">
        <v>1067</v>
      </c>
      <c r="AB34" s="755"/>
      <c r="AC34" s="755"/>
      <c r="AD34" s="760"/>
      <c r="AF34" s="72" t="s">
        <v>1068</v>
      </c>
      <c r="AG34" s="72" t="s">
        <v>1117</v>
      </c>
      <c r="AH34" s="498"/>
      <c r="AI34" s="498"/>
      <c r="AJ34" s="498"/>
      <c r="AK34" s="498"/>
      <c r="AL34" s="498"/>
      <c r="AM34" s="498"/>
      <c r="AN34" s="87"/>
      <c r="AO34" s="87"/>
    </row>
    <row r="35" spans="1:41" ht="137.25" customHeight="1">
      <c r="A35" s="751"/>
      <c r="B35" s="753"/>
      <c r="C35" s="181" t="s">
        <v>65</v>
      </c>
      <c r="D35" s="493">
        <v>0</v>
      </c>
      <c r="E35" s="494">
        <v>531</v>
      </c>
      <c r="F35" s="495"/>
      <c r="G35" s="496"/>
      <c r="H35" s="496"/>
      <c r="I35" s="496"/>
      <c r="J35" s="496"/>
      <c r="K35" s="496"/>
      <c r="L35" s="496"/>
      <c r="M35" s="496"/>
      <c r="N35" s="496"/>
      <c r="O35" s="496"/>
      <c r="P35" s="497">
        <f>SUM(D35:O35)</f>
        <v>531</v>
      </c>
      <c r="Q35" s="757"/>
      <c r="R35" s="758"/>
      <c r="S35" s="758"/>
      <c r="T35" s="758"/>
      <c r="U35" s="758"/>
      <c r="V35" s="759"/>
      <c r="W35" s="757"/>
      <c r="X35" s="758"/>
      <c r="Y35" s="758"/>
      <c r="Z35" s="759"/>
      <c r="AA35" s="757"/>
      <c r="AB35" s="758"/>
      <c r="AC35" s="758"/>
      <c r="AD35" s="761"/>
      <c r="AE35" s="49"/>
      <c r="AF35" s="498">
        <f>LEN(AF34)</f>
        <v>294</v>
      </c>
      <c r="AG35" s="498">
        <f>LEN(AG34)</f>
        <v>293</v>
      </c>
      <c r="AH35" s="498">
        <f>LEN(AH34)</f>
        <v>0</v>
      </c>
      <c r="AI35" s="498"/>
      <c r="AJ35" s="498"/>
      <c r="AK35" s="498"/>
      <c r="AL35" s="498"/>
      <c r="AM35" s="498"/>
      <c r="AN35" s="87"/>
      <c r="AO35" s="87"/>
    </row>
    <row r="36" spans="1:41" ht="26.1" customHeight="1">
      <c r="A36" s="705" t="s">
        <v>66</v>
      </c>
      <c r="B36" s="735" t="s">
        <v>67</v>
      </c>
      <c r="C36" s="735" t="s">
        <v>68</v>
      </c>
      <c r="D36" s="735"/>
      <c r="E36" s="735"/>
      <c r="F36" s="735"/>
      <c r="G36" s="735"/>
      <c r="H36" s="735"/>
      <c r="I36" s="735"/>
      <c r="J36" s="735"/>
      <c r="K36" s="735"/>
      <c r="L36" s="735"/>
      <c r="M36" s="735"/>
      <c r="N36" s="735"/>
      <c r="O36" s="735"/>
      <c r="P36" s="735"/>
      <c r="Q36" s="735" t="s">
        <v>69</v>
      </c>
      <c r="R36" s="735"/>
      <c r="S36" s="735"/>
      <c r="T36" s="735"/>
      <c r="U36" s="735"/>
      <c r="V36" s="735"/>
      <c r="W36" s="735"/>
      <c r="X36" s="735"/>
      <c r="Y36" s="735"/>
      <c r="Z36" s="735"/>
      <c r="AA36" s="735"/>
      <c r="AB36" s="735"/>
      <c r="AC36" s="735"/>
      <c r="AD36" s="706"/>
      <c r="AG36" s="498"/>
      <c r="AH36" s="498"/>
      <c r="AI36" s="498"/>
      <c r="AJ36" s="498"/>
      <c r="AK36" s="498"/>
      <c r="AL36" s="498"/>
      <c r="AM36" s="498"/>
      <c r="AN36" s="87"/>
      <c r="AO36" s="87"/>
    </row>
    <row r="37" spans="1:41" ht="26.1" customHeight="1">
      <c r="A37" s="705"/>
      <c r="B37" s="735"/>
      <c r="C37" s="565" t="s">
        <v>70</v>
      </c>
      <c r="D37" s="565" t="s">
        <v>71</v>
      </c>
      <c r="E37" s="565" t="s">
        <v>72</v>
      </c>
      <c r="F37" s="565" t="s">
        <v>73</v>
      </c>
      <c r="G37" s="565" t="s">
        <v>74</v>
      </c>
      <c r="H37" s="565" t="s">
        <v>75</v>
      </c>
      <c r="I37" s="565" t="s">
        <v>76</v>
      </c>
      <c r="J37" s="565" t="s">
        <v>77</v>
      </c>
      <c r="K37" s="565" t="s">
        <v>78</v>
      </c>
      <c r="L37" s="565" t="s">
        <v>79</v>
      </c>
      <c r="M37" s="565" t="s">
        <v>80</v>
      </c>
      <c r="N37" s="565" t="s">
        <v>81</v>
      </c>
      <c r="O37" s="565" t="s">
        <v>82</v>
      </c>
      <c r="P37" s="565" t="s">
        <v>83</v>
      </c>
      <c r="Q37" s="735" t="s">
        <v>84</v>
      </c>
      <c r="R37" s="735"/>
      <c r="S37" s="735"/>
      <c r="T37" s="735"/>
      <c r="U37" s="735"/>
      <c r="V37" s="735"/>
      <c r="W37" s="735"/>
      <c r="X37" s="735"/>
      <c r="Y37" s="735"/>
      <c r="Z37" s="735"/>
      <c r="AA37" s="735"/>
      <c r="AB37" s="735"/>
      <c r="AC37" s="735"/>
      <c r="AD37" s="706"/>
      <c r="AG37" s="1090"/>
      <c r="AH37" s="1090"/>
      <c r="AI37" s="1090"/>
      <c r="AJ37" s="1090"/>
      <c r="AK37" s="1090"/>
      <c r="AL37" s="1090"/>
      <c r="AM37" s="1090"/>
      <c r="AN37" s="94"/>
      <c r="AO37" s="94"/>
    </row>
    <row r="38" spans="1:41" ht="79.5" customHeight="1">
      <c r="A38" s="745" t="s">
        <v>85</v>
      </c>
      <c r="B38" s="746">
        <v>0.05</v>
      </c>
      <c r="C38" s="102" t="s">
        <v>61</v>
      </c>
      <c r="D38" s="103">
        <v>0</v>
      </c>
      <c r="E38" s="103">
        <v>0.05</v>
      </c>
      <c r="F38" s="103">
        <v>0.1</v>
      </c>
      <c r="G38" s="103">
        <v>0.1</v>
      </c>
      <c r="H38" s="103">
        <v>0.1</v>
      </c>
      <c r="I38" s="103">
        <v>0.1</v>
      </c>
      <c r="J38" s="103">
        <v>0.1</v>
      </c>
      <c r="K38" s="103">
        <v>0.1</v>
      </c>
      <c r="L38" s="103">
        <v>0.1</v>
      </c>
      <c r="M38" s="103">
        <v>0.1</v>
      </c>
      <c r="N38" s="103">
        <v>0.1</v>
      </c>
      <c r="O38" s="103">
        <v>0.05</v>
      </c>
      <c r="P38" s="182">
        <f t="shared" ref="P38:P49" si="0">SUM(D38:O38)</f>
        <v>0.99999999999999989</v>
      </c>
      <c r="Q38" s="747" t="s">
        <v>1069</v>
      </c>
      <c r="R38" s="747"/>
      <c r="S38" s="747"/>
      <c r="T38" s="747"/>
      <c r="U38" s="747"/>
      <c r="V38" s="747"/>
      <c r="W38" s="747"/>
      <c r="X38" s="747"/>
      <c r="Y38" s="747"/>
      <c r="Z38" s="747"/>
      <c r="AA38" s="747"/>
      <c r="AB38" s="747"/>
      <c r="AC38" s="747"/>
      <c r="AD38" s="748"/>
      <c r="AE38" s="97"/>
    </row>
    <row r="39" spans="1:41" ht="79.5" customHeight="1">
      <c r="A39" s="745"/>
      <c r="B39" s="746"/>
      <c r="C39" s="99" t="s">
        <v>65</v>
      </c>
      <c r="D39" s="100">
        <v>0</v>
      </c>
      <c r="E39" s="100">
        <v>0.05</v>
      </c>
      <c r="F39" s="100"/>
      <c r="G39" s="100"/>
      <c r="H39" s="100"/>
      <c r="I39" s="100"/>
      <c r="J39" s="100"/>
      <c r="K39" s="100"/>
      <c r="L39" s="100"/>
      <c r="M39" s="100"/>
      <c r="N39" s="100"/>
      <c r="O39" s="100"/>
      <c r="P39" s="182">
        <f t="shared" si="0"/>
        <v>0.05</v>
      </c>
      <c r="Q39" s="747"/>
      <c r="R39" s="747"/>
      <c r="S39" s="747"/>
      <c r="T39" s="747"/>
      <c r="U39" s="747"/>
      <c r="V39" s="747"/>
      <c r="W39" s="747"/>
      <c r="X39" s="747"/>
      <c r="Y39" s="747"/>
      <c r="Z39" s="747"/>
      <c r="AA39" s="747"/>
      <c r="AB39" s="747"/>
      <c r="AC39" s="747"/>
      <c r="AD39" s="748"/>
      <c r="AE39" s="97"/>
    </row>
    <row r="40" spans="1:41" ht="93" customHeight="1">
      <c r="A40" s="745" t="s">
        <v>86</v>
      </c>
      <c r="B40" s="746">
        <v>0.05</v>
      </c>
      <c r="C40" s="102" t="s">
        <v>61</v>
      </c>
      <c r="D40" s="103">
        <v>0</v>
      </c>
      <c r="E40" s="103">
        <v>0.05</v>
      </c>
      <c r="F40" s="103">
        <v>0.2</v>
      </c>
      <c r="G40" s="103">
        <v>0.2</v>
      </c>
      <c r="H40" s="103">
        <v>0.2</v>
      </c>
      <c r="I40" s="103">
        <v>0.1</v>
      </c>
      <c r="J40" s="103">
        <v>0.05</v>
      </c>
      <c r="K40" s="103">
        <v>0.05</v>
      </c>
      <c r="L40" s="103">
        <v>0.05</v>
      </c>
      <c r="M40" s="103">
        <v>0.05</v>
      </c>
      <c r="N40" s="103">
        <v>0.05</v>
      </c>
      <c r="O40" s="103">
        <v>0</v>
      </c>
      <c r="P40" s="182">
        <f t="shared" si="0"/>
        <v>1.0000000000000002</v>
      </c>
      <c r="Q40" s="747" t="s">
        <v>1070</v>
      </c>
      <c r="R40" s="747"/>
      <c r="S40" s="747"/>
      <c r="T40" s="747"/>
      <c r="U40" s="747"/>
      <c r="V40" s="747"/>
      <c r="W40" s="747"/>
      <c r="X40" s="747"/>
      <c r="Y40" s="747"/>
      <c r="Z40" s="747"/>
      <c r="AA40" s="747"/>
      <c r="AB40" s="747"/>
      <c r="AC40" s="747"/>
      <c r="AD40" s="748"/>
      <c r="AE40" s="97"/>
    </row>
    <row r="41" spans="1:41" ht="93" customHeight="1">
      <c r="A41" s="745"/>
      <c r="B41" s="746"/>
      <c r="C41" s="99" t="s">
        <v>65</v>
      </c>
      <c r="D41" s="100">
        <v>0</v>
      </c>
      <c r="E41" s="100">
        <v>0.05</v>
      </c>
      <c r="F41" s="100"/>
      <c r="G41" s="100"/>
      <c r="H41" s="100"/>
      <c r="I41" s="100"/>
      <c r="J41" s="100"/>
      <c r="K41" s="100"/>
      <c r="L41" s="100"/>
      <c r="M41" s="100"/>
      <c r="N41" s="100"/>
      <c r="O41" s="100"/>
      <c r="P41" s="182">
        <f t="shared" si="0"/>
        <v>0.05</v>
      </c>
      <c r="Q41" s="747"/>
      <c r="R41" s="747"/>
      <c r="S41" s="747"/>
      <c r="T41" s="747"/>
      <c r="U41" s="747"/>
      <c r="V41" s="747"/>
      <c r="W41" s="747"/>
      <c r="X41" s="747"/>
      <c r="Y41" s="747"/>
      <c r="Z41" s="747"/>
      <c r="AA41" s="747"/>
      <c r="AB41" s="747"/>
      <c r="AC41" s="747"/>
      <c r="AD41" s="748"/>
      <c r="AE41" s="97"/>
    </row>
    <row r="42" spans="1:41" ht="191.25" customHeight="1">
      <c r="A42" s="745" t="s">
        <v>87</v>
      </c>
      <c r="B42" s="746">
        <v>0.05</v>
      </c>
      <c r="C42" s="102" t="s">
        <v>61</v>
      </c>
      <c r="D42" s="103">
        <v>0</v>
      </c>
      <c r="E42" s="103">
        <v>9.0999999999999998E-2</v>
      </c>
      <c r="F42" s="103">
        <v>9.0999999999999998E-2</v>
      </c>
      <c r="G42" s="103">
        <v>9.0999999999999998E-2</v>
      </c>
      <c r="H42" s="103">
        <v>9.0999999999999998E-2</v>
      </c>
      <c r="I42" s="103">
        <v>9.0999999999999998E-2</v>
      </c>
      <c r="J42" s="103">
        <v>9.0999999999999998E-2</v>
      </c>
      <c r="K42" s="103">
        <v>9.0999999999999998E-2</v>
      </c>
      <c r="L42" s="103">
        <v>9.0999999999999998E-2</v>
      </c>
      <c r="M42" s="103">
        <v>9.0999999999999998E-2</v>
      </c>
      <c r="N42" s="103">
        <v>9.0999999999999998E-2</v>
      </c>
      <c r="O42" s="103">
        <v>9.0999999999999998E-2</v>
      </c>
      <c r="P42" s="182">
        <f t="shared" si="0"/>
        <v>1.0009999999999999</v>
      </c>
      <c r="Q42" s="747" t="s">
        <v>1071</v>
      </c>
      <c r="R42" s="747"/>
      <c r="S42" s="747"/>
      <c r="T42" s="747"/>
      <c r="U42" s="747"/>
      <c r="V42" s="747"/>
      <c r="W42" s="747"/>
      <c r="X42" s="747"/>
      <c r="Y42" s="747"/>
      <c r="Z42" s="747"/>
      <c r="AA42" s="747"/>
      <c r="AB42" s="747"/>
      <c r="AC42" s="747"/>
      <c r="AD42" s="748"/>
      <c r="AE42" s="97"/>
    </row>
    <row r="43" spans="1:41" ht="191.25" customHeight="1">
      <c r="A43" s="745"/>
      <c r="B43" s="746"/>
      <c r="C43" s="99" t="s">
        <v>65</v>
      </c>
      <c r="D43" s="100">
        <v>0</v>
      </c>
      <c r="E43" s="100">
        <v>9.0999999999999998E-2</v>
      </c>
      <c r="F43" s="100"/>
      <c r="G43" s="100"/>
      <c r="H43" s="100"/>
      <c r="I43" s="100"/>
      <c r="J43" s="100"/>
      <c r="K43" s="100"/>
      <c r="L43" s="100"/>
      <c r="M43" s="100"/>
      <c r="N43" s="100"/>
      <c r="O43" s="100"/>
      <c r="P43" s="182">
        <f t="shared" si="0"/>
        <v>9.0999999999999998E-2</v>
      </c>
      <c r="Q43" s="747"/>
      <c r="R43" s="747"/>
      <c r="S43" s="747"/>
      <c r="T43" s="747"/>
      <c r="U43" s="747"/>
      <c r="V43" s="747"/>
      <c r="W43" s="747"/>
      <c r="X43" s="747"/>
      <c r="Y43" s="747"/>
      <c r="Z43" s="747"/>
      <c r="AA43" s="747"/>
      <c r="AB43" s="747"/>
      <c r="AC43" s="747"/>
      <c r="AD43" s="748"/>
      <c r="AE43" s="97"/>
    </row>
    <row r="44" spans="1:41" ht="35.25" customHeight="1">
      <c r="A44" s="745" t="s">
        <v>88</v>
      </c>
      <c r="B44" s="746">
        <v>0.05</v>
      </c>
      <c r="C44" s="102" t="s">
        <v>61</v>
      </c>
      <c r="D44" s="103">
        <v>0</v>
      </c>
      <c r="E44" s="103">
        <v>0</v>
      </c>
      <c r="F44" s="103">
        <v>0.25</v>
      </c>
      <c r="G44" s="103">
        <v>0</v>
      </c>
      <c r="H44" s="103">
        <v>0</v>
      </c>
      <c r="I44" s="103">
        <v>0.25</v>
      </c>
      <c r="J44" s="103">
        <v>0</v>
      </c>
      <c r="K44" s="103">
        <v>0</v>
      </c>
      <c r="L44" s="103">
        <v>0.25</v>
      </c>
      <c r="M44" s="103">
        <v>0</v>
      </c>
      <c r="N44" s="103">
        <v>0</v>
      </c>
      <c r="O44" s="103">
        <v>0.25</v>
      </c>
      <c r="P44" s="182">
        <f>SUM(D44:O44)</f>
        <v>1</v>
      </c>
      <c r="Q44" s="747" t="s">
        <v>1072</v>
      </c>
      <c r="R44" s="747"/>
      <c r="S44" s="747"/>
      <c r="T44" s="747"/>
      <c r="U44" s="747"/>
      <c r="V44" s="747"/>
      <c r="W44" s="747"/>
      <c r="X44" s="747"/>
      <c r="Y44" s="747"/>
      <c r="Z44" s="747"/>
      <c r="AA44" s="747"/>
      <c r="AB44" s="747"/>
      <c r="AC44" s="747"/>
      <c r="AD44" s="748"/>
      <c r="AE44" s="97"/>
    </row>
    <row r="45" spans="1:41" ht="35.25" customHeight="1">
      <c r="A45" s="745"/>
      <c r="B45" s="746"/>
      <c r="C45" s="99" t="s">
        <v>65</v>
      </c>
      <c r="D45" s="100">
        <v>0</v>
      </c>
      <c r="E45" s="100">
        <v>0</v>
      </c>
      <c r="F45" s="100"/>
      <c r="G45" s="100"/>
      <c r="H45" s="100"/>
      <c r="I45" s="100"/>
      <c r="J45" s="100"/>
      <c r="K45" s="100"/>
      <c r="L45" s="100"/>
      <c r="M45" s="100"/>
      <c r="N45" s="100"/>
      <c r="O45" s="100"/>
      <c r="P45" s="182">
        <f t="shared" si="0"/>
        <v>0</v>
      </c>
      <c r="Q45" s="747"/>
      <c r="R45" s="747"/>
      <c r="S45" s="747"/>
      <c r="T45" s="747"/>
      <c r="U45" s="747"/>
      <c r="V45" s="747"/>
      <c r="W45" s="747"/>
      <c r="X45" s="747"/>
      <c r="Y45" s="747"/>
      <c r="Z45" s="747"/>
      <c r="AA45" s="747"/>
      <c r="AB45" s="747"/>
      <c r="AC45" s="747"/>
      <c r="AD45" s="748"/>
      <c r="AE45" s="97"/>
    </row>
    <row r="46" spans="1:41" ht="62.25" customHeight="1">
      <c r="A46" s="745" t="s">
        <v>89</v>
      </c>
      <c r="B46" s="746">
        <v>0.05</v>
      </c>
      <c r="C46" s="102" t="s">
        <v>61</v>
      </c>
      <c r="D46" s="103">
        <v>0</v>
      </c>
      <c r="E46" s="103">
        <v>0.2</v>
      </c>
      <c r="F46" s="103">
        <v>0.2</v>
      </c>
      <c r="G46" s="103">
        <v>0.2</v>
      </c>
      <c r="H46" s="103">
        <v>0.2</v>
      </c>
      <c r="I46" s="103">
        <v>0.1</v>
      </c>
      <c r="J46" s="103">
        <v>0.1</v>
      </c>
      <c r="K46" s="103">
        <v>0</v>
      </c>
      <c r="L46" s="103">
        <v>0</v>
      </c>
      <c r="M46" s="103">
        <v>0</v>
      </c>
      <c r="N46" s="103">
        <v>0</v>
      </c>
      <c r="O46" s="103">
        <v>0</v>
      </c>
      <c r="P46" s="182">
        <f>SUM(D46:O46)</f>
        <v>1</v>
      </c>
      <c r="Q46" s="768" t="s">
        <v>1073</v>
      </c>
      <c r="R46" s="768"/>
      <c r="S46" s="768"/>
      <c r="T46" s="768"/>
      <c r="U46" s="768"/>
      <c r="V46" s="768"/>
      <c r="W46" s="768"/>
      <c r="X46" s="768"/>
      <c r="Y46" s="768"/>
      <c r="Z46" s="768"/>
      <c r="AA46" s="768"/>
      <c r="AB46" s="768"/>
      <c r="AC46" s="768"/>
      <c r="AD46" s="769"/>
      <c r="AE46" s="97"/>
    </row>
    <row r="47" spans="1:41" ht="62.25" customHeight="1">
      <c r="A47" s="745"/>
      <c r="B47" s="746"/>
      <c r="C47" s="99" t="s">
        <v>65</v>
      </c>
      <c r="D47" s="100">
        <v>0</v>
      </c>
      <c r="E47" s="100">
        <v>0.2</v>
      </c>
      <c r="F47" s="100"/>
      <c r="G47" s="100"/>
      <c r="H47" s="100"/>
      <c r="I47" s="100"/>
      <c r="J47" s="100"/>
      <c r="K47" s="100"/>
      <c r="L47" s="100"/>
      <c r="M47" s="100"/>
      <c r="N47" s="100"/>
      <c r="O47" s="100"/>
      <c r="P47" s="182">
        <f t="shared" si="0"/>
        <v>0.2</v>
      </c>
      <c r="Q47" s="768"/>
      <c r="R47" s="768"/>
      <c r="S47" s="768"/>
      <c r="T47" s="768"/>
      <c r="U47" s="768"/>
      <c r="V47" s="768"/>
      <c r="W47" s="768"/>
      <c r="X47" s="768"/>
      <c r="Y47" s="768"/>
      <c r="Z47" s="768"/>
      <c r="AA47" s="768"/>
      <c r="AB47" s="768"/>
      <c r="AC47" s="768"/>
      <c r="AD47" s="769"/>
      <c r="AE47" s="97"/>
    </row>
    <row r="48" spans="1:41" ht="42.75" customHeight="1">
      <c r="A48" s="745" t="s">
        <v>90</v>
      </c>
      <c r="B48" s="746">
        <v>0.05</v>
      </c>
      <c r="C48" s="102" t="s">
        <v>61</v>
      </c>
      <c r="D48" s="103">
        <v>0</v>
      </c>
      <c r="E48" s="103">
        <v>0</v>
      </c>
      <c r="F48" s="103">
        <v>0</v>
      </c>
      <c r="G48" s="103">
        <v>0</v>
      </c>
      <c r="H48" s="103">
        <v>0</v>
      </c>
      <c r="I48" s="103">
        <v>0</v>
      </c>
      <c r="J48" s="103">
        <v>0.2</v>
      </c>
      <c r="K48" s="103">
        <v>0.2</v>
      </c>
      <c r="L48" s="103">
        <v>0.2</v>
      </c>
      <c r="M48" s="103">
        <v>0.2</v>
      </c>
      <c r="N48" s="103">
        <v>0.1</v>
      </c>
      <c r="O48" s="103">
        <v>0.1</v>
      </c>
      <c r="P48" s="182">
        <f t="shared" si="0"/>
        <v>1</v>
      </c>
      <c r="Q48" s="764" t="s">
        <v>1074</v>
      </c>
      <c r="R48" s="764"/>
      <c r="S48" s="764"/>
      <c r="T48" s="764"/>
      <c r="U48" s="764"/>
      <c r="V48" s="764"/>
      <c r="W48" s="764"/>
      <c r="X48" s="764"/>
      <c r="Y48" s="764"/>
      <c r="Z48" s="764"/>
      <c r="AA48" s="764"/>
      <c r="AB48" s="764"/>
      <c r="AC48" s="764"/>
      <c r="AD48" s="765"/>
      <c r="AE48" s="97"/>
    </row>
    <row r="49" spans="1:31" ht="42.75" customHeight="1" thickBot="1">
      <c r="A49" s="762"/>
      <c r="B49" s="763"/>
      <c r="C49" s="91" t="s">
        <v>65</v>
      </c>
      <c r="D49" s="105">
        <v>0</v>
      </c>
      <c r="E49" s="105">
        <v>0</v>
      </c>
      <c r="F49" s="105"/>
      <c r="G49" s="105"/>
      <c r="H49" s="105"/>
      <c r="I49" s="105"/>
      <c r="J49" s="105"/>
      <c r="K49" s="105"/>
      <c r="L49" s="105"/>
      <c r="M49" s="105"/>
      <c r="N49" s="105"/>
      <c r="O49" s="105"/>
      <c r="P49" s="573">
        <f t="shared" si="0"/>
        <v>0</v>
      </c>
      <c r="Q49" s="766"/>
      <c r="R49" s="766"/>
      <c r="S49" s="766"/>
      <c r="T49" s="766"/>
      <c r="U49" s="766"/>
      <c r="V49" s="766"/>
      <c r="W49" s="766"/>
      <c r="X49" s="766"/>
      <c r="Y49" s="766"/>
      <c r="Z49" s="766"/>
      <c r="AA49" s="766"/>
      <c r="AB49" s="766"/>
      <c r="AC49" s="766"/>
      <c r="AD49" s="767"/>
      <c r="AE49" s="97"/>
    </row>
    <row r="50" spans="1:31">
      <c r="A50" s="50" t="s">
        <v>91</v>
      </c>
    </row>
    <row r="51" spans="1:31">
      <c r="B51" s="397">
        <f>SUM(B38:B50)</f>
        <v>0.3</v>
      </c>
    </row>
  </sheetData>
  <mergeCells count="86">
    <mergeCell ref="A48:A49"/>
    <mergeCell ref="B48:B49"/>
    <mergeCell ref="Q48:AD49"/>
    <mergeCell ref="B46:B47"/>
    <mergeCell ref="Q42:AD43"/>
    <mergeCell ref="Q44:AD45"/>
    <mergeCell ref="Q46:AD47"/>
    <mergeCell ref="A44:A45"/>
    <mergeCell ref="B44:B45"/>
    <mergeCell ref="A46:A47"/>
    <mergeCell ref="A40:A41"/>
    <mergeCell ref="B40:B41"/>
    <mergeCell ref="Q40:AD41"/>
    <mergeCell ref="A42:A43"/>
    <mergeCell ref="B42:B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3:C65545 IY65543:IY65545 SU65543:SU65545 ACQ65543:ACQ65545 AMM65543:AMM65545 AWI65543:AWI65545 BGE65543:BGE65545 BQA65543:BQA65545 BZW65543:BZW65545 CJS65543:CJS65545 CTO65543:CTO65545 DDK65543:DDK65545 DNG65543:DNG65545 DXC65543:DXC65545 EGY65543:EGY65545 EQU65543:EQU65545 FAQ65543:FAQ65545 FKM65543:FKM65545 FUI65543:FUI65545 GEE65543:GEE65545 GOA65543:GOA65545 GXW65543:GXW65545 HHS65543:HHS65545 HRO65543:HRO65545 IBK65543:IBK65545 ILG65543:ILG65545 IVC65543:IVC65545 JEY65543:JEY65545 JOU65543:JOU65545 JYQ65543:JYQ65545 KIM65543:KIM65545 KSI65543:KSI65545 LCE65543:LCE65545 LMA65543:LMA65545 LVW65543:LVW65545 MFS65543:MFS65545 MPO65543:MPO65545 MZK65543:MZK65545 NJG65543:NJG65545 NTC65543:NTC65545 OCY65543:OCY65545 OMU65543:OMU65545 OWQ65543:OWQ65545 PGM65543:PGM65545 PQI65543:PQI65545 QAE65543:QAE65545 QKA65543:QKA65545 QTW65543:QTW65545 RDS65543:RDS65545 RNO65543:RNO65545 RXK65543:RXK65545 SHG65543:SHG65545 SRC65543:SRC65545 TAY65543:TAY65545 TKU65543:TKU65545 TUQ65543:TUQ65545 UEM65543:UEM65545 UOI65543:UOI65545 UYE65543:UYE65545 VIA65543:VIA65545 VRW65543:VRW65545 WBS65543:WBS65545 WLO65543:WLO65545 WVK65543:WVK65545 C131079:C131081 IY131079:IY131081 SU131079:SU131081 ACQ131079:ACQ131081 AMM131079:AMM131081 AWI131079:AWI131081 BGE131079:BGE131081 BQA131079:BQA131081 BZW131079:BZW131081 CJS131079:CJS131081 CTO131079:CTO131081 DDK131079:DDK131081 DNG131079:DNG131081 DXC131079:DXC131081 EGY131079:EGY131081 EQU131079:EQU131081 FAQ131079:FAQ131081 FKM131079:FKM131081 FUI131079:FUI131081 GEE131079:GEE131081 GOA131079:GOA131081 GXW131079:GXW131081 HHS131079:HHS131081 HRO131079:HRO131081 IBK131079:IBK131081 ILG131079:ILG131081 IVC131079:IVC131081 JEY131079:JEY131081 JOU131079:JOU131081 JYQ131079:JYQ131081 KIM131079:KIM131081 KSI131079:KSI131081 LCE131079:LCE131081 LMA131079:LMA131081 LVW131079:LVW131081 MFS131079:MFS131081 MPO131079:MPO131081 MZK131079:MZK131081 NJG131079:NJG131081 NTC131079:NTC131081 OCY131079:OCY131081 OMU131079:OMU131081 OWQ131079:OWQ131081 PGM131079:PGM131081 PQI131079:PQI131081 QAE131079:QAE131081 QKA131079:QKA131081 QTW131079:QTW131081 RDS131079:RDS131081 RNO131079:RNO131081 RXK131079:RXK131081 SHG131079:SHG131081 SRC131079:SRC131081 TAY131079:TAY131081 TKU131079:TKU131081 TUQ131079:TUQ131081 UEM131079:UEM131081 UOI131079:UOI131081 UYE131079:UYE131081 VIA131079:VIA131081 VRW131079:VRW131081 WBS131079:WBS131081 WLO131079:WLO131081 WVK131079:WVK131081 C196615:C196617 IY196615:IY196617 SU196615:SU196617 ACQ196615:ACQ196617 AMM196615:AMM196617 AWI196615:AWI196617 BGE196615:BGE196617 BQA196615:BQA196617 BZW196615:BZW196617 CJS196615:CJS196617 CTO196615:CTO196617 DDK196615:DDK196617 DNG196615:DNG196617 DXC196615:DXC196617 EGY196615:EGY196617 EQU196615:EQU196617 FAQ196615:FAQ196617 FKM196615:FKM196617 FUI196615:FUI196617 GEE196615:GEE196617 GOA196615:GOA196617 GXW196615:GXW196617 HHS196615:HHS196617 HRO196615:HRO196617 IBK196615:IBK196617 ILG196615:ILG196617 IVC196615:IVC196617 JEY196615:JEY196617 JOU196615:JOU196617 JYQ196615:JYQ196617 KIM196615:KIM196617 KSI196615:KSI196617 LCE196615:LCE196617 LMA196615:LMA196617 LVW196615:LVW196617 MFS196615:MFS196617 MPO196615:MPO196617 MZK196615:MZK196617 NJG196615:NJG196617 NTC196615:NTC196617 OCY196615:OCY196617 OMU196615:OMU196617 OWQ196615:OWQ196617 PGM196615:PGM196617 PQI196615:PQI196617 QAE196615:QAE196617 QKA196615:QKA196617 QTW196615:QTW196617 RDS196615:RDS196617 RNO196615:RNO196617 RXK196615:RXK196617 SHG196615:SHG196617 SRC196615:SRC196617 TAY196615:TAY196617 TKU196615:TKU196617 TUQ196615:TUQ196617 UEM196615:UEM196617 UOI196615:UOI196617 UYE196615:UYE196617 VIA196615:VIA196617 VRW196615:VRW196617 WBS196615:WBS196617 WLO196615:WLO196617 WVK196615:WVK196617 C262151:C262153 IY262151:IY262153 SU262151:SU262153 ACQ262151:ACQ262153 AMM262151:AMM262153 AWI262151:AWI262153 BGE262151:BGE262153 BQA262151:BQA262153 BZW262151:BZW262153 CJS262151:CJS262153 CTO262151:CTO262153 DDK262151:DDK262153 DNG262151:DNG262153 DXC262151:DXC262153 EGY262151:EGY262153 EQU262151:EQU262153 FAQ262151:FAQ262153 FKM262151:FKM262153 FUI262151:FUI262153 GEE262151:GEE262153 GOA262151:GOA262153 GXW262151:GXW262153 HHS262151:HHS262153 HRO262151:HRO262153 IBK262151:IBK262153 ILG262151:ILG262153 IVC262151:IVC262153 JEY262151:JEY262153 JOU262151:JOU262153 JYQ262151:JYQ262153 KIM262151:KIM262153 KSI262151:KSI262153 LCE262151:LCE262153 LMA262151:LMA262153 LVW262151:LVW262153 MFS262151:MFS262153 MPO262151:MPO262153 MZK262151:MZK262153 NJG262151:NJG262153 NTC262151:NTC262153 OCY262151:OCY262153 OMU262151:OMU262153 OWQ262151:OWQ262153 PGM262151:PGM262153 PQI262151:PQI262153 QAE262151:QAE262153 QKA262151:QKA262153 QTW262151:QTW262153 RDS262151:RDS262153 RNO262151:RNO262153 RXK262151:RXK262153 SHG262151:SHG262153 SRC262151:SRC262153 TAY262151:TAY262153 TKU262151:TKU262153 TUQ262151:TUQ262153 UEM262151:UEM262153 UOI262151:UOI262153 UYE262151:UYE262153 VIA262151:VIA262153 VRW262151:VRW262153 WBS262151:WBS262153 WLO262151:WLO262153 WVK262151:WVK262153 C327687:C327689 IY327687:IY327689 SU327687:SU327689 ACQ327687:ACQ327689 AMM327687:AMM327689 AWI327687:AWI327689 BGE327687:BGE327689 BQA327687:BQA327689 BZW327687:BZW327689 CJS327687:CJS327689 CTO327687:CTO327689 DDK327687:DDK327689 DNG327687:DNG327689 DXC327687:DXC327689 EGY327687:EGY327689 EQU327687:EQU327689 FAQ327687:FAQ327689 FKM327687:FKM327689 FUI327687:FUI327689 GEE327687:GEE327689 GOA327687:GOA327689 GXW327687:GXW327689 HHS327687:HHS327689 HRO327687:HRO327689 IBK327687:IBK327689 ILG327687:ILG327689 IVC327687:IVC327689 JEY327687:JEY327689 JOU327687:JOU327689 JYQ327687:JYQ327689 KIM327687:KIM327689 KSI327687:KSI327689 LCE327687:LCE327689 LMA327687:LMA327689 LVW327687:LVW327689 MFS327687:MFS327689 MPO327687:MPO327689 MZK327687:MZK327689 NJG327687:NJG327689 NTC327687:NTC327689 OCY327687:OCY327689 OMU327687:OMU327689 OWQ327687:OWQ327689 PGM327687:PGM327689 PQI327687:PQI327689 QAE327687:QAE327689 QKA327687:QKA327689 QTW327687:QTW327689 RDS327687:RDS327689 RNO327687:RNO327689 RXK327687:RXK327689 SHG327687:SHG327689 SRC327687:SRC327689 TAY327687:TAY327689 TKU327687:TKU327689 TUQ327687:TUQ327689 UEM327687:UEM327689 UOI327687:UOI327689 UYE327687:UYE327689 VIA327687:VIA327689 VRW327687:VRW327689 WBS327687:WBS327689 WLO327687:WLO327689 WVK327687:WVK327689 C393223:C393225 IY393223:IY393225 SU393223:SU393225 ACQ393223:ACQ393225 AMM393223:AMM393225 AWI393223:AWI393225 BGE393223:BGE393225 BQA393223:BQA393225 BZW393223:BZW393225 CJS393223:CJS393225 CTO393223:CTO393225 DDK393223:DDK393225 DNG393223:DNG393225 DXC393223:DXC393225 EGY393223:EGY393225 EQU393223:EQU393225 FAQ393223:FAQ393225 FKM393223:FKM393225 FUI393223:FUI393225 GEE393223:GEE393225 GOA393223:GOA393225 GXW393223:GXW393225 HHS393223:HHS393225 HRO393223:HRO393225 IBK393223:IBK393225 ILG393223:ILG393225 IVC393223:IVC393225 JEY393223:JEY393225 JOU393223:JOU393225 JYQ393223:JYQ393225 KIM393223:KIM393225 KSI393223:KSI393225 LCE393223:LCE393225 LMA393223:LMA393225 LVW393223:LVW393225 MFS393223:MFS393225 MPO393223:MPO393225 MZK393223:MZK393225 NJG393223:NJG393225 NTC393223:NTC393225 OCY393223:OCY393225 OMU393223:OMU393225 OWQ393223:OWQ393225 PGM393223:PGM393225 PQI393223:PQI393225 QAE393223:QAE393225 QKA393223:QKA393225 QTW393223:QTW393225 RDS393223:RDS393225 RNO393223:RNO393225 RXK393223:RXK393225 SHG393223:SHG393225 SRC393223:SRC393225 TAY393223:TAY393225 TKU393223:TKU393225 TUQ393223:TUQ393225 UEM393223:UEM393225 UOI393223:UOI393225 UYE393223:UYE393225 VIA393223:VIA393225 VRW393223:VRW393225 WBS393223:WBS393225 WLO393223:WLO393225 WVK393223:WVK393225 C458759:C458761 IY458759:IY458761 SU458759:SU458761 ACQ458759:ACQ458761 AMM458759:AMM458761 AWI458759:AWI458761 BGE458759:BGE458761 BQA458759:BQA458761 BZW458759:BZW458761 CJS458759:CJS458761 CTO458759:CTO458761 DDK458759:DDK458761 DNG458759:DNG458761 DXC458759:DXC458761 EGY458759:EGY458761 EQU458759:EQU458761 FAQ458759:FAQ458761 FKM458759:FKM458761 FUI458759:FUI458761 GEE458759:GEE458761 GOA458759:GOA458761 GXW458759:GXW458761 HHS458759:HHS458761 HRO458759:HRO458761 IBK458759:IBK458761 ILG458759:ILG458761 IVC458759:IVC458761 JEY458759:JEY458761 JOU458759:JOU458761 JYQ458759:JYQ458761 KIM458759:KIM458761 KSI458759:KSI458761 LCE458759:LCE458761 LMA458759:LMA458761 LVW458759:LVW458761 MFS458759:MFS458761 MPO458759:MPO458761 MZK458759:MZK458761 NJG458759:NJG458761 NTC458759:NTC458761 OCY458759:OCY458761 OMU458759:OMU458761 OWQ458759:OWQ458761 PGM458759:PGM458761 PQI458759:PQI458761 QAE458759:QAE458761 QKA458759:QKA458761 QTW458759:QTW458761 RDS458759:RDS458761 RNO458759:RNO458761 RXK458759:RXK458761 SHG458759:SHG458761 SRC458759:SRC458761 TAY458759:TAY458761 TKU458759:TKU458761 TUQ458759:TUQ458761 UEM458759:UEM458761 UOI458759:UOI458761 UYE458759:UYE458761 VIA458759:VIA458761 VRW458759:VRW458761 WBS458759:WBS458761 WLO458759:WLO458761 WVK458759:WVK458761 C524295:C524297 IY524295:IY524297 SU524295:SU524297 ACQ524295:ACQ524297 AMM524295:AMM524297 AWI524295:AWI524297 BGE524295:BGE524297 BQA524295:BQA524297 BZW524295:BZW524297 CJS524295:CJS524297 CTO524295:CTO524297 DDK524295:DDK524297 DNG524295:DNG524297 DXC524295:DXC524297 EGY524295:EGY524297 EQU524295:EQU524297 FAQ524295:FAQ524297 FKM524295:FKM524297 FUI524295:FUI524297 GEE524295:GEE524297 GOA524295:GOA524297 GXW524295:GXW524297 HHS524295:HHS524297 HRO524295:HRO524297 IBK524295:IBK524297 ILG524295:ILG524297 IVC524295:IVC524297 JEY524295:JEY524297 JOU524295:JOU524297 JYQ524295:JYQ524297 KIM524295:KIM524297 KSI524295:KSI524297 LCE524295:LCE524297 LMA524295:LMA524297 LVW524295:LVW524297 MFS524295:MFS524297 MPO524295:MPO524297 MZK524295:MZK524297 NJG524295:NJG524297 NTC524295:NTC524297 OCY524295:OCY524297 OMU524295:OMU524297 OWQ524295:OWQ524297 PGM524295:PGM524297 PQI524295:PQI524297 QAE524295:QAE524297 QKA524295:QKA524297 QTW524295:QTW524297 RDS524295:RDS524297 RNO524295:RNO524297 RXK524295:RXK524297 SHG524295:SHG524297 SRC524295:SRC524297 TAY524295:TAY524297 TKU524295:TKU524297 TUQ524295:TUQ524297 UEM524295:UEM524297 UOI524295:UOI524297 UYE524295:UYE524297 VIA524295:VIA524297 VRW524295:VRW524297 WBS524295:WBS524297 WLO524295:WLO524297 WVK524295:WVK524297 C589831:C589833 IY589831:IY589833 SU589831:SU589833 ACQ589831:ACQ589833 AMM589831:AMM589833 AWI589831:AWI589833 BGE589831:BGE589833 BQA589831:BQA589833 BZW589831:BZW589833 CJS589831:CJS589833 CTO589831:CTO589833 DDK589831:DDK589833 DNG589831:DNG589833 DXC589831:DXC589833 EGY589831:EGY589833 EQU589831:EQU589833 FAQ589831:FAQ589833 FKM589831:FKM589833 FUI589831:FUI589833 GEE589831:GEE589833 GOA589831:GOA589833 GXW589831:GXW589833 HHS589831:HHS589833 HRO589831:HRO589833 IBK589831:IBK589833 ILG589831:ILG589833 IVC589831:IVC589833 JEY589831:JEY589833 JOU589831:JOU589833 JYQ589831:JYQ589833 KIM589831:KIM589833 KSI589831:KSI589833 LCE589831:LCE589833 LMA589831:LMA589833 LVW589831:LVW589833 MFS589831:MFS589833 MPO589831:MPO589833 MZK589831:MZK589833 NJG589831:NJG589833 NTC589831:NTC589833 OCY589831:OCY589833 OMU589831:OMU589833 OWQ589831:OWQ589833 PGM589831:PGM589833 PQI589831:PQI589833 QAE589831:QAE589833 QKA589831:QKA589833 QTW589831:QTW589833 RDS589831:RDS589833 RNO589831:RNO589833 RXK589831:RXK589833 SHG589831:SHG589833 SRC589831:SRC589833 TAY589831:TAY589833 TKU589831:TKU589833 TUQ589831:TUQ589833 UEM589831:UEM589833 UOI589831:UOI589833 UYE589831:UYE589833 VIA589831:VIA589833 VRW589831:VRW589833 WBS589831:WBS589833 WLO589831:WLO589833 WVK589831:WVK589833 C655367:C655369 IY655367:IY655369 SU655367:SU655369 ACQ655367:ACQ655369 AMM655367:AMM655369 AWI655367:AWI655369 BGE655367:BGE655369 BQA655367:BQA655369 BZW655367:BZW655369 CJS655367:CJS655369 CTO655367:CTO655369 DDK655367:DDK655369 DNG655367:DNG655369 DXC655367:DXC655369 EGY655367:EGY655369 EQU655367:EQU655369 FAQ655367:FAQ655369 FKM655367:FKM655369 FUI655367:FUI655369 GEE655367:GEE655369 GOA655367:GOA655369 GXW655367:GXW655369 HHS655367:HHS655369 HRO655367:HRO655369 IBK655367:IBK655369 ILG655367:ILG655369 IVC655367:IVC655369 JEY655367:JEY655369 JOU655367:JOU655369 JYQ655367:JYQ655369 KIM655367:KIM655369 KSI655367:KSI655369 LCE655367:LCE655369 LMA655367:LMA655369 LVW655367:LVW655369 MFS655367:MFS655369 MPO655367:MPO655369 MZK655367:MZK655369 NJG655367:NJG655369 NTC655367:NTC655369 OCY655367:OCY655369 OMU655367:OMU655369 OWQ655367:OWQ655369 PGM655367:PGM655369 PQI655367:PQI655369 QAE655367:QAE655369 QKA655367:QKA655369 QTW655367:QTW655369 RDS655367:RDS655369 RNO655367:RNO655369 RXK655367:RXK655369 SHG655367:SHG655369 SRC655367:SRC655369 TAY655367:TAY655369 TKU655367:TKU655369 TUQ655367:TUQ655369 UEM655367:UEM655369 UOI655367:UOI655369 UYE655367:UYE655369 VIA655367:VIA655369 VRW655367:VRW655369 WBS655367:WBS655369 WLO655367:WLO655369 WVK655367:WVK655369 C720903:C720905 IY720903:IY720905 SU720903:SU720905 ACQ720903:ACQ720905 AMM720903:AMM720905 AWI720903:AWI720905 BGE720903:BGE720905 BQA720903:BQA720905 BZW720903:BZW720905 CJS720903:CJS720905 CTO720903:CTO720905 DDK720903:DDK720905 DNG720903:DNG720905 DXC720903:DXC720905 EGY720903:EGY720905 EQU720903:EQU720905 FAQ720903:FAQ720905 FKM720903:FKM720905 FUI720903:FUI720905 GEE720903:GEE720905 GOA720903:GOA720905 GXW720903:GXW720905 HHS720903:HHS720905 HRO720903:HRO720905 IBK720903:IBK720905 ILG720903:ILG720905 IVC720903:IVC720905 JEY720903:JEY720905 JOU720903:JOU720905 JYQ720903:JYQ720905 KIM720903:KIM720905 KSI720903:KSI720905 LCE720903:LCE720905 LMA720903:LMA720905 LVW720903:LVW720905 MFS720903:MFS720905 MPO720903:MPO720905 MZK720903:MZK720905 NJG720903:NJG720905 NTC720903:NTC720905 OCY720903:OCY720905 OMU720903:OMU720905 OWQ720903:OWQ720905 PGM720903:PGM720905 PQI720903:PQI720905 QAE720903:QAE720905 QKA720903:QKA720905 QTW720903:QTW720905 RDS720903:RDS720905 RNO720903:RNO720905 RXK720903:RXK720905 SHG720903:SHG720905 SRC720903:SRC720905 TAY720903:TAY720905 TKU720903:TKU720905 TUQ720903:TUQ720905 UEM720903:UEM720905 UOI720903:UOI720905 UYE720903:UYE720905 VIA720903:VIA720905 VRW720903:VRW720905 WBS720903:WBS720905 WLO720903:WLO720905 WVK720903:WVK720905 C786439:C786441 IY786439:IY786441 SU786439:SU786441 ACQ786439:ACQ786441 AMM786439:AMM786441 AWI786439:AWI786441 BGE786439:BGE786441 BQA786439:BQA786441 BZW786439:BZW786441 CJS786439:CJS786441 CTO786439:CTO786441 DDK786439:DDK786441 DNG786439:DNG786441 DXC786439:DXC786441 EGY786439:EGY786441 EQU786439:EQU786441 FAQ786439:FAQ786441 FKM786439:FKM786441 FUI786439:FUI786441 GEE786439:GEE786441 GOA786439:GOA786441 GXW786439:GXW786441 HHS786439:HHS786441 HRO786439:HRO786441 IBK786439:IBK786441 ILG786439:ILG786441 IVC786439:IVC786441 JEY786439:JEY786441 JOU786439:JOU786441 JYQ786439:JYQ786441 KIM786439:KIM786441 KSI786439:KSI786441 LCE786439:LCE786441 LMA786439:LMA786441 LVW786439:LVW786441 MFS786439:MFS786441 MPO786439:MPO786441 MZK786439:MZK786441 NJG786439:NJG786441 NTC786439:NTC786441 OCY786439:OCY786441 OMU786439:OMU786441 OWQ786439:OWQ786441 PGM786439:PGM786441 PQI786439:PQI786441 QAE786439:QAE786441 QKA786439:QKA786441 QTW786439:QTW786441 RDS786439:RDS786441 RNO786439:RNO786441 RXK786439:RXK786441 SHG786439:SHG786441 SRC786439:SRC786441 TAY786439:TAY786441 TKU786439:TKU786441 TUQ786439:TUQ786441 UEM786439:UEM786441 UOI786439:UOI786441 UYE786439:UYE786441 VIA786439:VIA786441 VRW786439:VRW786441 WBS786439:WBS786441 WLO786439:WLO786441 WVK786439:WVK786441 C851975:C851977 IY851975:IY851977 SU851975:SU851977 ACQ851975:ACQ851977 AMM851975:AMM851977 AWI851975:AWI851977 BGE851975:BGE851977 BQA851975:BQA851977 BZW851975:BZW851977 CJS851975:CJS851977 CTO851975:CTO851977 DDK851975:DDK851977 DNG851975:DNG851977 DXC851975:DXC851977 EGY851975:EGY851977 EQU851975:EQU851977 FAQ851975:FAQ851977 FKM851975:FKM851977 FUI851975:FUI851977 GEE851975:GEE851977 GOA851975:GOA851977 GXW851975:GXW851977 HHS851975:HHS851977 HRO851975:HRO851977 IBK851975:IBK851977 ILG851975:ILG851977 IVC851975:IVC851977 JEY851975:JEY851977 JOU851975:JOU851977 JYQ851975:JYQ851977 KIM851975:KIM851977 KSI851975:KSI851977 LCE851975:LCE851977 LMA851975:LMA851977 LVW851975:LVW851977 MFS851975:MFS851977 MPO851975:MPO851977 MZK851975:MZK851977 NJG851975:NJG851977 NTC851975:NTC851977 OCY851975:OCY851977 OMU851975:OMU851977 OWQ851975:OWQ851977 PGM851975:PGM851977 PQI851975:PQI851977 QAE851975:QAE851977 QKA851975:QKA851977 QTW851975:QTW851977 RDS851975:RDS851977 RNO851975:RNO851977 RXK851975:RXK851977 SHG851975:SHG851977 SRC851975:SRC851977 TAY851975:TAY851977 TKU851975:TKU851977 TUQ851975:TUQ851977 UEM851975:UEM851977 UOI851975:UOI851977 UYE851975:UYE851977 VIA851975:VIA851977 VRW851975:VRW851977 WBS851975:WBS851977 WLO851975:WLO851977 WVK851975:WVK851977 C917511:C917513 IY917511:IY917513 SU917511:SU917513 ACQ917511:ACQ917513 AMM917511:AMM917513 AWI917511:AWI917513 BGE917511:BGE917513 BQA917511:BQA917513 BZW917511:BZW917513 CJS917511:CJS917513 CTO917511:CTO917513 DDK917511:DDK917513 DNG917511:DNG917513 DXC917511:DXC917513 EGY917511:EGY917513 EQU917511:EQU917513 FAQ917511:FAQ917513 FKM917511:FKM917513 FUI917511:FUI917513 GEE917511:GEE917513 GOA917511:GOA917513 GXW917511:GXW917513 HHS917511:HHS917513 HRO917511:HRO917513 IBK917511:IBK917513 ILG917511:ILG917513 IVC917511:IVC917513 JEY917511:JEY917513 JOU917511:JOU917513 JYQ917511:JYQ917513 KIM917511:KIM917513 KSI917511:KSI917513 LCE917511:LCE917513 LMA917511:LMA917513 LVW917511:LVW917513 MFS917511:MFS917513 MPO917511:MPO917513 MZK917511:MZK917513 NJG917511:NJG917513 NTC917511:NTC917513 OCY917511:OCY917513 OMU917511:OMU917513 OWQ917511:OWQ917513 PGM917511:PGM917513 PQI917511:PQI917513 QAE917511:QAE917513 QKA917511:QKA917513 QTW917511:QTW917513 RDS917511:RDS917513 RNO917511:RNO917513 RXK917511:RXK917513 SHG917511:SHG917513 SRC917511:SRC917513 TAY917511:TAY917513 TKU917511:TKU917513 TUQ917511:TUQ917513 UEM917511:UEM917513 UOI917511:UOI917513 UYE917511:UYE917513 VIA917511:VIA917513 VRW917511:VRW917513 WBS917511:WBS917513 WLO917511:WLO917513 WVK917511:WVK917513 C983047:C983049 IY983047:IY983049 SU983047:SU983049 ACQ983047:ACQ983049 AMM983047:AMM983049 AWI983047:AWI983049 BGE983047:BGE983049 BQA983047:BQA983049 BZW983047:BZW983049 CJS983047:CJS983049 CTO983047:CTO983049 DDK983047:DDK983049 DNG983047:DNG983049 DXC983047:DXC983049 EGY983047:EGY983049 EQU983047:EQU983049 FAQ983047:FAQ983049 FKM983047:FKM983049 FUI983047:FUI983049 GEE983047:GEE983049 GOA983047:GOA983049 GXW983047:GXW983049 HHS983047:HHS983049 HRO983047:HRO983049 IBK983047:IBK983049 ILG983047:ILG983049 IVC983047:IVC983049 JEY983047:JEY983049 JOU983047:JOU983049 JYQ983047:JYQ983049 KIM983047:KIM983049 KSI983047:KSI983049 LCE983047:LCE983049 LMA983047:LMA983049 LVW983047:LVW983049 MFS983047:MFS983049 MPO983047:MPO983049 MZK983047:MZK983049 NJG983047:NJG983049 NTC983047:NTC983049 OCY983047:OCY983049 OMU983047:OMU983049 OWQ983047:OWQ983049 PGM983047:PGM983049 PQI983047:PQI983049 QAE983047:QAE983049 QKA983047:QKA983049 QTW983047:QTW983049 RDS983047:RDS983049 RNO983047:RNO983049 RXK983047:RXK983049 SHG983047:SHG983049 SRC983047:SRC983049 TAY983047:TAY983049 TKU983047:TKU983049 TUQ983047:TUQ983049 UEM983047:UEM983049 UOI983047:UOI983049 UYE983047:UYE983049 VIA983047:VIA983049 VRW983047:VRW983049 WBS983047:WBS983049 WLO983047:WLO983049 WVK983047:WVK98304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M983070:JZ983070 TI983070:TV983070 ADE983070:ADR983070 ANA983070:ANN983070 AWW983070:AXJ983070 BGS983070:BHF983070 BQO983070:BRB983070 CAK983070:CAX983070 CKG983070:CKT983070 CUC983070:CUP983070 DDY983070:DEL983070 DNU983070:DOH983070 DXQ983070:DYD983070 EHM983070:EHZ983070 ERI983070:ERV983070 FBE983070:FBR983070 FLA983070:FLN983070 FUW983070:FVJ983070 GES983070:GFF983070 GOO983070:GPB983070 GYK983070:GYX983070 HIG983070:HIT983070 HSC983070:HSP983070 IBY983070:ICL983070 ILU983070:IMH983070 IVQ983070:IWD983070 JFM983070:JFZ983070 JPI983070:JPV983070 JZE983070:JZR983070 KJA983070:KJN983070 KSW983070:KTJ983070 LCS983070:LDF983070 LMO983070:LNB983070 LWK983070:LWX983070 MGG983070:MGT983070 MQC983070:MQP983070 MZY983070:NAL983070 NJU983070:NKH983070 NTQ983070:NUD983070 ODM983070:ODZ983070 ONI983070:ONV983070 OXE983070:OXR983070 PHA983070:PHN983070 PQW983070:PRJ983070 QAS983070:QBF983070 QKO983070:QLB983070 QUK983070:QUX983070 REG983070:RET983070 ROC983070:ROP983070 RXY983070:RYL983070 SHU983070:SIH983070 SRQ983070:SSD983070 TBM983070:TBZ983070 TLI983070:TLV983070 TVE983070:TVR983070 UFA983070:UFN983070 UOW983070:UPJ983070 UYS983070:UZF983070 VIO983070:VJB983070 VSK983070:VSX983070 WCG983070:WCT983070 WMC983070:WMP983070 WVY983070:WWL983070 Q65566:AD65566 JM65566:JZ65566 TI65566:TV65566 ADE65566:ADR65566 ANA65566:ANN65566 AWW65566:AXJ65566 BGS65566:BHF65566 BQO65566:BRB65566 CAK65566:CAX65566 CKG65566:CKT65566 CUC65566:CUP65566 DDY65566:DEL65566 DNU65566:DOH65566 DXQ65566:DYD65566 EHM65566:EHZ65566 ERI65566:ERV65566 FBE65566:FBR65566 FLA65566:FLN65566 FUW65566:FVJ65566 GES65566:GFF65566 GOO65566:GPB65566 GYK65566:GYX65566 HIG65566:HIT65566 HSC65566:HSP65566 IBY65566:ICL65566 ILU65566:IMH65566 IVQ65566:IWD65566 JFM65566:JFZ65566 JPI65566:JPV65566 JZE65566:JZR65566 KJA65566:KJN65566 KSW65566:KTJ65566 LCS65566:LDF65566 LMO65566:LNB65566 LWK65566:LWX65566 MGG65566:MGT65566 MQC65566:MQP65566 MZY65566:NAL65566 NJU65566:NKH65566 NTQ65566:NUD65566 ODM65566:ODZ65566 ONI65566:ONV65566 OXE65566:OXR65566 PHA65566:PHN65566 PQW65566:PRJ65566 QAS65566:QBF65566 QKO65566:QLB65566 QUK65566:QUX65566 REG65566:RET65566 ROC65566:ROP65566 RXY65566:RYL65566 SHU65566:SIH65566 SRQ65566:SSD65566 TBM65566:TBZ65566 TLI65566:TLV65566 TVE65566:TVR65566 UFA65566:UFN65566 UOW65566:UPJ65566 UYS65566:UZF65566 VIO65566:VJB65566 VSK65566:VSX65566 WCG65566:WCT65566 WMC65566:WMP65566 WVY65566:WWL65566 Q131102:AD131102 JM131102:JZ131102 TI131102:TV131102 ADE131102:ADR131102 ANA131102:ANN131102 AWW131102:AXJ131102 BGS131102:BHF131102 BQO131102:BRB131102 CAK131102:CAX131102 CKG131102:CKT131102 CUC131102:CUP131102 DDY131102:DEL131102 DNU131102:DOH131102 DXQ131102:DYD131102 EHM131102:EHZ131102 ERI131102:ERV131102 FBE131102:FBR131102 FLA131102:FLN131102 FUW131102:FVJ131102 GES131102:GFF131102 GOO131102:GPB131102 GYK131102:GYX131102 HIG131102:HIT131102 HSC131102:HSP131102 IBY131102:ICL131102 ILU131102:IMH131102 IVQ131102:IWD131102 JFM131102:JFZ131102 JPI131102:JPV131102 JZE131102:JZR131102 KJA131102:KJN131102 KSW131102:KTJ131102 LCS131102:LDF131102 LMO131102:LNB131102 LWK131102:LWX131102 MGG131102:MGT131102 MQC131102:MQP131102 MZY131102:NAL131102 NJU131102:NKH131102 NTQ131102:NUD131102 ODM131102:ODZ131102 ONI131102:ONV131102 OXE131102:OXR131102 PHA131102:PHN131102 PQW131102:PRJ131102 QAS131102:QBF131102 QKO131102:QLB131102 QUK131102:QUX131102 REG131102:RET131102 ROC131102:ROP131102 RXY131102:RYL131102 SHU131102:SIH131102 SRQ131102:SSD131102 TBM131102:TBZ131102 TLI131102:TLV131102 TVE131102:TVR131102 UFA131102:UFN131102 UOW131102:UPJ131102 UYS131102:UZF131102 VIO131102:VJB131102 VSK131102:VSX131102 WCG131102:WCT131102 WMC131102:WMP131102 WVY131102:WWL131102 Q196638:AD196638 JM196638:JZ196638 TI196638:TV196638 ADE196638:ADR196638 ANA196638:ANN196638 AWW196638:AXJ196638 BGS196638:BHF196638 BQO196638:BRB196638 CAK196638:CAX196638 CKG196638:CKT196638 CUC196638:CUP196638 DDY196638:DEL196638 DNU196638:DOH196638 DXQ196638:DYD196638 EHM196638:EHZ196638 ERI196638:ERV196638 FBE196638:FBR196638 FLA196638:FLN196638 FUW196638:FVJ196638 GES196638:GFF196638 GOO196638:GPB196638 GYK196638:GYX196638 HIG196638:HIT196638 HSC196638:HSP196638 IBY196638:ICL196638 ILU196638:IMH196638 IVQ196638:IWD196638 JFM196638:JFZ196638 JPI196638:JPV196638 JZE196638:JZR196638 KJA196638:KJN196638 KSW196638:KTJ196638 LCS196638:LDF196638 LMO196638:LNB196638 LWK196638:LWX196638 MGG196638:MGT196638 MQC196638:MQP196638 MZY196638:NAL196638 NJU196638:NKH196638 NTQ196638:NUD196638 ODM196638:ODZ196638 ONI196638:ONV196638 OXE196638:OXR196638 PHA196638:PHN196638 PQW196638:PRJ196638 QAS196638:QBF196638 QKO196638:QLB196638 QUK196638:QUX196638 REG196638:RET196638 ROC196638:ROP196638 RXY196638:RYL196638 SHU196638:SIH196638 SRQ196638:SSD196638 TBM196638:TBZ196638 TLI196638:TLV196638 TVE196638:TVR196638 UFA196638:UFN196638 UOW196638:UPJ196638 UYS196638:UZF196638 VIO196638:VJB196638 VSK196638:VSX196638 WCG196638:WCT196638 WMC196638:WMP196638 WVY196638:WWL196638 Q262174:AD262174 JM262174:JZ262174 TI262174:TV262174 ADE262174:ADR262174 ANA262174:ANN262174 AWW262174:AXJ262174 BGS262174:BHF262174 BQO262174:BRB262174 CAK262174:CAX262174 CKG262174:CKT262174 CUC262174:CUP262174 DDY262174:DEL262174 DNU262174:DOH262174 DXQ262174:DYD262174 EHM262174:EHZ262174 ERI262174:ERV262174 FBE262174:FBR262174 FLA262174:FLN262174 FUW262174:FVJ262174 GES262174:GFF262174 GOO262174:GPB262174 GYK262174:GYX262174 HIG262174:HIT262174 HSC262174:HSP262174 IBY262174:ICL262174 ILU262174:IMH262174 IVQ262174:IWD262174 JFM262174:JFZ262174 JPI262174:JPV262174 JZE262174:JZR262174 KJA262174:KJN262174 KSW262174:KTJ262174 LCS262174:LDF262174 LMO262174:LNB262174 LWK262174:LWX262174 MGG262174:MGT262174 MQC262174:MQP262174 MZY262174:NAL262174 NJU262174:NKH262174 NTQ262174:NUD262174 ODM262174:ODZ262174 ONI262174:ONV262174 OXE262174:OXR262174 PHA262174:PHN262174 PQW262174:PRJ262174 QAS262174:QBF262174 QKO262174:QLB262174 QUK262174:QUX262174 REG262174:RET262174 ROC262174:ROP262174 RXY262174:RYL262174 SHU262174:SIH262174 SRQ262174:SSD262174 TBM262174:TBZ262174 TLI262174:TLV262174 TVE262174:TVR262174 UFA262174:UFN262174 UOW262174:UPJ262174 UYS262174:UZF262174 VIO262174:VJB262174 VSK262174:VSX262174 WCG262174:WCT262174 WMC262174:WMP262174 WVY262174:WWL262174 Q327710:AD327710 JM327710:JZ327710 TI327710:TV327710 ADE327710:ADR327710 ANA327710:ANN327710 AWW327710:AXJ327710 BGS327710:BHF327710 BQO327710:BRB327710 CAK327710:CAX327710 CKG327710:CKT327710 CUC327710:CUP327710 DDY327710:DEL327710 DNU327710:DOH327710 DXQ327710:DYD327710 EHM327710:EHZ327710 ERI327710:ERV327710 FBE327710:FBR327710 FLA327710:FLN327710 FUW327710:FVJ327710 GES327710:GFF327710 GOO327710:GPB327710 GYK327710:GYX327710 HIG327710:HIT327710 HSC327710:HSP327710 IBY327710:ICL327710 ILU327710:IMH327710 IVQ327710:IWD327710 JFM327710:JFZ327710 JPI327710:JPV327710 JZE327710:JZR327710 KJA327710:KJN327710 KSW327710:KTJ327710 LCS327710:LDF327710 LMO327710:LNB327710 LWK327710:LWX327710 MGG327710:MGT327710 MQC327710:MQP327710 MZY327710:NAL327710 NJU327710:NKH327710 NTQ327710:NUD327710 ODM327710:ODZ327710 ONI327710:ONV327710 OXE327710:OXR327710 PHA327710:PHN327710 PQW327710:PRJ327710 QAS327710:QBF327710 QKO327710:QLB327710 QUK327710:QUX327710 REG327710:RET327710 ROC327710:ROP327710 RXY327710:RYL327710 SHU327710:SIH327710 SRQ327710:SSD327710 TBM327710:TBZ327710 TLI327710:TLV327710 TVE327710:TVR327710 UFA327710:UFN327710 UOW327710:UPJ327710 UYS327710:UZF327710 VIO327710:VJB327710 VSK327710:VSX327710 WCG327710:WCT327710 WMC327710:WMP327710 WVY327710:WWL327710 Q393246:AD393246 JM393246:JZ393246 TI393246:TV393246 ADE393246:ADR393246 ANA393246:ANN393246 AWW393246:AXJ393246 BGS393246:BHF393246 BQO393246:BRB393246 CAK393246:CAX393246 CKG393246:CKT393246 CUC393246:CUP393246 DDY393246:DEL393246 DNU393246:DOH393246 DXQ393246:DYD393246 EHM393246:EHZ393246 ERI393246:ERV393246 FBE393246:FBR393246 FLA393246:FLN393246 FUW393246:FVJ393246 GES393246:GFF393246 GOO393246:GPB393246 GYK393246:GYX393246 HIG393246:HIT393246 HSC393246:HSP393246 IBY393246:ICL393246 ILU393246:IMH393246 IVQ393246:IWD393246 JFM393246:JFZ393246 JPI393246:JPV393246 JZE393246:JZR393246 KJA393246:KJN393246 KSW393246:KTJ393246 LCS393246:LDF393246 LMO393246:LNB393246 LWK393246:LWX393246 MGG393246:MGT393246 MQC393246:MQP393246 MZY393246:NAL393246 NJU393246:NKH393246 NTQ393246:NUD393246 ODM393246:ODZ393246 ONI393246:ONV393246 OXE393246:OXR393246 PHA393246:PHN393246 PQW393246:PRJ393246 QAS393246:QBF393246 QKO393246:QLB393246 QUK393246:QUX393246 REG393246:RET393246 ROC393246:ROP393246 RXY393246:RYL393246 SHU393246:SIH393246 SRQ393246:SSD393246 TBM393246:TBZ393246 TLI393246:TLV393246 TVE393246:TVR393246 UFA393246:UFN393246 UOW393246:UPJ393246 UYS393246:UZF393246 VIO393246:VJB393246 VSK393246:VSX393246 WCG393246:WCT393246 WMC393246:WMP393246 WVY393246:WWL393246 Q458782:AD458782 JM458782:JZ458782 TI458782:TV458782 ADE458782:ADR458782 ANA458782:ANN458782 AWW458782:AXJ458782 BGS458782:BHF458782 BQO458782:BRB458782 CAK458782:CAX458782 CKG458782:CKT458782 CUC458782:CUP458782 DDY458782:DEL458782 DNU458782:DOH458782 DXQ458782:DYD458782 EHM458782:EHZ458782 ERI458782:ERV458782 FBE458782:FBR458782 FLA458782:FLN458782 FUW458782:FVJ458782 GES458782:GFF458782 GOO458782:GPB458782 GYK458782:GYX458782 HIG458782:HIT458782 HSC458782:HSP458782 IBY458782:ICL458782 ILU458782:IMH458782 IVQ458782:IWD458782 JFM458782:JFZ458782 JPI458782:JPV458782 JZE458782:JZR458782 KJA458782:KJN458782 KSW458782:KTJ458782 LCS458782:LDF458782 LMO458782:LNB458782 LWK458782:LWX458782 MGG458782:MGT458782 MQC458782:MQP458782 MZY458782:NAL458782 NJU458782:NKH458782 NTQ458782:NUD458782 ODM458782:ODZ458782 ONI458782:ONV458782 OXE458782:OXR458782 PHA458782:PHN458782 PQW458782:PRJ458782 QAS458782:QBF458782 QKO458782:QLB458782 QUK458782:QUX458782 REG458782:RET458782 ROC458782:ROP458782 RXY458782:RYL458782 SHU458782:SIH458782 SRQ458782:SSD458782 TBM458782:TBZ458782 TLI458782:TLV458782 TVE458782:TVR458782 UFA458782:UFN458782 UOW458782:UPJ458782 UYS458782:UZF458782 VIO458782:VJB458782 VSK458782:VSX458782 WCG458782:WCT458782 WMC458782:WMP458782 WVY458782:WWL458782 Q524318:AD524318 JM524318:JZ524318 TI524318:TV524318 ADE524318:ADR524318 ANA524318:ANN524318 AWW524318:AXJ524318 BGS524318:BHF524318 BQO524318:BRB524318 CAK524318:CAX524318 CKG524318:CKT524318 CUC524318:CUP524318 DDY524318:DEL524318 DNU524318:DOH524318 DXQ524318:DYD524318 EHM524318:EHZ524318 ERI524318:ERV524318 FBE524318:FBR524318 FLA524318:FLN524318 FUW524318:FVJ524318 GES524318:GFF524318 GOO524318:GPB524318 GYK524318:GYX524318 HIG524318:HIT524318 HSC524318:HSP524318 IBY524318:ICL524318 ILU524318:IMH524318 IVQ524318:IWD524318 JFM524318:JFZ524318 JPI524318:JPV524318 JZE524318:JZR524318 KJA524318:KJN524318 KSW524318:KTJ524318 LCS524318:LDF524318 LMO524318:LNB524318 LWK524318:LWX524318 MGG524318:MGT524318 MQC524318:MQP524318 MZY524318:NAL524318 NJU524318:NKH524318 NTQ524318:NUD524318 ODM524318:ODZ524318 ONI524318:ONV524318 OXE524318:OXR524318 PHA524318:PHN524318 PQW524318:PRJ524318 QAS524318:QBF524318 QKO524318:QLB524318 QUK524318:QUX524318 REG524318:RET524318 ROC524318:ROP524318 RXY524318:RYL524318 SHU524318:SIH524318 SRQ524318:SSD524318 TBM524318:TBZ524318 TLI524318:TLV524318 TVE524318:TVR524318 UFA524318:UFN524318 UOW524318:UPJ524318 UYS524318:UZF524318 VIO524318:VJB524318 VSK524318:VSX524318 WCG524318:WCT524318 WMC524318:WMP524318 WVY524318:WWL524318 Q589854:AD589854 JM589854:JZ589854 TI589854:TV589854 ADE589854:ADR589854 ANA589854:ANN589854 AWW589854:AXJ589854 BGS589854:BHF589854 BQO589854:BRB589854 CAK589854:CAX589854 CKG589854:CKT589854 CUC589854:CUP589854 DDY589854:DEL589854 DNU589854:DOH589854 DXQ589854:DYD589854 EHM589854:EHZ589854 ERI589854:ERV589854 FBE589854:FBR589854 FLA589854:FLN589854 FUW589854:FVJ589854 GES589854:GFF589854 GOO589854:GPB589854 GYK589854:GYX589854 HIG589854:HIT589854 HSC589854:HSP589854 IBY589854:ICL589854 ILU589854:IMH589854 IVQ589854:IWD589854 JFM589854:JFZ589854 JPI589854:JPV589854 JZE589854:JZR589854 KJA589854:KJN589854 KSW589854:KTJ589854 LCS589854:LDF589854 LMO589854:LNB589854 LWK589854:LWX589854 MGG589854:MGT589854 MQC589854:MQP589854 MZY589854:NAL589854 NJU589854:NKH589854 NTQ589854:NUD589854 ODM589854:ODZ589854 ONI589854:ONV589854 OXE589854:OXR589854 PHA589854:PHN589854 PQW589854:PRJ589854 QAS589854:QBF589854 QKO589854:QLB589854 QUK589854:QUX589854 REG589854:RET589854 ROC589854:ROP589854 RXY589854:RYL589854 SHU589854:SIH589854 SRQ589854:SSD589854 TBM589854:TBZ589854 TLI589854:TLV589854 TVE589854:TVR589854 UFA589854:UFN589854 UOW589854:UPJ589854 UYS589854:UZF589854 VIO589854:VJB589854 VSK589854:VSX589854 WCG589854:WCT589854 WMC589854:WMP589854 WVY589854:WWL589854 Q655390:AD655390 JM655390:JZ655390 TI655390:TV655390 ADE655390:ADR655390 ANA655390:ANN655390 AWW655390:AXJ655390 BGS655390:BHF655390 BQO655390:BRB655390 CAK655390:CAX655390 CKG655390:CKT655390 CUC655390:CUP655390 DDY655390:DEL655390 DNU655390:DOH655390 DXQ655390:DYD655390 EHM655390:EHZ655390 ERI655390:ERV655390 FBE655390:FBR655390 FLA655390:FLN655390 FUW655390:FVJ655390 GES655390:GFF655390 GOO655390:GPB655390 GYK655390:GYX655390 HIG655390:HIT655390 HSC655390:HSP655390 IBY655390:ICL655390 ILU655390:IMH655390 IVQ655390:IWD655390 JFM655390:JFZ655390 JPI655390:JPV655390 JZE655390:JZR655390 KJA655390:KJN655390 KSW655390:KTJ655390 LCS655390:LDF655390 LMO655390:LNB655390 LWK655390:LWX655390 MGG655390:MGT655390 MQC655390:MQP655390 MZY655390:NAL655390 NJU655390:NKH655390 NTQ655390:NUD655390 ODM655390:ODZ655390 ONI655390:ONV655390 OXE655390:OXR655390 PHA655390:PHN655390 PQW655390:PRJ655390 QAS655390:QBF655390 QKO655390:QLB655390 QUK655390:QUX655390 REG655390:RET655390 ROC655390:ROP655390 RXY655390:RYL655390 SHU655390:SIH655390 SRQ655390:SSD655390 TBM655390:TBZ655390 TLI655390:TLV655390 TVE655390:TVR655390 UFA655390:UFN655390 UOW655390:UPJ655390 UYS655390:UZF655390 VIO655390:VJB655390 VSK655390:VSX655390 WCG655390:WCT655390 WMC655390:WMP655390 WVY655390:WWL655390 Q720926:AD720926 JM720926:JZ720926 TI720926:TV720926 ADE720926:ADR720926 ANA720926:ANN720926 AWW720926:AXJ720926 BGS720926:BHF720926 BQO720926:BRB720926 CAK720926:CAX720926 CKG720926:CKT720926 CUC720926:CUP720926 DDY720926:DEL720926 DNU720926:DOH720926 DXQ720926:DYD720926 EHM720926:EHZ720926 ERI720926:ERV720926 FBE720926:FBR720926 FLA720926:FLN720926 FUW720926:FVJ720926 GES720926:GFF720926 GOO720926:GPB720926 GYK720926:GYX720926 HIG720926:HIT720926 HSC720926:HSP720926 IBY720926:ICL720926 ILU720926:IMH720926 IVQ720926:IWD720926 JFM720926:JFZ720926 JPI720926:JPV720926 JZE720926:JZR720926 KJA720926:KJN720926 KSW720926:KTJ720926 LCS720926:LDF720926 LMO720926:LNB720926 LWK720926:LWX720926 MGG720926:MGT720926 MQC720926:MQP720926 MZY720926:NAL720926 NJU720926:NKH720926 NTQ720926:NUD720926 ODM720926:ODZ720926 ONI720926:ONV720926 OXE720926:OXR720926 PHA720926:PHN720926 PQW720926:PRJ720926 QAS720926:QBF720926 QKO720926:QLB720926 QUK720926:QUX720926 REG720926:RET720926 ROC720926:ROP720926 RXY720926:RYL720926 SHU720926:SIH720926 SRQ720926:SSD720926 TBM720926:TBZ720926 TLI720926:TLV720926 TVE720926:TVR720926 UFA720926:UFN720926 UOW720926:UPJ720926 UYS720926:UZF720926 VIO720926:VJB720926 VSK720926:VSX720926 WCG720926:WCT720926 WMC720926:WMP720926 WVY720926:WWL720926 Q786462:AD786462 JM786462:JZ786462 TI786462:TV786462 ADE786462:ADR786462 ANA786462:ANN786462 AWW786462:AXJ786462 BGS786462:BHF786462 BQO786462:BRB786462 CAK786462:CAX786462 CKG786462:CKT786462 CUC786462:CUP786462 DDY786462:DEL786462 DNU786462:DOH786462 DXQ786462:DYD786462 EHM786462:EHZ786462 ERI786462:ERV786462 FBE786462:FBR786462 FLA786462:FLN786462 FUW786462:FVJ786462 GES786462:GFF786462 GOO786462:GPB786462 GYK786462:GYX786462 HIG786462:HIT786462 HSC786462:HSP786462 IBY786462:ICL786462 ILU786462:IMH786462 IVQ786462:IWD786462 JFM786462:JFZ786462 JPI786462:JPV786462 JZE786462:JZR786462 KJA786462:KJN786462 KSW786462:KTJ786462 LCS786462:LDF786462 LMO786462:LNB786462 LWK786462:LWX786462 MGG786462:MGT786462 MQC786462:MQP786462 MZY786462:NAL786462 NJU786462:NKH786462 NTQ786462:NUD786462 ODM786462:ODZ786462 ONI786462:ONV786462 OXE786462:OXR786462 PHA786462:PHN786462 PQW786462:PRJ786462 QAS786462:QBF786462 QKO786462:QLB786462 QUK786462:QUX786462 REG786462:RET786462 ROC786462:ROP786462 RXY786462:RYL786462 SHU786462:SIH786462 SRQ786462:SSD786462 TBM786462:TBZ786462 TLI786462:TLV786462 TVE786462:TVR786462 UFA786462:UFN786462 UOW786462:UPJ786462 UYS786462:UZF786462 VIO786462:VJB786462 VSK786462:VSX786462 WCG786462:WCT786462 WMC786462:WMP786462 WVY786462:WWL786462 Q851998:AD851998 JM851998:JZ851998 TI851998:TV851998 ADE851998:ADR851998 ANA851998:ANN851998 AWW851998:AXJ851998 BGS851998:BHF851998 BQO851998:BRB851998 CAK851998:CAX851998 CKG851998:CKT851998 CUC851998:CUP851998 DDY851998:DEL851998 DNU851998:DOH851998 DXQ851998:DYD851998 EHM851998:EHZ851998 ERI851998:ERV851998 FBE851998:FBR851998 FLA851998:FLN851998 FUW851998:FVJ851998 GES851998:GFF851998 GOO851998:GPB851998 GYK851998:GYX851998 HIG851998:HIT851998 HSC851998:HSP851998 IBY851998:ICL851998 ILU851998:IMH851998 IVQ851998:IWD851998 JFM851998:JFZ851998 JPI851998:JPV851998 JZE851998:JZR851998 KJA851998:KJN851998 KSW851998:KTJ851998 LCS851998:LDF851998 LMO851998:LNB851998 LWK851998:LWX851998 MGG851998:MGT851998 MQC851998:MQP851998 MZY851998:NAL851998 NJU851998:NKH851998 NTQ851998:NUD851998 ODM851998:ODZ851998 ONI851998:ONV851998 OXE851998:OXR851998 PHA851998:PHN851998 PQW851998:PRJ851998 QAS851998:QBF851998 QKO851998:QLB851998 QUK851998:QUX851998 REG851998:RET851998 ROC851998:ROP851998 RXY851998:RYL851998 SHU851998:SIH851998 SRQ851998:SSD851998 TBM851998:TBZ851998 TLI851998:TLV851998 TVE851998:TVR851998 UFA851998:UFN851998 UOW851998:UPJ851998 UYS851998:UZF851998 VIO851998:VJB851998 VSK851998:VSX851998 WCG851998:WCT851998 WMC851998:WMP851998 WVY851998:WWL851998 Q917534:AD917534 JM917534:JZ917534 TI917534:TV917534 ADE917534:ADR917534 ANA917534:ANN917534 AWW917534:AXJ917534 BGS917534:BHF917534 BQO917534:BRB917534 CAK917534:CAX917534 CKG917534:CKT917534 CUC917534:CUP917534 DDY917534:DEL917534 DNU917534:DOH917534 DXQ917534:DYD917534 EHM917534:EHZ917534 ERI917534:ERV917534 FBE917534:FBR917534 FLA917534:FLN917534 FUW917534:FVJ917534 GES917534:GFF917534 GOO917534:GPB917534 GYK917534:GYX917534 HIG917534:HIT917534 HSC917534:HSP917534 IBY917534:ICL917534 ILU917534:IMH917534 IVQ917534:IWD917534 JFM917534:JFZ917534 JPI917534:JPV917534 JZE917534:JZR917534 KJA917534:KJN917534 KSW917534:KTJ917534 LCS917534:LDF917534 LMO917534:LNB917534 LWK917534:LWX917534 MGG917534:MGT917534 MQC917534:MQP917534 MZY917534:NAL917534 NJU917534:NKH917534 NTQ917534:NUD917534 ODM917534:ODZ917534 ONI917534:ONV917534 OXE917534:OXR917534 PHA917534:PHN917534 PQW917534:PRJ917534 QAS917534:QBF917534 QKO917534:QLB917534 QUK917534:QUX917534 REG917534:RET917534 ROC917534:ROP917534 RXY917534:RYL917534 SHU917534:SIH917534 SRQ917534:SSD917534 TBM917534:TBZ917534 TLI917534:TLV917534 TVE917534:TVR917534 UFA917534:UFN917534 UOW917534:UPJ917534 UYS917534:UZF917534 VIO917534:VJB917534 VSK917534:VSX917534 WCG917534:WCT917534 WMC917534:WMP917534 WVY917534:WWL917534 JM30:JZ30 TI30:TV30 ADE30:ADR30 ANA30:ANN30 AWW30:AXJ30 BGS30:BHF30 BQO30:BRB30 CAK30:CAX30 CKG30:CKT30 CUC30:CUP30 DDY30:DEL30 DNU30:DOH30 DXQ30:DYD30 EHM30:EHZ30 ERI30:ERV30 FBE30:FBR30 FLA30:FLN30 FUW30:FVJ30 GES30:GFF30 GOO30:GPB30 GYK30:GYX30 HIG30:HIT30 HSC30:HSP30 IBY30:ICL30 ILU30:IMH30 IVQ30:IWD30 JFM30:JFZ30 JPI30:JPV30 JZE30:JZR30 KJA30:KJN30 KSW30:KTJ30 LCS30:LDF30 LMO30:LNB30 LWK30:LWX30 MGG30:MGT30 MQC30:MQP30 MZY30:NAL30 NJU30:NKH30 NTQ30:NUD30 ODM30:ODZ30 ONI30:ONV30 OXE30:OXR30 PHA30:PHN30 PQW30:PRJ30 QAS30:QBF30 QKO30:QLB30 QUK30:QUX30 REG30:RET30 ROC30:ROP30 RXY30:RYL30 SHU30:SIH30 SRQ30:SSD30 TBM30:TBZ30 TLI30:TLV30 TVE30:TVR30 UFA30:UFN30 UOW30:UPJ30 UYS30:UZF30 VIO30:VJB30 VSK30:VSX30 WCG30:WCT30 WMC30:WMP30 WVY30:WWL30 Q30:AD30" xr:uid="{E09B5759-E503-4316-8062-6214A6937D52}">
      <formula1>2000</formula1>
    </dataValidation>
    <dataValidation type="textLength" operator="lessThanOrEqual" allowBlank="1" showInputMessage="1" showErrorMessage="1" errorTitle="Máximo 2.000 caracteres" error="Máximo 2.000 caracteres" sqref="Q786470:AD786481 JM786470:JZ786481 TI786470:TV786481 ADE786470:ADR786481 ANA786470:ANN786481 AWW786470:AXJ786481 BGS786470:BHF786481 BQO786470:BRB786481 CAK786470:CAX786481 CKG786470:CKT786481 CUC786470:CUP786481 DDY786470:DEL786481 DNU786470:DOH786481 DXQ786470:DYD786481 EHM786470:EHZ786481 ERI786470:ERV786481 FBE786470:FBR786481 FLA786470:FLN786481 FUW786470:FVJ786481 GES786470:GFF786481 GOO786470:GPB786481 GYK786470:GYX786481 HIG786470:HIT786481 HSC786470:HSP786481 IBY786470:ICL786481 ILU786470:IMH786481 IVQ786470:IWD786481 JFM786470:JFZ786481 JPI786470:JPV786481 JZE786470:JZR786481 KJA786470:KJN786481 KSW786470:KTJ786481 LCS786470:LDF786481 LMO786470:LNB786481 LWK786470:LWX786481 MGG786470:MGT786481 MQC786470:MQP786481 MZY786470:NAL786481 NJU786470:NKH786481 NTQ786470:NUD786481 ODM786470:ODZ786481 ONI786470:ONV786481 OXE786470:OXR786481 PHA786470:PHN786481 PQW786470:PRJ786481 QAS786470:QBF786481 QKO786470:QLB786481 QUK786470:QUX786481 REG786470:RET786481 ROC786470:ROP786481 RXY786470:RYL786481 SHU786470:SIH786481 SRQ786470:SSD786481 TBM786470:TBZ786481 TLI786470:TLV786481 TVE786470:TVR786481 UFA786470:UFN786481 UOW786470:UPJ786481 UYS786470:UZF786481 VIO786470:VJB786481 VSK786470:VSX786481 WCG786470:WCT786481 WMC786470:WMP786481 WVY786470:WWL786481 AA65570 JW65570 TS65570 ADO65570 ANK65570 AXG65570 BHC65570 BQY65570 CAU65570 CKQ65570 CUM65570 DEI65570 DOE65570 DYA65570 EHW65570 ERS65570 FBO65570 FLK65570 FVG65570 GFC65570 GOY65570 GYU65570 HIQ65570 HSM65570 ICI65570 IME65570 IWA65570 JFW65570 JPS65570 JZO65570 KJK65570 KTG65570 LDC65570 LMY65570 LWU65570 MGQ65570 MQM65570 NAI65570 NKE65570 NUA65570 ODW65570 ONS65570 OXO65570 PHK65570 PRG65570 QBC65570 QKY65570 QUU65570 REQ65570 ROM65570 RYI65570 SIE65570 SSA65570 TBW65570 TLS65570 TVO65570 UFK65570 UPG65570 UZC65570 VIY65570 VSU65570 WCQ65570 WMM65570 WWI65570 AA131106 JW131106 TS131106 ADO131106 ANK131106 AXG131106 BHC131106 BQY131106 CAU131106 CKQ131106 CUM131106 DEI131106 DOE131106 DYA131106 EHW131106 ERS131106 FBO131106 FLK131106 FVG131106 GFC131106 GOY131106 GYU131106 HIQ131106 HSM131106 ICI131106 IME131106 IWA131106 JFW131106 JPS131106 JZO131106 KJK131106 KTG131106 LDC131106 LMY131106 LWU131106 MGQ131106 MQM131106 NAI131106 NKE131106 NUA131106 ODW131106 ONS131106 OXO131106 PHK131106 PRG131106 QBC131106 QKY131106 QUU131106 REQ131106 ROM131106 RYI131106 SIE131106 SSA131106 TBW131106 TLS131106 TVO131106 UFK131106 UPG131106 UZC131106 VIY131106 VSU131106 WCQ131106 WMM131106 WWI131106 AA196642 JW196642 TS196642 ADO196642 ANK196642 AXG196642 BHC196642 BQY196642 CAU196642 CKQ196642 CUM196642 DEI196642 DOE196642 DYA196642 EHW196642 ERS196642 FBO196642 FLK196642 FVG196642 GFC196642 GOY196642 GYU196642 HIQ196642 HSM196642 ICI196642 IME196642 IWA196642 JFW196642 JPS196642 JZO196642 KJK196642 KTG196642 LDC196642 LMY196642 LWU196642 MGQ196642 MQM196642 NAI196642 NKE196642 NUA196642 ODW196642 ONS196642 OXO196642 PHK196642 PRG196642 QBC196642 QKY196642 QUU196642 REQ196642 ROM196642 RYI196642 SIE196642 SSA196642 TBW196642 TLS196642 TVO196642 UFK196642 UPG196642 UZC196642 VIY196642 VSU196642 WCQ196642 WMM196642 WWI196642 AA262178 JW262178 TS262178 ADO262178 ANK262178 AXG262178 BHC262178 BQY262178 CAU262178 CKQ262178 CUM262178 DEI262178 DOE262178 DYA262178 EHW262178 ERS262178 FBO262178 FLK262178 FVG262178 GFC262178 GOY262178 GYU262178 HIQ262178 HSM262178 ICI262178 IME262178 IWA262178 JFW262178 JPS262178 JZO262178 KJK262178 KTG262178 LDC262178 LMY262178 LWU262178 MGQ262178 MQM262178 NAI262178 NKE262178 NUA262178 ODW262178 ONS262178 OXO262178 PHK262178 PRG262178 QBC262178 QKY262178 QUU262178 REQ262178 ROM262178 RYI262178 SIE262178 SSA262178 TBW262178 TLS262178 TVO262178 UFK262178 UPG262178 UZC262178 VIY262178 VSU262178 WCQ262178 WMM262178 WWI262178 AA327714 JW327714 TS327714 ADO327714 ANK327714 AXG327714 BHC327714 BQY327714 CAU327714 CKQ327714 CUM327714 DEI327714 DOE327714 DYA327714 EHW327714 ERS327714 FBO327714 FLK327714 FVG327714 GFC327714 GOY327714 GYU327714 HIQ327714 HSM327714 ICI327714 IME327714 IWA327714 JFW327714 JPS327714 JZO327714 KJK327714 KTG327714 LDC327714 LMY327714 LWU327714 MGQ327714 MQM327714 NAI327714 NKE327714 NUA327714 ODW327714 ONS327714 OXO327714 PHK327714 PRG327714 QBC327714 QKY327714 QUU327714 REQ327714 ROM327714 RYI327714 SIE327714 SSA327714 TBW327714 TLS327714 TVO327714 UFK327714 UPG327714 UZC327714 VIY327714 VSU327714 WCQ327714 WMM327714 WWI327714 AA393250 JW393250 TS393250 ADO393250 ANK393250 AXG393250 BHC393250 BQY393250 CAU393250 CKQ393250 CUM393250 DEI393250 DOE393250 DYA393250 EHW393250 ERS393250 FBO393250 FLK393250 FVG393250 GFC393250 GOY393250 GYU393250 HIQ393250 HSM393250 ICI393250 IME393250 IWA393250 JFW393250 JPS393250 JZO393250 KJK393250 KTG393250 LDC393250 LMY393250 LWU393250 MGQ393250 MQM393250 NAI393250 NKE393250 NUA393250 ODW393250 ONS393250 OXO393250 PHK393250 PRG393250 QBC393250 QKY393250 QUU393250 REQ393250 ROM393250 RYI393250 SIE393250 SSA393250 TBW393250 TLS393250 TVO393250 UFK393250 UPG393250 UZC393250 VIY393250 VSU393250 WCQ393250 WMM393250 WWI393250 AA458786 JW458786 TS458786 ADO458786 ANK458786 AXG458786 BHC458786 BQY458786 CAU458786 CKQ458786 CUM458786 DEI458786 DOE458786 DYA458786 EHW458786 ERS458786 FBO458786 FLK458786 FVG458786 GFC458786 GOY458786 GYU458786 HIQ458786 HSM458786 ICI458786 IME458786 IWA458786 JFW458786 JPS458786 JZO458786 KJK458786 KTG458786 LDC458786 LMY458786 LWU458786 MGQ458786 MQM458786 NAI458786 NKE458786 NUA458786 ODW458786 ONS458786 OXO458786 PHK458786 PRG458786 QBC458786 QKY458786 QUU458786 REQ458786 ROM458786 RYI458786 SIE458786 SSA458786 TBW458786 TLS458786 TVO458786 UFK458786 UPG458786 UZC458786 VIY458786 VSU458786 WCQ458786 WMM458786 WWI458786 AA524322 JW524322 TS524322 ADO524322 ANK524322 AXG524322 BHC524322 BQY524322 CAU524322 CKQ524322 CUM524322 DEI524322 DOE524322 DYA524322 EHW524322 ERS524322 FBO524322 FLK524322 FVG524322 GFC524322 GOY524322 GYU524322 HIQ524322 HSM524322 ICI524322 IME524322 IWA524322 JFW524322 JPS524322 JZO524322 KJK524322 KTG524322 LDC524322 LMY524322 LWU524322 MGQ524322 MQM524322 NAI524322 NKE524322 NUA524322 ODW524322 ONS524322 OXO524322 PHK524322 PRG524322 QBC524322 QKY524322 QUU524322 REQ524322 ROM524322 RYI524322 SIE524322 SSA524322 TBW524322 TLS524322 TVO524322 UFK524322 UPG524322 UZC524322 VIY524322 VSU524322 WCQ524322 WMM524322 WWI524322 AA589858 JW589858 TS589858 ADO589858 ANK589858 AXG589858 BHC589858 BQY589858 CAU589858 CKQ589858 CUM589858 DEI589858 DOE589858 DYA589858 EHW589858 ERS589858 FBO589858 FLK589858 FVG589858 GFC589858 GOY589858 GYU589858 HIQ589858 HSM589858 ICI589858 IME589858 IWA589858 JFW589858 JPS589858 JZO589858 KJK589858 KTG589858 LDC589858 LMY589858 LWU589858 MGQ589858 MQM589858 NAI589858 NKE589858 NUA589858 ODW589858 ONS589858 OXO589858 PHK589858 PRG589858 QBC589858 QKY589858 QUU589858 REQ589858 ROM589858 RYI589858 SIE589858 SSA589858 TBW589858 TLS589858 TVO589858 UFK589858 UPG589858 UZC589858 VIY589858 VSU589858 WCQ589858 WMM589858 WWI589858 AA655394 JW655394 TS655394 ADO655394 ANK655394 AXG655394 BHC655394 BQY655394 CAU655394 CKQ655394 CUM655394 DEI655394 DOE655394 DYA655394 EHW655394 ERS655394 FBO655394 FLK655394 FVG655394 GFC655394 GOY655394 GYU655394 HIQ655394 HSM655394 ICI655394 IME655394 IWA655394 JFW655394 JPS655394 JZO655394 KJK655394 KTG655394 LDC655394 LMY655394 LWU655394 MGQ655394 MQM655394 NAI655394 NKE655394 NUA655394 ODW655394 ONS655394 OXO655394 PHK655394 PRG655394 QBC655394 QKY655394 QUU655394 REQ655394 ROM655394 RYI655394 SIE655394 SSA655394 TBW655394 TLS655394 TVO655394 UFK655394 UPG655394 UZC655394 VIY655394 VSU655394 WCQ655394 WMM655394 WWI655394 AA720930 JW720930 TS720930 ADO720930 ANK720930 AXG720930 BHC720930 BQY720930 CAU720930 CKQ720930 CUM720930 DEI720930 DOE720930 DYA720930 EHW720930 ERS720930 FBO720930 FLK720930 FVG720930 GFC720930 GOY720930 GYU720930 HIQ720930 HSM720930 ICI720930 IME720930 IWA720930 JFW720930 JPS720930 JZO720930 KJK720930 KTG720930 LDC720930 LMY720930 LWU720930 MGQ720930 MQM720930 NAI720930 NKE720930 NUA720930 ODW720930 ONS720930 OXO720930 PHK720930 PRG720930 QBC720930 QKY720930 QUU720930 REQ720930 ROM720930 RYI720930 SIE720930 SSA720930 TBW720930 TLS720930 TVO720930 UFK720930 UPG720930 UZC720930 VIY720930 VSU720930 WCQ720930 WMM720930 WWI720930 AA786466 JW786466 TS786466 ADO786466 ANK786466 AXG786466 BHC786466 BQY786466 CAU786466 CKQ786466 CUM786466 DEI786466 DOE786466 DYA786466 EHW786466 ERS786466 FBO786466 FLK786466 FVG786466 GFC786466 GOY786466 GYU786466 HIQ786466 HSM786466 ICI786466 IME786466 IWA786466 JFW786466 JPS786466 JZO786466 KJK786466 KTG786466 LDC786466 LMY786466 LWU786466 MGQ786466 MQM786466 NAI786466 NKE786466 NUA786466 ODW786466 ONS786466 OXO786466 PHK786466 PRG786466 QBC786466 QKY786466 QUU786466 REQ786466 ROM786466 RYI786466 SIE786466 SSA786466 TBW786466 TLS786466 TVO786466 UFK786466 UPG786466 UZC786466 VIY786466 VSU786466 WCQ786466 WMM786466 WWI786466 AA852002 JW852002 TS852002 ADO852002 ANK852002 AXG852002 BHC852002 BQY852002 CAU852002 CKQ852002 CUM852002 DEI852002 DOE852002 DYA852002 EHW852002 ERS852002 FBO852002 FLK852002 FVG852002 GFC852002 GOY852002 GYU852002 HIQ852002 HSM852002 ICI852002 IME852002 IWA852002 JFW852002 JPS852002 JZO852002 KJK852002 KTG852002 LDC852002 LMY852002 LWU852002 MGQ852002 MQM852002 NAI852002 NKE852002 NUA852002 ODW852002 ONS852002 OXO852002 PHK852002 PRG852002 QBC852002 QKY852002 QUU852002 REQ852002 ROM852002 RYI852002 SIE852002 SSA852002 TBW852002 TLS852002 TVO852002 UFK852002 UPG852002 UZC852002 VIY852002 VSU852002 WCQ852002 WMM852002 WWI852002 AA917538 JW917538 TS917538 ADO917538 ANK917538 AXG917538 BHC917538 BQY917538 CAU917538 CKQ917538 CUM917538 DEI917538 DOE917538 DYA917538 EHW917538 ERS917538 FBO917538 FLK917538 FVG917538 GFC917538 GOY917538 GYU917538 HIQ917538 HSM917538 ICI917538 IME917538 IWA917538 JFW917538 JPS917538 JZO917538 KJK917538 KTG917538 LDC917538 LMY917538 LWU917538 MGQ917538 MQM917538 NAI917538 NKE917538 NUA917538 ODW917538 ONS917538 OXO917538 PHK917538 PRG917538 QBC917538 QKY917538 QUU917538 REQ917538 ROM917538 RYI917538 SIE917538 SSA917538 TBW917538 TLS917538 TVO917538 UFK917538 UPG917538 UZC917538 VIY917538 VSU917538 WCQ917538 WMM917538 WWI917538 AA983074 JW983074 TS983074 ADO983074 ANK983074 AXG983074 BHC983074 BQY983074 CAU983074 CKQ983074 CUM983074 DEI983074 DOE983074 DYA983074 EHW983074 ERS983074 FBO983074 FLK983074 FVG983074 GFC983074 GOY983074 GYU983074 HIQ983074 HSM983074 ICI983074 IME983074 IWA983074 JFW983074 JPS983074 JZO983074 KJK983074 KTG983074 LDC983074 LMY983074 LWU983074 MGQ983074 MQM983074 NAI983074 NKE983074 NUA983074 ODW983074 ONS983074 OXO983074 PHK983074 PRG983074 QBC983074 QKY983074 QUU983074 REQ983074 ROM983074 RYI983074 SIE983074 SSA983074 TBW983074 TLS983074 TVO983074 UFK983074 UPG983074 UZC983074 VIY983074 VSU983074 WCQ983074 WMM983074 WWI983074 Q852006:AD852017 JM852006:JZ852017 TI852006:TV852017 ADE852006:ADR852017 ANA852006:ANN852017 AWW852006:AXJ852017 BGS852006:BHF852017 BQO852006:BRB852017 CAK852006:CAX852017 CKG852006:CKT852017 CUC852006:CUP852017 DDY852006:DEL852017 DNU852006:DOH852017 DXQ852006:DYD852017 EHM852006:EHZ852017 ERI852006:ERV852017 FBE852006:FBR852017 FLA852006:FLN852017 FUW852006:FVJ852017 GES852006:GFF852017 GOO852006:GPB852017 GYK852006:GYX852017 HIG852006:HIT852017 HSC852006:HSP852017 IBY852006:ICL852017 ILU852006:IMH852017 IVQ852006:IWD852017 JFM852006:JFZ852017 JPI852006:JPV852017 JZE852006:JZR852017 KJA852006:KJN852017 KSW852006:KTJ852017 LCS852006:LDF852017 LMO852006:LNB852017 LWK852006:LWX852017 MGG852006:MGT852017 MQC852006:MQP852017 MZY852006:NAL852017 NJU852006:NKH852017 NTQ852006:NUD852017 ODM852006:ODZ852017 ONI852006:ONV852017 OXE852006:OXR852017 PHA852006:PHN852017 PQW852006:PRJ852017 QAS852006:QBF852017 QKO852006:QLB852017 QUK852006:QUX852017 REG852006:RET852017 ROC852006:ROP852017 RXY852006:RYL852017 SHU852006:SIH852017 SRQ852006:SSD852017 TBM852006:TBZ852017 TLI852006:TLV852017 TVE852006:TVR852017 UFA852006:UFN852017 UOW852006:UPJ852017 UYS852006:UZF852017 VIO852006:VJB852017 VSK852006:VSX852017 WCG852006:WCT852017 WMC852006:WMP852017 WVY852006:WWL852017 Q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Q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Q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Q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Q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Q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Q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Q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Q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Q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Q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Q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Q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Q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Q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Q917542:AD917553 JM917542:JZ917553 TI917542:TV917553 ADE917542:ADR917553 ANA917542:ANN917553 AWW917542:AXJ917553 BGS917542:BHF917553 BQO917542:BRB917553 CAK917542:CAX917553 CKG917542:CKT917553 CUC917542:CUP917553 DDY917542:DEL917553 DNU917542:DOH917553 DXQ917542:DYD917553 EHM917542:EHZ917553 ERI917542:ERV917553 FBE917542:FBR917553 FLA917542:FLN917553 FUW917542:FVJ917553 GES917542:GFF917553 GOO917542:GPB917553 GYK917542:GYX917553 HIG917542:HIT917553 HSC917542:HSP917553 IBY917542:ICL917553 ILU917542:IMH917553 IVQ917542:IWD917553 JFM917542:JFZ917553 JPI917542:JPV917553 JZE917542:JZR917553 KJA917542:KJN917553 KSW917542:KTJ917553 LCS917542:LDF917553 LMO917542:LNB917553 LWK917542:LWX917553 MGG917542:MGT917553 MQC917542:MQP917553 MZY917542:NAL917553 NJU917542:NKH917553 NTQ917542:NUD917553 ODM917542:ODZ917553 ONI917542:ONV917553 OXE917542:OXR917553 PHA917542:PHN917553 PQW917542:PRJ917553 QAS917542:QBF917553 QKO917542:QLB917553 QUK917542:QUX917553 REG917542:RET917553 ROC917542:ROP917553 RXY917542:RYL917553 SHU917542:SIH917553 SRQ917542:SSD917553 TBM917542:TBZ917553 TLI917542:TLV917553 TVE917542:TVR917553 UFA917542:UFN917553 UOW917542:UPJ917553 UYS917542:UZF917553 VIO917542:VJB917553 VSK917542:VSX917553 WCG917542:WCT917553 WMC917542:WMP917553 WVY917542:WWL917553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Q983078:AD983089 JM983078:JZ983089 TI983078:TV983089 ADE983078:ADR983089 ANA983078:ANN983089 AWW983078:AXJ983089 BGS983078:BHF983089 BQO983078:BRB983089 CAK983078:CAX983089 CKG983078:CKT983089 CUC983078:CUP983089 DDY983078:DEL983089 DNU983078:DOH983089 DXQ983078:DYD983089 EHM983078:EHZ983089 ERI983078:ERV983089 FBE983078:FBR983089 FLA983078:FLN983089 FUW983078:FVJ983089 GES983078:GFF983089 GOO983078:GPB983089 GYK983078:GYX983089 HIG983078:HIT983089 HSC983078:HSP983089 IBY983078:ICL983089 ILU983078:IMH983089 IVQ983078:IWD983089 JFM983078:JFZ983089 JPI983078:JPV983089 JZE983078:JZR983089 KJA983078:KJN983089 KSW983078:KTJ983089 LCS983078:LDF983089 LMO983078:LNB983089 LWK983078:LWX983089 MGG983078:MGT983089 MQC983078:MQP983089 MZY983078:NAL983089 NJU983078:NKH983089 NTQ983078:NUD983089 ODM983078:ODZ983089 ONI983078:ONV983089 OXE983078:OXR983089 PHA983078:PHN983089 PQW983078:PRJ983089 QAS983078:QBF983089 QKO983078:QLB983089 QUK983078:QUX983089 REG983078:RET983089 ROC983078:ROP983089 RXY983078:RYL983089 SHU983078:SIH983089 SRQ983078:SSD983089 TBM983078:TBZ983089 TLI983078:TLV983089 TVE983078:TVR983089 UFA983078:UFN983089 UOW983078:UPJ983089 UYS983078:UZF983089 VIO983078:VJB983089 VSK983078:VSX983089 WCG983078:WCT983089 WMC983078:WMP983089 WVY983078:WWL983089 Q65574:AD65585 JM65574:JZ65585 TI65574:TV65585 ADE65574:ADR65585 ANA65574:ANN65585 AWW65574:AXJ65585 BGS65574:BHF65585 BQO65574:BRB65585 CAK65574:CAX65585 CKG65574:CKT65585 CUC65574:CUP65585 DDY65574:DEL65585 DNU65574:DOH65585 DXQ65574:DYD65585 EHM65574:EHZ65585 ERI65574:ERV65585 FBE65574:FBR65585 FLA65574:FLN65585 FUW65574:FVJ65585 GES65574:GFF65585 GOO65574:GPB65585 GYK65574:GYX65585 HIG65574:HIT65585 HSC65574:HSP65585 IBY65574:ICL65585 ILU65574:IMH65585 IVQ65574:IWD65585 JFM65574:JFZ65585 JPI65574:JPV65585 JZE65574:JZR65585 KJA65574:KJN65585 KSW65574:KTJ65585 LCS65574:LDF65585 LMO65574:LNB65585 LWK65574:LWX65585 MGG65574:MGT65585 MQC65574:MQP65585 MZY65574:NAL65585 NJU65574:NKH65585 NTQ65574:NUD65585 ODM65574:ODZ65585 ONI65574:ONV65585 OXE65574:OXR65585 PHA65574:PHN65585 PQW65574:PRJ65585 QAS65574:QBF65585 QKO65574:QLB65585 QUK65574:QUX65585 REG65574:RET65585 ROC65574:ROP65585 RXY65574:RYL65585 SHU65574:SIH65585 SRQ65574:SSD65585 TBM65574:TBZ65585 TLI65574:TLV65585 TVE65574:TVR65585 UFA65574:UFN65585 UOW65574:UPJ65585 UYS65574:UZF65585 VIO65574:VJB65585 VSK65574:VSX65585 WCG65574:WCT65585 WMC65574:WMP65585 WVY65574:WWL65585 Q131110:AD131121 JM131110:JZ131121 TI131110:TV131121 ADE131110:ADR131121 ANA131110:ANN131121 AWW131110:AXJ131121 BGS131110:BHF131121 BQO131110:BRB131121 CAK131110:CAX131121 CKG131110:CKT131121 CUC131110:CUP131121 DDY131110:DEL131121 DNU131110:DOH131121 DXQ131110:DYD131121 EHM131110:EHZ131121 ERI131110:ERV131121 FBE131110:FBR131121 FLA131110:FLN131121 FUW131110:FVJ131121 GES131110:GFF131121 GOO131110:GPB131121 GYK131110:GYX131121 HIG131110:HIT131121 HSC131110:HSP131121 IBY131110:ICL131121 ILU131110:IMH131121 IVQ131110:IWD131121 JFM131110:JFZ131121 JPI131110:JPV131121 JZE131110:JZR131121 KJA131110:KJN131121 KSW131110:KTJ131121 LCS131110:LDF131121 LMO131110:LNB131121 LWK131110:LWX131121 MGG131110:MGT131121 MQC131110:MQP131121 MZY131110:NAL131121 NJU131110:NKH131121 NTQ131110:NUD131121 ODM131110:ODZ131121 ONI131110:ONV131121 OXE131110:OXR131121 PHA131110:PHN131121 PQW131110:PRJ131121 QAS131110:QBF131121 QKO131110:QLB131121 QUK131110:QUX131121 REG131110:RET131121 ROC131110:ROP131121 RXY131110:RYL131121 SHU131110:SIH131121 SRQ131110:SSD131121 TBM131110:TBZ131121 TLI131110:TLV131121 TVE131110:TVR131121 UFA131110:UFN131121 UOW131110:UPJ131121 UYS131110:UZF131121 VIO131110:VJB131121 VSK131110:VSX131121 WCG131110:WCT131121 WMC131110:WMP131121 WVY131110:WWL131121 Q196646:AD196657 JM196646:JZ196657 TI196646:TV196657 ADE196646:ADR196657 ANA196646:ANN196657 AWW196646:AXJ196657 BGS196646:BHF196657 BQO196646:BRB196657 CAK196646:CAX196657 CKG196646:CKT196657 CUC196646:CUP196657 DDY196646:DEL196657 DNU196646:DOH196657 DXQ196646:DYD196657 EHM196646:EHZ196657 ERI196646:ERV196657 FBE196646:FBR196657 FLA196646:FLN196657 FUW196646:FVJ196657 GES196646:GFF196657 GOO196646:GPB196657 GYK196646:GYX196657 HIG196646:HIT196657 HSC196646:HSP196657 IBY196646:ICL196657 ILU196646:IMH196657 IVQ196646:IWD196657 JFM196646:JFZ196657 JPI196646:JPV196657 JZE196646:JZR196657 KJA196646:KJN196657 KSW196646:KTJ196657 LCS196646:LDF196657 LMO196646:LNB196657 LWK196646:LWX196657 MGG196646:MGT196657 MQC196646:MQP196657 MZY196646:NAL196657 NJU196646:NKH196657 NTQ196646:NUD196657 ODM196646:ODZ196657 ONI196646:ONV196657 OXE196646:OXR196657 PHA196646:PHN196657 PQW196646:PRJ196657 QAS196646:QBF196657 QKO196646:QLB196657 QUK196646:QUX196657 REG196646:RET196657 ROC196646:ROP196657 RXY196646:RYL196657 SHU196646:SIH196657 SRQ196646:SSD196657 TBM196646:TBZ196657 TLI196646:TLV196657 TVE196646:TVR196657 UFA196646:UFN196657 UOW196646:UPJ196657 UYS196646:UZF196657 VIO196646:VJB196657 VSK196646:VSX196657 WCG196646:WCT196657 WMC196646:WMP196657 WVY196646:WWL196657 Q262182:AD262193 JM262182:JZ262193 TI262182:TV262193 ADE262182:ADR262193 ANA262182:ANN262193 AWW262182:AXJ262193 BGS262182:BHF262193 BQO262182:BRB262193 CAK262182:CAX262193 CKG262182:CKT262193 CUC262182:CUP262193 DDY262182:DEL262193 DNU262182:DOH262193 DXQ262182:DYD262193 EHM262182:EHZ262193 ERI262182:ERV262193 FBE262182:FBR262193 FLA262182:FLN262193 FUW262182:FVJ262193 GES262182:GFF262193 GOO262182:GPB262193 GYK262182:GYX262193 HIG262182:HIT262193 HSC262182:HSP262193 IBY262182:ICL262193 ILU262182:IMH262193 IVQ262182:IWD262193 JFM262182:JFZ262193 JPI262182:JPV262193 JZE262182:JZR262193 KJA262182:KJN262193 KSW262182:KTJ262193 LCS262182:LDF262193 LMO262182:LNB262193 LWK262182:LWX262193 MGG262182:MGT262193 MQC262182:MQP262193 MZY262182:NAL262193 NJU262182:NKH262193 NTQ262182:NUD262193 ODM262182:ODZ262193 ONI262182:ONV262193 OXE262182:OXR262193 PHA262182:PHN262193 PQW262182:PRJ262193 QAS262182:QBF262193 QKO262182:QLB262193 QUK262182:QUX262193 REG262182:RET262193 ROC262182:ROP262193 RXY262182:RYL262193 SHU262182:SIH262193 SRQ262182:SSD262193 TBM262182:TBZ262193 TLI262182:TLV262193 TVE262182:TVR262193 UFA262182:UFN262193 UOW262182:UPJ262193 UYS262182:UZF262193 VIO262182:VJB262193 VSK262182:VSX262193 WCG262182:WCT262193 WMC262182:WMP262193 WVY262182:WWL262193 Q327718:AD327729 JM327718:JZ327729 TI327718:TV327729 ADE327718:ADR327729 ANA327718:ANN327729 AWW327718:AXJ327729 BGS327718:BHF327729 BQO327718:BRB327729 CAK327718:CAX327729 CKG327718:CKT327729 CUC327718:CUP327729 DDY327718:DEL327729 DNU327718:DOH327729 DXQ327718:DYD327729 EHM327718:EHZ327729 ERI327718:ERV327729 FBE327718:FBR327729 FLA327718:FLN327729 FUW327718:FVJ327729 GES327718:GFF327729 GOO327718:GPB327729 GYK327718:GYX327729 HIG327718:HIT327729 HSC327718:HSP327729 IBY327718:ICL327729 ILU327718:IMH327729 IVQ327718:IWD327729 JFM327718:JFZ327729 JPI327718:JPV327729 JZE327718:JZR327729 KJA327718:KJN327729 KSW327718:KTJ327729 LCS327718:LDF327729 LMO327718:LNB327729 LWK327718:LWX327729 MGG327718:MGT327729 MQC327718:MQP327729 MZY327718:NAL327729 NJU327718:NKH327729 NTQ327718:NUD327729 ODM327718:ODZ327729 ONI327718:ONV327729 OXE327718:OXR327729 PHA327718:PHN327729 PQW327718:PRJ327729 QAS327718:QBF327729 QKO327718:QLB327729 QUK327718:QUX327729 REG327718:RET327729 ROC327718:ROP327729 RXY327718:RYL327729 SHU327718:SIH327729 SRQ327718:SSD327729 TBM327718:TBZ327729 TLI327718:TLV327729 TVE327718:TVR327729 UFA327718:UFN327729 UOW327718:UPJ327729 UYS327718:UZF327729 VIO327718:VJB327729 VSK327718:VSX327729 WCG327718:WCT327729 WMC327718:WMP327729 WVY327718:WWL327729 Q393254:AD393265 JM393254:JZ393265 TI393254:TV393265 ADE393254:ADR393265 ANA393254:ANN393265 AWW393254:AXJ393265 BGS393254:BHF393265 BQO393254:BRB393265 CAK393254:CAX393265 CKG393254:CKT393265 CUC393254:CUP393265 DDY393254:DEL393265 DNU393254:DOH393265 DXQ393254:DYD393265 EHM393254:EHZ393265 ERI393254:ERV393265 FBE393254:FBR393265 FLA393254:FLN393265 FUW393254:FVJ393265 GES393254:GFF393265 GOO393254:GPB393265 GYK393254:GYX393265 HIG393254:HIT393265 HSC393254:HSP393265 IBY393254:ICL393265 ILU393254:IMH393265 IVQ393254:IWD393265 JFM393254:JFZ393265 JPI393254:JPV393265 JZE393254:JZR393265 KJA393254:KJN393265 KSW393254:KTJ393265 LCS393254:LDF393265 LMO393254:LNB393265 LWK393254:LWX393265 MGG393254:MGT393265 MQC393254:MQP393265 MZY393254:NAL393265 NJU393254:NKH393265 NTQ393254:NUD393265 ODM393254:ODZ393265 ONI393254:ONV393265 OXE393254:OXR393265 PHA393254:PHN393265 PQW393254:PRJ393265 QAS393254:QBF393265 QKO393254:QLB393265 QUK393254:QUX393265 REG393254:RET393265 ROC393254:ROP393265 RXY393254:RYL393265 SHU393254:SIH393265 SRQ393254:SSD393265 TBM393254:TBZ393265 TLI393254:TLV393265 TVE393254:TVR393265 UFA393254:UFN393265 UOW393254:UPJ393265 UYS393254:UZF393265 VIO393254:VJB393265 VSK393254:VSX393265 WCG393254:WCT393265 WMC393254:WMP393265 WVY393254:WWL393265 Q458790:AD458801 JM458790:JZ458801 TI458790:TV458801 ADE458790:ADR458801 ANA458790:ANN458801 AWW458790:AXJ458801 BGS458790:BHF458801 BQO458790:BRB458801 CAK458790:CAX458801 CKG458790:CKT458801 CUC458790:CUP458801 DDY458790:DEL458801 DNU458790:DOH458801 DXQ458790:DYD458801 EHM458790:EHZ458801 ERI458790:ERV458801 FBE458790:FBR458801 FLA458790:FLN458801 FUW458790:FVJ458801 GES458790:GFF458801 GOO458790:GPB458801 GYK458790:GYX458801 HIG458790:HIT458801 HSC458790:HSP458801 IBY458790:ICL458801 ILU458790:IMH458801 IVQ458790:IWD458801 JFM458790:JFZ458801 JPI458790:JPV458801 JZE458790:JZR458801 KJA458790:KJN458801 KSW458790:KTJ458801 LCS458790:LDF458801 LMO458790:LNB458801 LWK458790:LWX458801 MGG458790:MGT458801 MQC458790:MQP458801 MZY458790:NAL458801 NJU458790:NKH458801 NTQ458790:NUD458801 ODM458790:ODZ458801 ONI458790:ONV458801 OXE458790:OXR458801 PHA458790:PHN458801 PQW458790:PRJ458801 QAS458790:QBF458801 QKO458790:QLB458801 QUK458790:QUX458801 REG458790:RET458801 ROC458790:ROP458801 RXY458790:RYL458801 SHU458790:SIH458801 SRQ458790:SSD458801 TBM458790:TBZ458801 TLI458790:TLV458801 TVE458790:TVR458801 UFA458790:UFN458801 UOW458790:UPJ458801 UYS458790:UZF458801 VIO458790:VJB458801 VSK458790:VSX458801 WCG458790:WCT458801 WMC458790:WMP458801 WVY458790:WWL458801 Q524326:AD524337 JM524326:JZ524337 TI524326:TV524337 ADE524326:ADR524337 ANA524326:ANN524337 AWW524326:AXJ524337 BGS524326:BHF524337 BQO524326:BRB524337 CAK524326:CAX524337 CKG524326:CKT524337 CUC524326:CUP524337 DDY524326:DEL524337 DNU524326:DOH524337 DXQ524326:DYD524337 EHM524326:EHZ524337 ERI524326:ERV524337 FBE524326:FBR524337 FLA524326:FLN524337 FUW524326:FVJ524337 GES524326:GFF524337 GOO524326:GPB524337 GYK524326:GYX524337 HIG524326:HIT524337 HSC524326:HSP524337 IBY524326:ICL524337 ILU524326:IMH524337 IVQ524326:IWD524337 JFM524326:JFZ524337 JPI524326:JPV524337 JZE524326:JZR524337 KJA524326:KJN524337 KSW524326:KTJ524337 LCS524326:LDF524337 LMO524326:LNB524337 LWK524326:LWX524337 MGG524326:MGT524337 MQC524326:MQP524337 MZY524326:NAL524337 NJU524326:NKH524337 NTQ524326:NUD524337 ODM524326:ODZ524337 ONI524326:ONV524337 OXE524326:OXR524337 PHA524326:PHN524337 PQW524326:PRJ524337 QAS524326:QBF524337 QKO524326:QLB524337 QUK524326:QUX524337 REG524326:RET524337 ROC524326:ROP524337 RXY524326:RYL524337 SHU524326:SIH524337 SRQ524326:SSD524337 TBM524326:TBZ524337 TLI524326:TLV524337 TVE524326:TVR524337 UFA524326:UFN524337 UOW524326:UPJ524337 UYS524326:UZF524337 VIO524326:VJB524337 VSK524326:VSX524337 WCG524326:WCT524337 WMC524326:WMP524337 WVY524326:WWL524337 Q589862:AD589873 JM589862:JZ589873 TI589862:TV589873 ADE589862:ADR589873 ANA589862:ANN589873 AWW589862:AXJ589873 BGS589862:BHF589873 BQO589862:BRB589873 CAK589862:CAX589873 CKG589862:CKT589873 CUC589862:CUP589873 DDY589862:DEL589873 DNU589862:DOH589873 DXQ589862:DYD589873 EHM589862:EHZ589873 ERI589862:ERV589873 FBE589862:FBR589873 FLA589862:FLN589873 FUW589862:FVJ589873 GES589862:GFF589873 GOO589862:GPB589873 GYK589862:GYX589873 HIG589862:HIT589873 HSC589862:HSP589873 IBY589862:ICL589873 ILU589862:IMH589873 IVQ589862:IWD589873 JFM589862:JFZ589873 JPI589862:JPV589873 JZE589862:JZR589873 KJA589862:KJN589873 KSW589862:KTJ589873 LCS589862:LDF589873 LMO589862:LNB589873 LWK589862:LWX589873 MGG589862:MGT589873 MQC589862:MQP589873 MZY589862:NAL589873 NJU589862:NKH589873 NTQ589862:NUD589873 ODM589862:ODZ589873 ONI589862:ONV589873 OXE589862:OXR589873 PHA589862:PHN589873 PQW589862:PRJ589873 QAS589862:QBF589873 QKO589862:QLB589873 QUK589862:QUX589873 REG589862:RET589873 ROC589862:ROP589873 RXY589862:RYL589873 SHU589862:SIH589873 SRQ589862:SSD589873 TBM589862:TBZ589873 TLI589862:TLV589873 TVE589862:TVR589873 UFA589862:UFN589873 UOW589862:UPJ589873 UYS589862:UZF589873 VIO589862:VJB589873 VSK589862:VSX589873 WCG589862:WCT589873 WMC589862:WMP589873 WVY589862:WWL589873 Q655398:AD655409 JM655398:JZ655409 TI655398:TV655409 ADE655398:ADR655409 ANA655398:ANN655409 AWW655398:AXJ655409 BGS655398:BHF655409 BQO655398:BRB655409 CAK655398:CAX655409 CKG655398:CKT655409 CUC655398:CUP655409 DDY655398:DEL655409 DNU655398:DOH655409 DXQ655398:DYD655409 EHM655398:EHZ655409 ERI655398:ERV655409 FBE655398:FBR655409 FLA655398:FLN655409 FUW655398:FVJ655409 GES655398:GFF655409 GOO655398:GPB655409 GYK655398:GYX655409 HIG655398:HIT655409 HSC655398:HSP655409 IBY655398:ICL655409 ILU655398:IMH655409 IVQ655398:IWD655409 JFM655398:JFZ655409 JPI655398:JPV655409 JZE655398:JZR655409 KJA655398:KJN655409 KSW655398:KTJ655409 LCS655398:LDF655409 LMO655398:LNB655409 LWK655398:LWX655409 MGG655398:MGT655409 MQC655398:MQP655409 MZY655398:NAL655409 NJU655398:NKH655409 NTQ655398:NUD655409 ODM655398:ODZ655409 ONI655398:ONV655409 OXE655398:OXR655409 PHA655398:PHN655409 PQW655398:PRJ655409 QAS655398:QBF655409 QKO655398:QLB655409 QUK655398:QUX655409 REG655398:RET655409 ROC655398:ROP655409 RXY655398:RYL655409 SHU655398:SIH655409 SRQ655398:SSD655409 TBM655398:TBZ655409 TLI655398:TLV655409 TVE655398:TVR655409 UFA655398:UFN655409 UOW655398:UPJ655409 UYS655398:UZF655409 VIO655398:VJB655409 VSK655398:VSX655409 WCG655398:WCT655409 WMC655398:WMP655409 WVY655398:WWL655409 Q720934:AD720945 JM720934:JZ720945 TI720934:TV720945 ADE720934:ADR720945 ANA720934:ANN720945 AWW720934:AXJ720945 BGS720934:BHF720945 BQO720934:BRB720945 CAK720934:CAX720945 CKG720934:CKT720945 CUC720934:CUP720945 DDY720934:DEL720945 DNU720934:DOH720945 DXQ720934:DYD720945 EHM720934:EHZ720945 ERI720934:ERV720945 FBE720934:FBR720945 FLA720934:FLN720945 FUW720934:FVJ720945 GES720934:GFF720945 GOO720934:GPB720945 GYK720934:GYX720945 HIG720934:HIT720945 HSC720934:HSP720945 IBY720934:ICL720945 ILU720934:IMH720945 IVQ720934:IWD720945 JFM720934:JFZ720945 JPI720934:JPV720945 JZE720934:JZR720945 KJA720934:KJN720945 KSW720934:KTJ720945 LCS720934:LDF720945 LMO720934:LNB720945 LWK720934:LWX720945 MGG720934:MGT720945 MQC720934:MQP720945 MZY720934:NAL720945 NJU720934:NKH720945 NTQ720934:NUD720945 ODM720934:ODZ720945 ONI720934:ONV720945 OXE720934:OXR720945 PHA720934:PHN720945 PQW720934:PRJ720945 QAS720934:QBF720945 QKO720934:QLB720945 QUK720934:QUX720945 REG720934:RET720945 ROC720934:ROP720945 RXY720934:RYL720945 SHU720934:SIH720945 SRQ720934:SSD720945 TBM720934:TBZ720945 TLI720934:TLV720945 TVE720934:TVR720945 UFA720934:UFN720945 UOW720934:UPJ720945 UYS720934:UZF720945 VIO720934:VJB720945 VSK720934:VSX720945 WCG720934:WCT720945 WMC720934:WMP720945 WVY720934:WWL720945 JW34 TS34 ADO34 ANK34 AXG34 BHC34 BQY34 CAU34 CKQ34 CUM34 DEI34 DOE34 DYA34 EHW34 ERS34 FBO34 FLK34 FVG34 GFC34 GOY34 GYU34 HIQ34 HSM34 ICI34 IME34 IWA34 JFW34 JPS34 JZO34 KJK34 KTG34 LDC34 LMY34 LWU34 MGQ34 MQM34 NAI34 NKE34 NUA34 ODW34 ONS34 OXO34 PHK34 PRG34 QBC34 QKY34 QUU34 REQ34 ROM34 RYI34 SIE34 SSA34 TBW34 TLS34 TVO34 UFK34 UPG34 UZC34 VIY34 VSU34 WCQ34 WMM34 WWI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JM38:JZ49 TI38:TV49 ADE38:ADR49 ANA38:ANN49 AWW38:AXJ49 BGS38:BHF49 BQO38:BRB49 CAK38:CAX49 CKG38:CKT49 CUC38:CUP49 DDY38:DEL49 DNU38:DOH49 DXQ38:DYD49 EHM38:EHZ49 ERI38:ERV49 FBE38:FBR49 FLA38:FLN49 FUW38:FVJ49 GES38:GFF49 GOO38:GPB49 GYK38:GYX49 HIG38:HIT49 HSC38:HSP49 IBY38:ICL49 ILU38:IMH49 IVQ38:IWD49 JFM38:JFZ49 JPI38:JPV49 JZE38:JZR49 KJA38:KJN49 KSW38:KTJ49 LCS38:LDF49 LMO38:LNB49 LWK38:LWX49 MGG38:MGT49 MQC38:MQP49 MZY38:NAL49 NJU38:NKH49 NTQ38:NUD49 ODM38:ODZ49 ONI38:ONV49 OXE38:OXR49 PHA38:PHN49 PQW38:PRJ49 QAS38:QBF49 QKO38:QLB49 QUK38:QUX49 REG38:RET49 ROC38:ROP49 RXY38:RYL49 SHU38:SIH49 SRQ38:SSD49 TBM38:TBZ49 TLI38:TLV49 TVE38:TVR49 UFA38:UFN49 UOW38:UPJ49 UYS38:UZF49 VIO38:VJB49 VSK38:VSX49 WCG38:WCT49 WMC38:WMP49 WVY38:WWL49 AA34 Q34 W34 Q38:AD49" xr:uid="{B97A2D73-6148-48D1-88A6-3990843531B1}">
      <formula1>2000</formula1>
    </dataValidation>
  </dataValidations>
  <printOptions horizontalCentered="1"/>
  <pageMargins left="0.19685039370078741" right="0.19685039370078741" top="0.19685039370078741" bottom="0.19685039370078741" header="0" footer="0"/>
  <pageSetup scale="27"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432E-2378-4504-91D6-036845131148}">
  <sheetPr>
    <tabColor rgb="FF00B0F0"/>
    <pageSetUpPr fitToPage="1"/>
  </sheetPr>
  <dimension ref="A1:BM44"/>
  <sheetViews>
    <sheetView topLeftCell="AP31" zoomScale="90" zoomScaleNormal="90" workbookViewId="0">
      <selection activeCell="AS45" sqref="AS45"/>
    </sheetView>
  </sheetViews>
  <sheetFormatPr baseColWidth="10" defaultColWidth="11.42578125" defaultRowHeight="15"/>
  <cols>
    <col min="40" max="40" width="12" bestFit="1" customWidth="1"/>
    <col min="57" max="57" width="13.28515625" style="541" bestFit="1" customWidth="1"/>
    <col min="58" max="58" width="14.7109375" style="541" customWidth="1"/>
    <col min="59" max="59" width="18.28515625" bestFit="1" customWidth="1"/>
    <col min="60" max="60" width="12.140625" bestFit="1" customWidth="1"/>
    <col min="61" max="65" width="14.42578125" bestFit="1" customWidth="1"/>
  </cols>
  <sheetData>
    <row r="1" spans="1:65" ht="90">
      <c r="A1" s="283" t="s">
        <v>569</v>
      </c>
      <c r="B1" s="283" t="s">
        <v>570</v>
      </c>
      <c r="C1" s="284" t="s">
        <v>571</v>
      </c>
      <c r="D1" s="284" t="s">
        <v>572</v>
      </c>
      <c r="E1" s="284" t="s">
        <v>573</v>
      </c>
      <c r="F1" s="284" t="s">
        <v>574</v>
      </c>
      <c r="G1" s="284" t="s">
        <v>575</v>
      </c>
      <c r="H1" s="284" t="s">
        <v>576</v>
      </c>
      <c r="I1" s="284" t="s">
        <v>577</v>
      </c>
      <c r="J1" s="285" t="s">
        <v>578</v>
      </c>
      <c r="K1" s="285" t="s">
        <v>579</v>
      </c>
      <c r="L1" s="284" t="s">
        <v>573</v>
      </c>
      <c r="M1" s="284" t="s">
        <v>574</v>
      </c>
      <c r="N1" s="284" t="s">
        <v>580</v>
      </c>
      <c r="O1" s="284" t="s">
        <v>581</v>
      </c>
      <c r="P1" s="284" t="s">
        <v>521</v>
      </c>
      <c r="Q1" s="285" t="s">
        <v>582</v>
      </c>
      <c r="R1" s="285" t="s">
        <v>583</v>
      </c>
      <c r="S1" s="285" t="s">
        <v>584</v>
      </c>
      <c r="T1" s="285" t="s">
        <v>585</v>
      </c>
      <c r="U1" s="285" t="s">
        <v>586</v>
      </c>
      <c r="V1" s="285" t="s">
        <v>587</v>
      </c>
      <c r="W1" s="285" t="s">
        <v>588</v>
      </c>
      <c r="X1" s="285" t="s">
        <v>589</v>
      </c>
      <c r="Y1" s="285" t="s">
        <v>590</v>
      </c>
      <c r="Z1" s="284" t="s">
        <v>591</v>
      </c>
      <c r="AA1" s="284" t="s">
        <v>592</v>
      </c>
      <c r="AB1" s="284" t="s">
        <v>593</v>
      </c>
      <c r="AC1" s="284" t="s">
        <v>521</v>
      </c>
      <c r="AD1" s="284" t="s">
        <v>594</v>
      </c>
      <c r="AE1" s="285" t="s">
        <v>595</v>
      </c>
      <c r="AF1" s="285" t="s">
        <v>596</v>
      </c>
      <c r="AG1" s="285" t="s">
        <v>597</v>
      </c>
      <c r="AH1" s="284" t="s">
        <v>598</v>
      </c>
      <c r="AI1" s="284" t="s">
        <v>599</v>
      </c>
      <c r="AJ1" s="284" t="s">
        <v>600</v>
      </c>
      <c r="AK1" s="284" t="s">
        <v>601</v>
      </c>
      <c r="AL1" s="284" t="s">
        <v>602</v>
      </c>
      <c r="AM1" s="285" t="s">
        <v>603</v>
      </c>
      <c r="AN1" s="285" t="s">
        <v>604</v>
      </c>
      <c r="AO1" s="285" t="s">
        <v>605</v>
      </c>
      <c r="AP1" s="285" t="s">
        <v>606</v>
      </c>
      <c r="AQ1" s="285" t="s">
        <v>607</v>
      </c>
      <c r="AR1" s="285" t="s">
        <v>608</v>
      </c>
      <c r="AS1" s="284" t="s">
        <v>609</v>
      </c>
      <c r="AT1" s="284" t="s">
        <v>610</v>
      </c>
      <c r="AU1" s="284" t="s">
        <v>611</v>
      </c>
      <c r="AV1" s="284" t="s">
        <v>612</v>
      </c>
      <c r="AW1" s="284" t="s">
        <v>613</v>
      </c>
      <c r="AX1" s="286" t="s">
        <v>614</v>
      </c>
      <c r="AY1" s="286" t="s">
        <v>615</v>
      </c>
      <c r="AZ1" s="286" t="s">
        <v>616</v>
      </c>
      <c r="BA1" s="283" t="s">
        <v>617</v>
      </c>
      <c r="BB1" s="283"/>
      <c r="BC1" s="485" t="s">
        <v>323</v>
      </c>
      <c r="BD1" s="485" t="s">
        <v>324</v>
      </c>
      <c r="BE1" s="540" t="s">
        <v>325</v>
      </c>
      <c r="BI1" s="485" t="s">
        <v>1063</v>
      </c>
      <c r="BJ1" s="485" t="s">
        <v>1059</v>
      </c>
      <c r="BK1" s="485" t="s">
        <v>1060</v>
      </c>
      <c r="BL1" s="485" t="s">
        <v>1061</v>
      </c>
      <c r="BM1" s="485" t="s">
        <v>1062</v>
      </c>
    </row>
    <row r="2" spans="1:65">
      <c r="A2" s="287" t="s">
        <v>618</v>
      </c>
      <c r="B2" s="287">
        <v>7673</v>
      </c>
      <c r="C2" s="288" t="s">
        <v>619</v>
      </c>
      <c r="D2" s="288" t="s">
        <v>620</v>
      </c>
      <c r="E2" s="289">
        <v>44562</v>
      </c>
      <c r="F2" s="289">
        <v>44565</v>
      </c>
      <c r="G2" s="288" t="s">
        <v>621</v>
      </c>
      <c r="H2" s="289">
        <v>44562</v>
      </c>
      <c r="I2" s="288" t="s">
        <v>622</v>
      </c>
      <c r="J2" s="288" t="s">
        <v>623</v>
      </c>
      <c r="K2" s="287" t="s">
        <v>624</v>
      </c>
      <c r="L2" s="289">
        <v>44230</v>
      </c>
      <c r="M2" s="289">
        <v>44561</v>
      </c>
      <c r="N2" s="288" t="s">
        <v>625</v>
      </c>
      <c r="O2" s="288" t="s">
        <v>626</v>
      </c>
      <c r="P2" s="288" t="s">
        <v>627</v>
      </c>
      <c r="Q2" s="287" t="s">
        <v>628</v>
      </c>
      <c r="R2" s="287" t="s">
        <v>629</v>
      </c>
      <c r="S2" s="287" t="s">
        <v>630</v>
      </c>
      <c r="T2" s="288" t="s">
        <v>631</v>
      </c>
      <c r="U2" s="288" t="s">
        <v>329</v>
      </c>
      <c r="V2" s="288" t="s">
        <v>632</v>
      </c>
      <c r="W2" s="288" t="s">
        <v>633</v>
      </c>
      <c r="X2" s="288" t="s">
        <v>634</v>
      </c>
      <c r="Y2" s="288" t="s">
        <v>635</v>
      </c>
      <c r="Z2" s="288" t="s">
        <v>636</v>
      </c>
      <c r="AA2" s="288" t="s">
        <v>637</v>
      </c>
      <c r="AB2" s="288" t="s">
        <v>638</v>
      </c>
      <c r="AC2" s="288" t="s">
        <v>639</v>
      </c>
      <c r="AD2" s="288" t="s">
        <v>640</v>
      </c>
      <c r="AE2" s="288" t="s">
        <v>641</v>
      </c>
      <c r="AF2" s="288" t="s">
        <v>642</v>
      </c>
      <c r="AG2" s="287" t="s">
        <v>643</v>
      </c>
      <c r="AH2" s="288" t="s">
        <v>644</v>
      </c>
      <c r="AI2" s="288" t="s">
        <v>645</v>
      </c>
      <c r="AJ2" s="288" t="s">
        <v>646</v>
      </c>
      <c r="AK2" s="288" t="s">
        <v>647</v>
      </c>
      <c r="AL2" s="288" t="s">
        <v>648</v>
      </c>
      <c r="AM2" s="290">
        <v>5250000</v>
      </c>
      <c r="AN2" s="290">
        <v>0</v>
      </c>
      <c r="AO2" s="290">
        <v>0</v>
      </c>
      <c r="AP2" s="290">
        <v>5250000</v>
      </c>
      <c r="AQ2" s="290">
        <v>0</v>
      </c>
      <c r="AR2" s="290">
        <v>5250000</v>
      </c>
      <c r="AS2" s="287" t="s">
        <v>649</v>
      </c>
      <c r="AT2" s="287" t="s">
        <v>620</v>
      </c>
      <c r="AU2" s="287" t="s">
        <v>650</v>
      </c>
      <c r="AV2" s="287" t="s">
        <v>620</v>
      </c>
      <c r="AW2" s="291">
        <v>44564</v>
      </c>
      <c r="AX2" s="287"/>
      <c r="AY2" s="287"/>
      <c r="AZ2" s="292"/>
      <c r="BA2" s="287"/>
      <c r="BB2" s="287" t="s">
        <v>323</v>
      </c>
      <c r="BC2" s="293">
        <v>5250000</v>
      </c>
      <c r="BD2" s="287">
        <v>0</v>
      </c>
      <c r="BE2" s="542">
        <v>0</v>
      </c>
      <c r="BI2" s="486"/>
      <c r="BJ2" s="486"/>
      <c r="BK2" s="486"/>
      <c r="BL2" s="486"/>
      <c r="BM2" s="486"/>
    </row>
    <row r="3" spans="1:65">
      <c r="A3" s="287" t="s">
        <v>777</v>
      </c>
      <c r="B3" s="287">
        <v>7673</v>
      </c>
      <c r="C3" s="288" t="s">
        <v>619</v>
      </c>
      <c r="D3" s="288" t="s">
        <v>620</v>
      </c>
      <c r="E3" s="289">
        <v>44562</v>
      </c>
      <c r="F3" s="289">
        <v>44565</v>
      </c>
      <c r="G3" s="288" t="s">
        <v>621</v>
      </c>
      <c r="H3" s="289">
        <v>44562</v>
      </c>
      <c r="I3" s="288" t="s">
        <v>765</v>
      </c>
      <c r="J3" s="288" t="s">
        <v>766</v>
      </c>
      <c r="K3" s="287" t="s">
        <v>778</v>
      </c>
      <c r="L3" s="289">
        <v>44561</v>
      </c>
      <c r="M3" s="289">
        <v>44561</v>
      </c>
      <c r="N3" s="288" t="s">
        <v>768</v>
      </c>
      <c r="O3" s="288" t="s">
        <v>626</v>
      </c>
      <c r="P3" s="288" t="s">
        <v>627</v>
      </c>
      <c r="Q3" s="287" t="s">
        <v>779</v>
      </c>
      <c r="R3" s="287" t="s">
        <v>780</v>
      </c>
      <c r="S3" s="287" t="s">
        <v>781</v>
      </c>
      <c r="T3" s="288" t="s">
        <v>631</v>
      </c>
      <c r="U3" s="288" t="s">
        <v>329</v>
      </c>
      <c r="V3" s="288" t="s">
        <v>632</v>
      </c>
      <c r="W3" s="288" t="s">
        <v>633</v>
      </c>
      <c r="X3" s="288" t="s">
        <v>634</v>
      </c>
      <c r="Y3" s="288" t="s">
        <v>635</v>
      </c>
      <c r="Z3" s="288" t="s">
        <v>660</v>
      </c>
      <c r="AA3" s="288" t="s">
        <v>661</v>
      </c>
      <c r="AB3" s="288" t="s">
        <v>638</v>
      </c>
      <c r="AC3" s="288" t="s">
        <v>639</v>
      </c>
      <c r="AD3" s="288" t="s">
        <v>782</v>
      </c>
      <c r="AE3" s="288" t="s">
        <v>641</v>
      </c>
      <c r="AF3" s="288" t="s">
        <v>783</v>
      </c>
      <c r="AG3" s="287" t="s">
        <v>784</v>
      </c>
      <c r="AH3" s="288" t="s">
        <v>706</v>
      </c>
      <c r="AI3" s="288" t="s">
        <v>707</v>
      </c>
      <c r="AJ3" s="288" t="s">
        <v>708</v>
      </c>
      <c r="AK3" s="288" t="s">
        <v>709</v>
      </c>
      <c r="AL3" s="288" t="s">
        <v>648</v>
      </c>
      <c r="AM3" s="290">
        <v>2833333</v>
      </c>
      <c r="AN3" s="290">
        <v>0</v>
      </c>
      <c r="AO3" s="290">
        <v>0</v>
      </c>
      <c r="AP3" s="290">
        <v>2833333</v>
      </c>
      <c r="AQ3" s="290">
        <v>0</v>
      </c>
      <c r="AR3" s="290">
        <v>2833333</v>
      </c>
      <c r="AS3" s="287" t="s">
        <v>785</v>
      </c>
      <c r="AT3" s="287" t="s">
        <v>620</v>
      </c>
      <c r="AU3" s="287" t="s">
        <v>786</v>
      </c>
      <c r="AV3" s="287" t="s">
        <v>620</v>
      </c>
      <c r="AW3" s="291">
        <v>44564</v>
      </c>
      <c r="AX3" s="287"/>
      <c r="AY3" s="287"/>
      <c r="AZ3" s="292"/>
      <c r="BA3" s="287"/>
      <c r="BB3" s="287" t="s">
        <v>325</v>
      </c>
      <c r="BC3" s="287">
        <v>0</v>
      </c>
      <c r="BD3" s="287">
        <v>0</v>
      </c>
      <c r="BE3" s="542">
        <v>2833333</v>
      </c>
      <c r="BG3" s="401">
        <f>+BC9-'Meta 1'!O24</f>
        <v>-498639412</v>
      </c>
      <c r="BI3" s="486">
        <v>2833333</v>
      </c>
      <c r="BJ3" s="486"/>
      <c r="BK3" s="486"/>
      <c r="BL3" s="486"/>
      <c r="BM3" s="486"/>
    </row>
    <row r="4" spans="1:65">
      <c r="A4" s="287" t="s">
        <v>670</v>
      </c>
      <c r="B4" s="287">
        <v>7673</v>
      </c>
      <c r="C4" s="288" t="s">
        <v>619</v>
      </c>
      <c r="D4" s="288" t="s">
        <v>620</v>
      </c>
      <c r="E4" s="289">
        <v>44562</v>
      </c>
      <c r="F4" s="289">
        <v>44565</v>
      </c>
      <c r="G4" s="288" t="s">
        <v>621</v>
      </c>
      <c r="H4" s="289">
        <v>44562</v>
      </c>
      <c r="I4" s="288" t="s">
        <v>652</v>
      </c>
      <c r="J4" s="288" t="s">
        <v>653</v>
      </c>
      <c r="K4" s="287" t="s">
        <v>671</v>
      </c>
      <c r="L4" s="289">
        <v>44378</v>
      </c>
      <c r="M4" s="289">
        <v>44561</v>
      </c>
      <c r="N4" s="288" t="s">
        <v>672</v>
      </c>
      <c r="O4" s="288" t="s">
        <v>626</v>
      </c>
      <c r="P4" s="288" t="s">
        <v>627</v>
      </c>
      <c r="Q4" s="287" t="s">
        <v>673</v>
      </c>
      <c r="R4" s="287" t="s">
        <v>674</v>
      </c>
      <c r="S4" s="287" t="s">
        <v>675</v>
      </c>
      <c r="T4" s="288" t="s">
        <v>631</v>
      </c>
      <c r="U4" s="288" t="s">
        <v>329</v>
      </c>
      <c r="V4" s="288" t="s">
        <v>632</v>
      </c>
      <c r="W4" s="288" t="s">
        <v>633</v>
      </c>
      <c r="X4" s="288" t="s">
        <v>659</v>
      </c>
      <c r="Y4" s="288" t="s">
        <v>407</v>
      </c>
      <c r="Z4" s="288" t="s">
        <v>660</v>
      </c>
      <c r="AA4" s="288" t="s">
        <v>661</v>
      </c>
      <c r="AB4" s="288" t="s">
        <v>638</v>
      </c>
      <c r="AC4" s="288" t="s">
        <v>639</v>
      </c>
      <c r="AD4" s="288" t="s">
        <v>662</v>
      </c>
      <c r="AE4" s="288" t="s">
        <v>663</v>
      </c>
      <c r="AF4" s="288" t="s">
        <v>664</v>
      </c>
      <c r="AG4" s="287" t="s">
        <v>665</v>
      </c>
      <c r="AH4" s="288" t="s">
        <v>644</v>
      </c>
      <c r="AI4" s="288" t="s">
        <v>645</v>
      </c>
      <c r="AJ4" s="288" t="s">
        <v>646</v>
      </c>
      <c r="AK4" s="288" t="s">
        <v>647</v>
      </c>
      <c r="AL4" s="288" t="s">
        <v>648</v>
      </c>
      <c r="AM4" s="290">
        <v>253060895</v>
      </c>
      <c r="AN4" s="290">
        <v>0</v>
      </c>
      <c r="AO4" s="290">
        <v>0</v>
      </c>
      <c r="AP4" s="290">
        <v>253060895</v>
      </c>
      <c r="AQ4" s="290">
        <v>0</v>
      </c>
      <c r="AR4" s="290">
        <v>253060895</v>
      </c>
      <c r="AS4" s="287" t="s">
        <v>676</v>
      </c>
      <c r="AT4" s="287" t="s">
        <v>620</v>
      </c>
      <c r="AU4" s="287" t="s">
        <v>677</v>
      </c>
      <c r="AV4" s="287" t="s">
        <v>620</v>
      </c>
      <c r="AW4" s="291">
        <v>44564</v>
      </c>
      <c r="AX4" s="287" t="s">
        <v>678</v>
      </c>
      <c r="AY4" s="287"/>
      <c r="AZ4" s="292">
        <v>44620</v>
      </c>
      <c r="BA4" s="287" t="s">
        <v>669</v>
      </c>
      <c r="BB4" s="287" t="s">
        <v>323</v>
      </c>
      <c r="BC4" s="399">
        <f>AR4*94%</f>
        <v>237877241.29999998</v>
      </c>
      <c r="BD4" s="287">
        <v>0</v>
      </c>
      <c r="BE4" s="543">
        <f>AR4*6%</f>
        <v>15183653.699999999</v>
      </c>
      <c r="BF4" s="541" t="s">
        <v>679</v>
      </c>
      <c r="BG4" s="400"/>
      <c r="BH4" s="398"/>
      <c r="BI4" s="486"/>
      <c r="BJ4" s="486">
        <f>BE4/4</f>
        <v>3795913.4249999998</v>
      </c>
      <c r="BK4" s="486">
        <v>3795913.4249999998</v>
      </c>
      <c r="BL4" s="486">
        <f>3795913.425+3795913.425</f>
        <v>7591826.8499999996</v>
      </c>
      <c r="BM4" s="486"/>
    </row>
    <row r="5" spans="1:65">
      <c r="A5" s="287" t="s">
        <v>764</v>
      </c>
      <c r="B5" s="287">
        <v>7673</v>
      </c>
      <c r="C5" s="288" t="s">
        <v>619</v>
      </c>
      <c r="D5" s="288" t="s">
        <v>620</v>
      </c>
      <c r="E5" s="289">
        <v>44562</v>
      </c>
      <c r="F5" s="289">
        <v>44565</v>
      </c>
      <c r="G5" s="288" t="s">
        <v>621</v>
      </c>
      <c r="H5" s="289">
        <v>44562</v>
      </c>
      <c r="I5" s="288" t="s">
        <v>765</v>
      </c>
      <c r="J5" s="288" t="s">
        <v>766</v>
      </c>
      <c r="K5" s="287" t="s">
        <v>767</v>
      </c>
      <c r="L5" s="289">
        <v>44561</v>
      </c>
      <c r="M5" s="289">
        <v>44561</v>
      </c>
      <c r="N5" s="288" t="s">
        <v>768</v>
      </c>
      <c r="O5" s="288" t="s">
        <v>626</v>
      </c>
      <c r="P5" s="288" t="s">
        <v>627</v>
      </c>
      <c r="Q5" s="287" t="s">
        <v>769</v>
      </c>
      <c r="R5" s="287" t="s">
        <v>770</v>
      </c>
      <c r="S5" s="287" t="s">
        <v>771</v>
      </c>
      <c r="T5" s="288" t="s">
        <v>631</v>
      </c>
      <c r="U5" s="288" t="s">
        <v>329</v>
      </c>
      <c r="V5" s="288" t="s">
        <v>632</v>
      </c>
      <c r="W5" s="288" t="s">
        <v>633</v>
      </c>
      <c r="X5" s="288" t="s">
        <v>634</v>
      </c>
      <c r="Y5" s="288" t="s">
        <v>635</v>
      </c>
      <c r="Z5" s="288" t="s">
        <v>660</v>
      </c>
      <c r="AA5" s="288" t="s">
        <v>661</v>
      </c>
      <c r="AB5" s="288" t="s">
        <v>638</v>
      </c>
      <c r="AC5" s="288" t="s">
        <v>639</v>
      </c>
      <c r="AD5" s="288" t="s">
        <v>772</v>
      </c>
      <c r="AE5" s="288" t="s">
        <v>641</v>
      </c>
      <c r="AF5" s="288" t="s">
        <v>773</v>
      </c>
      <c r="AG5" s="287" t="s">
        <v>774</v>
      </c>
      <c r="AH5" s="288" t="s">
        <v>706</v>
      </c>
      <c r="AI5" s="288" t="s">
        <v>707</v>
      </c>
      <c r="AJ5" s="288" t="s">
        <v>708</v>
      </c>
      <c r="AK5" s="288" t="s">
        <v>709</v>
      </c>
      <c r="AL5" s="288" t="s">
        <v>648</v>
      </c>
      <c r="AM5" s="290">
        <v>1700000</v>
      </c>
      <c r="AN5" s="290">
        <v>0</v>
      </c>
      <c r="AO5" s="290">
        <v>0</v>
      </c>
      <c r="AP5" s="290">
        <v>1700000</v>
      </c>
      <c r="AQ5" s="290">
        <v>0</v>
      </c>
      <c r="AR5" s="290">
        <v>1700000</v>
      </c>
      <c r="AS5" s="287" t="s">
        <v>775</v>
      </c>
      <c r="AT5" s="287" t="s">
        <v>620</v>
      </c>
      <c r="AU5" s="287" t="s">
        <v>776</v>
      </c>
      <c r="AV5" s="287" t="s">
        <v>620</v>
      </c>
      <c r="AW5" s="291">
        <v>44564</v>
      </c>
      <c r="AX5" s="287"/>
      <c r="AY5" s="287"/>
      <c r="AZ5" s="292"/>
      <c r="BA5" s="287"/>
      <c r="BB5" s="287" t="s">
        <v>325</v>
      </c>
      <c r="BC5" s="287">
        <v>0</v>
      </c>
      <c r="BD5" s="287">
        <v>0</v>
      </c>
      <c r="BE5" s="542">
        <v>1700000</v>
      </c>
      <c r="BI5" s="486">
        <v>1700000</v>
      </c>
      <c r="BJ5" s="486"/>
      <c r="BK5" s="486"/>
      <c r="BL5" s="486"/>
      <c r="BM5" s="486"/>
    </row>
    <row r="6" spans="1:65">
      <c r="A6" s="287" t="s">
        <v>680</v>
      </c>
      <c r="B6" s="287">
        <v>7673</v>
      </c>
      <c r="C6" s="288" t="s">
        <v>619</v>
      </c>
      <c r="D6" s="288" t="s">
        <v>620</v>
      </c>
      <c r="E6" s="289">
        <v>44562</v>
      </c>
      <c r="F6" s="289">
        <v>44565</v>
      </c>
      <c r="G6" s="288" t="s">
        <v>621</v>
      </c>
      <c r="H6" s="289">
        <v>44562</v>
      </c>
      <c r="I6" s="288" t="s">
        <v>681</v>
      </c>
      <c r="J6" s="288" t="s">
        <v>682</v>
      </c>
      <c r="K6" s="287" t="s">
        <v>683</v>
      </c>
      <c r="L6" s="289">
        <v>44411</v>
      </c>
      <c r="M6" s="289">
        <v>44561</v>
      </c>
      <c r="N6" s="288" t="s">
        <v>684</v>
      </c>
      <c r="O6" s="288" t="s">
        <v>626</v>
      </c>
      <c r="P6" s="288" t="s">
        <v>627</v>
      </c>
      <c r="Q6" s="287" t="s">
        <v>685</v>
      </c>
      <c r="R6" s="287" t="s">
        <v>686</v>
      </c>
      <c r="S6" s="287" t="s">
        <v>687</v>
      </c>
      <c r="T6" s="288" t="s">
        <v>631</v>
      </c>
      <c r="U6" s="288" t="s">
        <v>329</v>
      </c>
      <c r="V6" s="288" t="s">
        <v>632</v>
      </c>
      <c r="W6" s="288" t="s">
        <v>633</v>
      </c>
      <c r="X6" s="288" t="s">
        <v>659</v>
      </c>
      <c r="Y6" s="288" t="s">
        <v>407</v>
      </c>
      <c r="Z6" s="288" t="s">
        <v>660</v>
      </c>
      <c r="AA6" s="288" t="s">
        <v>661</v>
      </c>
      <c r="AB6" s="288" t="s">
        <v>688</v>
      </c>
      <c r="AC6" s="288" t="s">
        <v>689</v>
      </c>
      <c r="AD6" s="288" t="s">
        <v>690</v>
      </c>
      <c r="AE6" s="288" t="s">
        <v>663</v>
      </c>
      <c r="AF6" s="288" t="s">
        <v>691</v>
      </c>
      <c r="AG6" s="287" t="s">
        <v>692</v>
      </c>
      <c r="AH6" s="288" t="s">
        <v>644</v>
      </c>
      <c r="AI6" s="288" t="s">
        <v>645</v>
      </c>
      <c r="AJ6" s="288" t="s">
        <v>693</v>
      </c>
      <c r="AK6" s="288" t="s">
        <v>694</v>
      </c>
      <c r="AL6" s="288" t="s">
        <v>648</v>
      </c>
      <c r="AM6" s="290">
        <v>2712013</v>
      </c>
      <c r="AN6" s="290">
        <v>0</v>
      </c>
      <c r="AO6" s="290">
        <v>0</v>
      </c>
      <c r="AP6" s="290">
        <v>2712013</v>
      </c>
      <c r="AQ6" s="290">
        <v>0</v>
      </c>
      <c r="AR6" s="290">
        <v>2712013</v>
      </c>
      <c r="AS6" s="287" t="s">
        <v>695</v>
      </c>
      <c r="AT6" s="287" t="s">
        <v>620</v>
      </c>
      <c r="AU6" s="287" t="s">
        <v>696</v>
      </c>
      <c r="AV6" s="287" t="s">
        <v>620</v>
      </c>
      <c r="AW6" s="291">
        <v>44564</v>
      </c>
      <c r="AX6" s="287"/>
      <c r="AY6" s="287"/>
      <c r="AZ6" s="292">
        <v>44561</v>
      </c>
      <c r="BA6" s="287"/>
      <c r="BB6" s="287" t="s">
        <v>325</v>
      </c>
      <c r="BC6" s="287">
        <v>0</v>
      </c>
      <c r="BD6" s="287">
        <v>0</v>
      </c>
      <c r="BE6" s="542">
        <v>2712013</v>
      </c>
      <c r="BI6" s="486"/>
      <c r="BJ6" s="486"/>
      <c r="BK6" s="486">
        <v>2712013</v>
      </c>
      <c r="BL6" s="486"/>
      <c r="BM6" s="486"/>
    </row>
    <row r="7" spans="1:65">
      <c r="A7" s="287" t="s">
        <v>697</v>
      </c>
      <c r="B7" s="287">
        <v>7673</v>
      </c>
      <c r="C7" s="288" t="s">
        <v>619</v>
      </c>
      <c r="D7" s="288" t="s">
        <v>620</v>
      </c>
      <c r="E7" s="289">
        <v>44562</v>
      </c>
      <c r="F7" s="289">
        <v>44565</v>
      </c>
      <c r="G7" s="288" t="s">
        <v>621</v>
      </c>
      <c r="H7" s="289">
        <v>44562</v>
      </c>
      <c r="I7" s="288" t="s">
        <v>652</v>
      </c>
      <c r="J7" s="288" t="s">
        <v>653</v>
      </c>
      <c r="K7" s="287" t="s">
        <v>698</v>
      </c>
      <c r="L7" s="289">
        <v>44477</v>
      </c>
      <c r="M7" s="289">
        <v>44561</v>
      </c>
      <c r="N7" s="288" t="s">
        <v>699</v>
      </c>
      <c r="O7" s="288" t="s">
        <v>626</v>
      </c>
      <c r="P7" s="288" t="s">
        <v>627</v>
      </c>
      <c r="Q7" s="287" t="s">
        <v>700</v>
      </c>
      <c r="R7" s="287" t="s">
        <v>701</v>
      </c>
      <c r="S7" s="287" t="s">
        <v>702</v>
      </c>
      <c r="T7" s="288" t="s">
        <v>631</v>
      </c>
      <c r="U7" s="288" t="s">
        <v>329</v>
      </c>
      <c r="V7" s="288" t="s">
        <v>632</v>
      </c>
      <c r="W7" s="288" t="s">
        <v>633</v>
      </c>
      <c r="X7" s="288" t="s">
        <v>659</v>
      </c>
      <c r="Y7" s="288" t="s">
        <v>407</v>
      </c>
      <c r="Z7" s="288" t="s">
        <v>660</v>
      </c>
      <c r="AA7" s="288" t="s">
        <v>661</v>
      </c>
      <c r="AB7" s="288" t="s">
        <v>638</v>
      </c>
      <c r="AC7" s="288" t="s">
        <v>639</v>
      </c>
      <c r="AD7" s="288" t="s">
        <v>703</v>
      </c>
      <c r="AE7" s="288" t="s">
        <v>663</v>
      </c>
      <c r="AF7" s="288" t="s">
        <v>704</v>
      </c>
      <c r="AG7" s="287" t="s">
        <v>705</v>
      </c>
      <c r="AH7" s="288" t="s">
        <v>706</v>
      </c>
      <c r="AI7" s="288" t="s">
        <v>707</v>
      </c>
      <c r="AJ7" s="288" t="s">
        <v>708</v>
      </c>
      <c r="AK7" s="288" t="s">
        <v>709</v>
      </c>
      <c r="AL7" s="288" t="s">
        <v>648</v>
      </c>
      <c r="AM7" s="290">
        <v>24000003</v>
      </c>
      <c r="AN7" s="290">
        <v>0</v>
      </c>
      <c r="AO7" s="290">
        <v>0</v>
      </c>
      <c r="AP7" s="290">
        <v>24000003</v>
      </c>
      <c r="AQ7" s="290">
        <v>0</v>
      </c>
      <c r="AR7" s="290">
        <v>24000003</v>
      </c>
      <c r="AS7" s="287" t="s">
        <v>710</v>
      </c>
      <c r="AT7" s="287" t="s">
        <v>620</v>
      </c>
      <c r="AU7" s="287" t="s">
        <v>711</v>
      </c>
      <c r="AV7" s="287" t="s">
        <v>620</v>
      </c>
      <c r="AW7" s="291">
        <v>44564</v>
      </c>
      <c r="AX7" s="287" t="s">
        <v>712</v>
      </c>
      <c r="AY7" s="287"/>
      <c r="AZ7" s="292">
        <v>44633</v>
      </c>
      <c r="BA7" s="287"/>
      <c r="BB7" s="287" t="s">
        <v>324</v>
      </c>
      <c r="BC7" s="287">
        <v>0</v>
      </c>
      <c r="BD7" s="293">
        <v>24000003</v>
      </c>
      <c r="BE7" s="542">
        <v>0</v>
      </c>
      <c r="BI7" s="486"/>
      <c r="BJ7" s="486"/>
      <c r="BK7" s="486"/>
      <c r="BL7" s="486"/>
      <c r="BM7" s="486"/>
    </row>
    <row r="8" spans="1:65">
      <c r="A8" s="287" t="s">
        <v>731</v>
      </c>
      <c r="B8" s="287">
        <v>7673</v>
      </c>
      <c r="C8" s="288" t="s">
        <v>619</v>
      </c>
      <c r="D8" s="288" t="s">
        <v>620</v>
      </c>
      <c r="E8" s="289">
        <v>44562</v>
      </c>
      <c r="F8" s="289">
        <v>44565</v>
      </c>
      <c r="G8" s="288" t="s">
        <v>621</v>
      </c>
      <c r="H8" s="289">
        <v>44562</v>
      </c>
      <c r="I8" s="288" t="s">
        <v>732</v>
      </c>
      <c r="J8" s="288" t="s">
        <v>733</v>
      </c>
      <c r="K8" s="287" t="s">
        <v>734</v>
      </c>
      <c r="L8" s="289">
        <v>44525</v>
      </c>
      <c r="M8" s="289">
        <v>44561</v>
      </c>
      <c r="N8" s="288" t="s">
        <v>735</v>
      </c>
      <c r="O8" s="288" t="s">
        <v>626</v>
      </c>
      <c r="P8" s="288" t="s">
        <v>627</v>
      </c>
      <c r="Q8" s="287" t="s">
        <v>736</v>
      </c>
      <c r="R8" s="287" t="s">
        <v>737</v>
      </c>
      <c r="S8" s="287" t="s">
        <v>738</v>
      </c>
      <c r="T8" s="288" t="s">
        <v>631</v>
      </c>
      <c r="U8" s="288" t="s">
        <v>329</v>
      </c>
      <c r="V8" s="288" t="s">
        <v>632</v>
      </c>
      <c r="W8" s="288" t="s">
        <v>633</v>
      </c>
      <c r="X8" s="288" t="s">
        <v>739</v>
      </c>
      <c r="Y8" s="288" t="s">
        <v>740</v>
      </c>
      <c r="Z8" s="288" t="s">
        <v>660</v>
      </c>
      <c r="AA8" s="288" t="s">
        <v>661</v>
      </c>
      <c r="AB8" s="288" t="s">
        <v>638</v>
      </c>
      <c r="AC8" s="288" t="s">
        <v>639</v>
      </c>
      <c r="AD8" s="288" t="s">
        <v>741</v>
      </c>
      <c r="AE8" s="288" t="s">
        <v>663</v>
      </c>
      <c r="AF8" s="288" t="s">
        <v>742</v>
      </c>
      <c r="AG8" s="287" t="s">
        <v>743</v>
      </c>
      <c r="AH8" s="288" t="s">
        <v>706</v>
      </c>
      <c r="AI8" s="288" t="s">
        <v>707</v>
      </c>
      <c r="AJ8" s="288" t="s">
        <v>708</v>
      </c>
      <c r="AK8" s="288" t="s">
        <v>709</v>
      </c>
      <c r="AL8" s="288" t="s">
        <v>648</v>
      </c>
      <c r="AM8" s="290">
        <v>84577253</v>
      </c>
      <c r="AN8" s="290">
        <v>0</v>
      </c>
      <c r="AO8" s="290">
        <v>0</v>
      </c>
      <c r="AP8" s="290">
        <v>84577253</v>
      </c>
      <c r="AQ8" s="290">
        <v>0</v>
      </c>
      <c r="AR8" s="290">
        <v>84577253</v>
      </c>
      <c r="AS8" s="287" t="s">
        <v>744</v>
      </c>
      <c r="AT8" s="287" t="s">
        <v>620</v>
      </c>
      <c r="AU8" s="287" t="s">
        <v>745</v>
      </c>
      <c r="AV8" s="287" t="s">
        <v>620</v>
      </c>
      <c r="AW8" s="291">
        <v>44564</v>
      </c>
      <c r="AX8" s="287" t="s">
        <v>746</v>
      </c>
      <c r="AY8" s="287"/>
      <c r="AZ8" s="292">
        <v>44671</v>
      </c>
      <c r="BA8" s="287" t="s">
        <v>747</v>
      </c>
      <c r="BB8" s="287" t="s">
        <v>323</v>
      </c>
      <c r="BC8" s="293">
        <v>84577253</v>
      </c>
      <c r="BD8" s="287">
        <v>0</v>
      </c>
      <c r="BE8" s="542">
        <v>0</v>
      </c>
      <c r="BI8" s="486"/>
      <c r="BJ8" s="486"/>
      <c r="BK8" s="486"/>
      <c r="BL8" s="486"/>
      <c r="BM8" s="486"/>
    </row>
    <row r="9" spans="1:65">
      <c r="A9" s="287" t="s">
        <v>748</v>
      </c>
      <c r="B9" s="287">
        <v>7673</v>
      </c>
      <c r="C9" s="288" t="s">
        <v>619</v>
      </c>
      <c r="D9" s="288" t="s">
        <v>620</v>
      </c>
      <c r="E9" s="289">
        <v>44562</v>
      </c>
      <c r="F9" s="289">
        <v>44565</v>
      </c>
      <c r="G9" s="288" t="s">
        <v>621</v>
      </c>
      <c r="H9" s="289">
        <v>44562</v>
      </c>
      <c r="I9" s="288" t="s">
        <v>749</v>
      </c>
      <c r="J9" s="288" t="s">
        <v>750</v>
      </c>
      <c r="K9" s="287" t="s">
        <v>751</v>
      </c>
      <c r="L9" s="289">
        <v>44530</v>
      </c>
      <c r="M9" s="289">
        <v>44561</v>
      </c>
      <c r="N9" s="288" t="s">
        <v>752</v>
      </c>
      <c r="O9" s="288" t="s">
        <v>626</v>
      </c>
      <c r="P9" s="288" t="s">
        <v>627</v>
      </c>
      <c r="Q9" s="287" t="s">
        <v>753</v>
      </c>
      <c r="R9" s="287" t="s">
        <v>754</v>
      </c>
      <c r="S9" s="287" t="s">
        <v>755</v>
      </c>
      <c r="T9" s="288" t="s">
        <v>631</v>
      </c>
      <c r="U9" s="288" t="s">
        <v>329</v>
      </c>
      <c r="V9" s="288" t="s">
        <v>632</v>
      </c>
      <c r="W9" s="288" t="s">
        <v>633</v>
      </c>
      <c r="X9" s="288" t="s">
        <v>721</v>
      </c>
      <c r="Y9" s="288" t="s">
        <v>722</v>
      </c>
      <c r="Z9" s="288" t="s">
        <v>660</v>
      </c>
      <c r="AA9" s="288" t="s">
        <v>661</v>
      </c>
      <c r="AB9" s="288" t="s">
        <v>756</v>
      </c>
      <c r="AC9" s="288" t="s">
        <v>757</v>
      </c>
      <c r="AD9" s="288" t="s">
        <v>758</v>
      </c>
      <c r="AE9" s="288" t="s">
        <v>663</v>
      </c>
      <c r="AF9" s="288" t="s">
        <v>759</v>
      </c>
      <c r="AG9" s="287" t="s">
        <v>760</v>
      </c>
      <c r="AH9" s="288" t="s">
        <v>706</v>
      </c>
      <c r="AI9" s="288" t="s">
        <v>707</v>
      </c>
      <c r="AJ9" s="288" t="s">
        <v>708</v>
      </c>
      <c r="AK9" s="288" t="s">
        <v>709</v>
      </c>
      <c r="AL9" s="288" t="s">
        <v>648</v>
      </c>
      <c r="AM9" s="290">
        <v>16000000</v>
      </c>
      <c r="AN9" s="290">
        <v>0</v>
      </c>
      <c r="AO9" s="290">
        <v>0</v>
      </c>
      <c r="AP9" s="290">
        <v>16000000</v>
      </c>
      <c r="AQ9" s="290">
        <v>0</v>
      </c>
      <c r="AR9" s="290">
        <v>16000000</v>
      </c>
      <c r="AS9" s="287" t="s">
        <v>761</v>
      </c>
      <c r="AT9" s="287" t="s">
        <v>620</v>
      </c>
      <c r="AU9" s="287" t="s">
        <v>762</v>
      </c>
      <c r="AV9" s="287" t="s">
        <v>620</v>
      </c>
      <c r="AW9" s="291">
        <v>44564</v>
      </c>
      <c r="AX9" s="287" t="s">
        <v>763</v>
      </c>
      <c r="AY9" s="287"/>
      <c r="AZ9" s="292">
        <v>44683</v>
      </c>
      <c r="BA9" s="287" t="s">
        <v>747</v>
      </c>
      <c r="BB9" s="287" t="s">
        <v>323</v>
      </c>
      <c r="BC9" s="293">
        <v>16000000</v>
      </c>
      <c r="BD9" s="287">
        <v>0</v>
      </c>
      <c r="BE9" s="542">
        <v>0</v>
      </c>
      <c r="BI9" s="486"/>
      <c r="BJ9" s="486"/>
      <c r="BK9" s="486"/>
      <c r="BL9" s="486"/>
      <c r="BM9" s="486"/>
    </row>
    <row r="10" spans="1:65">
      <c r="A10" s="287" t="s">
        <v>803</v>
      </c>
      <c r="B10" s="287">
        <v>7673</v>
      </c>
      <c r="C10" s="288" t="s">
        <v>619</v>
      </c>
      <c r="D10" s="288" t="s">
        <v>620</v>
      </c>
      <c r="E10" s="289">
        <v>44562</v>
      </c>
      <c r="F10" s="289">
        <v>44565</v>
      </c>
      <c r="G10" s="288" t="s">
        <v>621</v>
      </c>
      <c r="H10" s="289">
        <v>44562</v>
      </c>
      <c r="I10" s="288" t="s">
        <v>732</v>
      </c>
      <c r="J10" s="288" t="s">
        <v>733</v>
      </c>
      <c r="K10" s="287" t="s">
        <v>804</v>
      </c>
      <c r="L10" s="289">
        <v>44554</v>
      </c>
      <c r="M10" s="289">
        <v>44561</v>
      </c>
      <c r="N10" s="288" t="s">
        <v>717</v>
      </c>
      <c r="O10" s="288" t="s">
        <v>626</v>
      </c>
      <c r="P10" s="288" t="s">
        <v>627</v>
      </c>
      <c r="Q10" s="287" t="s">
        <v>805</v>
      </c>
      <c r="R10" s="287" t="s">
        <v>806</v>
      </c>
      <c r="S10" s="287" t="s">
        <v>807</v>
      </c>
      <c r="T10" s="288" t="s">
        <v>631</v>
      </c>
      <c r="U10" s="288" t="s">
        <v>329</v>
      </c>
      <c r="V10" s="288" t="s">
        <v>632</v>
      </c>
      <c r="W10" s="288" t="s">
        <v>633</v>
      </c>
      <c r="X10" s="288" t="s">
        <v>659</v>
      </c>
      <c r="Y10" s="288" t="s">
        <v>407</v>
      </c>
      <c r="Z10" s="288" t="s">
        <v>660</v>
      </c>
      <c r="AA10" s="288" t="s">
        <v>661</v>
      </c>
      <c r="AB10" s="288" t="s">
        <v>714</v>
      </c>
      <c r="AC10" s="288" t="s">
        <v>723</v>
      </c>
      <c r="AD10" s="288" t="s">
        <v>808</v>
      </c>
      <c r="AE10" s="288" t="s">
        <v>663</v>
      </c>
      <c r="AF10" s="288" t="s">
        <v>809</v>
      </c>
      <c r="AG10" s="287" t="s">
        <v>810</v>
      </c>
      <c r="AH10" s="288" t="s">
        <v>706</v>
      </c>
      <c r="AI10" s="288" t="s">
        <v>707</v>
      </c>
      <c r="AJ10" s="288" t="s">
        <v>708</v>
      </c>
      <c r="AK10" s="288" t="s">
        <v>709</v>
      </c>
      <c r="AL10" s="288" t="s">
        <v>648</v>
      </c>
      <c r="AM10" s="290">
        <v>31500000</v>
      </c>
      <c r="AN10" s="290">
        <v>0</v>
      </c>
      <c r="AO10" s="290">
        <v>0</v>
      </c>
      <c r="AP10" s="290">
        <v>31500000</v>
      </c>
      <c r="AQ10" s="290">
        <v>0</v>
      </c>
      <c r="AR10" s="290">
        <v>31500000</v>
      </c>
      <c r="AS10" s="287" t="s">
        <v>811</v>
      </c>
      <c r="AT10" s="287" t="s">
        <v>620</v>
      </c>
      <c r="AU10" s="287" t="s">
        <v>812</v>
      </c>
      <c r="AV10" s="287" t="s">
        <v>620</v>
      </c>
      <c r="AW10" s="291">
        <v>44564</v>
      </c>
      <c r="AX10" s="287"/>
      <c r="AY10" s="287"/>
      <c r="AZ10" s="292"/>
      <c r="BA10" s="287"/>
      <c r="BB10" s="287" t="s">
        <v>323</v>
      </c>
      <c r="BC10" s="293">
        <v>31500000</v>
      </c>
      <c r="BD10" s="287">
        <v>0</v>
      </c>
      <c r="BE10" s="542">
        <v>0</v>
      </c>
      <c r="BI10" s="486"/>
      <c r="BJ10" s="486"/>
      <c r="BK10" s="486"/>
      <c r="BL10" s="486"/>
      <c r="BM10" s="486"/>
    </row>
    <row r="11" spans="1:65">
      <c r="A11" s="287" t="s">
        <v>713</v>
      </c>
      <c r="B11" s="287">
        <v>7673</v>
      </c>
      <c r="C11" s="288" t="s">
        <v>619</v>
      </c>
      <c r="D11" s="288" t="s">
        <v>620</v>
      </c>
      <c r="E11" s="289">
        <v>44562</v>
      </c>
      <c r="F11" s="289">
        <v>44565</v>
      </c>
      <c r="G11" s="288" t="s">
        <v>621</v>
      </c>
      <c r="H11" s="289">
        <v>44562</v>
      </c>
      <c r="I11" s="288" t="s">
        <v>714</v>
      </c>
      <c r="J11" s="288" t="s">
        <v>715</v>
      </c>
      <c r="K11" s="287" t="s">
        <v>716</v>
      </c>
      <c r="L11" s="289">
        <v>44490</v>
      </c>
      <c r="M11" s="289">
        <v>44497</v>
      </c>
      <c r="N11" s="288" t="s">
        <v>717</v>
      </c>
      <c r="O11" s="288" t="s">
        <v>626</v>
      </c>
      <c r="P11" s="288" t="s">
        <v>627</v>
      </c>
      <c r="Q11" s="287" t="s">
        <v>718</v>
      </c>
      <c r="R11" s="287" t="s">
        <v>719</v>
      </c>
      <c r="S11" s="287" t="s">
        <v>720</v>
      </c>
      <c r="T11" s="288" t="s">
        <v>631</v>
      </c>
      <c r="U11" s="288" t="s">
        <v>329</v>
      </c>
      <c r="V11" s="288" t="s">
        <v>632</v>
      </c>
      <c r="W11" s="288" t="s">
        <v>633</v>
      </c>
      <c r="X11" s="288" t="s">
        <v>721</v>
      </c>
      <c r="Y11" s="288" t="s">
        <v>722</v>
      </c>
      <c r="Z11" s="288" t="s">
        <v>660</v>
      </c>
      <c r="AA11" s="288" t="s">
        <v>661</v>
      </c>
      <c r="AB11" s="288" t="s">
        <v>714</v>
      </c>
      <c r="AC11" s="288" t="s">
        <v>723</v>
      </c>
      <c r="AD11" s="288" t="s">
        <v>724</v>
      </c>
      <c r="AE11" s="288" t="s">
        <v>663</v>
      </c>
      <c r="AF11" s="288" t="s">
        <v>725</v>
      </c>
      <c r="AG11" s="287" t="s">
        <v>726</v>
      </c>
      <c r="AH11" s="288" t="s">
        <v>706</v>
      </c>
      <c r="AI11" s="288" t="s">
        <v>707</v>
      </c>
      <c r="AJ11" s="288" t="s">
        <v>708</v>
      </c>
      <c r="AK11" s="288" t="s">
        <v>709</v>
      </c>
      <c r="AL11" s="288" t="s">
        <v>648</v>
      </c>
      <c r="AM11" s="290">
        <v>4759996</v>
      </c>
      <c r="AN11" s="290">
        <v>0</v>
      </c>
      <c r="AO11" s="290">
        <v>0</v>
      </c>
      <c r="AP11" s="290">
        <v>4759996</v>
      </c>
      <c r="AQ11" s="290">
        <v>0</v>
      </c>
      <c r="AR11" s="290">
        <v>4759996</v>
      </c>
      <c r="AS11" s="287" t="s">
        <v>727</v>
      </c>
      <c r="AT11" s="287" t="s">
        <v>620</v>
      </c>
      <c r="AU11" s="287" t="s">
        <v>728</v>
      </c>
      <c r="AV11" s="287" t="s">
        <v>620</v>
      </c>
      <c r="AW11" s="291">
        <v>44564</v>
      </c>
      <c r="AX11" s="287" t="s">
        <v>729</v>
      </c>
      <c r="AY11" s="287" t="s">
        <v>730</v>
      </c>
      <c r="AZ11" s="292">
        <v>44518</v>
      </c>
      <c r="BA11" s="287"/>
      <c r="BB11" s="287" t="s">
        <v>323</v>
      </c>
      <c r="BC11" s="293">
        <v>4759996</v>
      </c>
      <c r="BD11" s="287">
        <v>0</v>
      </c>
      <c r="BE11" s="542">
        <v>0</v>
      </c>
      <c r="BG11" s="401">
        <f>+BC8-'Meta 1'!F24</f>
        <v>-203378283</v>
      </c>
      <c r="BI11" s="486"/>
      <c r="BJ11" s="486"/>
      <c r="BK11" s="486"/>
      <c r="BL11" s="486"/>
      <c r="BM11" s="486"/>
    </row>
    <row r="12" spans="1:65">
      <c r="A12" s="287" t="s">
        <v>787</v>
      </c>
      <c r="B12" s="287">
        <v>7673</v>
      </c>
      <c r="C12" s="288" t="s">
        <v>619</v>
      </c>
      <c r="D12" s="288" t="s">
        <v>620</v>
      </c>
      <c r="E12" s="289">
        <v>44562</v>
      </c>
      <c r="F12" s="289">
        <v>44565</v>
      </c>
      <c r="G12" s="288" t="s">
        <v>621</v>
      </c>
      <c r="H12" s="289">
        <v>44562</v>
      </c>
      <c r="I12" s="288" t="s">
        <v>714</v>
      </c>
      <c r="J12" s="288" t="s">
        <v>715</v>
      </c>
      <c r="K12" s="287" t="s">
        <v>788</v>
      </c>
      <c r="L12" s="289">
        <v>44557</v>
      </c>
      <c r="M12" s="289">
        <v>44561</v>
      </c>
      <c r="N12" s="288" t="s">
        <v>789</v>
      </c>
      <c r="O12" s="288" t="s">
        <v>626</v>
      </c>
      <c r="P12" s="288" t="s">
        <v>627</v>
      </c>
      <c r="Q12" s="287" t="s">
        <v>790</v>
      </c>
      <c r="R12" s="287" t="s">
        <v>791</v>
      </c>
      <c r="S12" s="287" t="s">
        <v>792</v>
      </c>
      <c r="T12" s="288" t="s">
        <v>631</v>
      </c>
      <c r="U12" s="288" t="s">
        <v>329</v>
      </c>
      <c r="V12" s="288" t="s">
        <v>632</v>
      </c>
      <c r="W12" s="288" t="s">
        <v>633</v>
      </c>
      <c r="X12" s="288" t="s">
        <v>793</v>
      </c>
      <c r="Y12" s="288" t="s">
        <v>794</v>
      </c>
      <c r="Z12" s="288" t="s">
        <v>660</v>
      </c>
      <c r="AA12" s="288" t="s">
        <v>661</v>
      </c>
      <c r="AB12" s="288" t="s">
        <v>795</v>
      </c>
      <c r="AC12" s="288" t="s">
        <v>796</v>
      </c>
      <c r="AD12" s="288" t="s">
        <v>797</v>
      </c>
      <c r="AE12" s="288" t="s">
        <v>663</v>
      </c>
      <c r="AF12" s="288" t="s">
        <v>798</v>
      </c>
      <c r="AG12" s="287" t="s">
        <v>799</v>
      </c>
      <c r="AH12" s="288" t="s">
        <v>706</v>
      </c>
      <c r="AI12" s="288" t="s">
        <v>707</v>
      </c>
      <c r="AJ12" s="288" t="s">
        <v>708</v>
      </c>
      <c r="AK12" s="288" t="s">
        <v>709</v>
      </c>
      <c r="AL12" s="288" t="s">
        <v>648</v>
      </c>
      <c r="AM12" s="290">
        <v>130507157</v>
      </c>
      <c r="AN12" s="290">
        <v>0</v>
      </c>
      <c r="AO12" s="290">
        <v>0</v>
      </c>
      <c r="AP12" s="290">
        <v>130507157</v>
      </c>
      <c r="AQ12" s="290">
        <v>0</v>
      </c>
      <c r="AR12" s="290">
        <v>130507157</v>
      </c>
      <c r="AS12" s="287" t="s">
        <v>800</v>
      </c>
      <c r="AT12" s="287" t="s">
        <v>620</v>
      </c>
      <c r="AU12" s="287" t="s">
        <v>801</v>
      </c>
      <c r="AV12" s="287" t="s">
        <v>620</v>
      </c>
      <c r="AW12" s="291">
        <v>44564</v>
      </c>
      <c r="AX12" s="287" t="s">
        <v>802</v>
      </c>
      <c r="AY12" s="287"/>
      <c r="AZ12" s="292"/>
      <c r="BA12" s="287" t="s">
        <v>669</v>
      </c>
      <c r="BB12" s="287" t="s">
        <v>1102</v>
      </c>
      <c r="BC12" s="293">
        <f>120066584.44+10440572.56</f>
        <v>130507157</v>
      </c>
      <c r="BD12" s="287">
        <v>0</v>
      </c>
      <c r="BE12" s="542"/>
      <c r="BI12" s="486"/>
      <c r="BJ12" s="486"/>
      <c r="BK12" s="486"/>
      <c r="BL12" s="486"/>
      <c r="BM12" s="486"/>
    </row>
    <row r="13" spans="1:65">
      <c r="A13" s="287" t="s">
        <v>651</v>
      </c>
      <c r="B13" s="287">
        <v>7673</v>
      </c>
      <c r="C13" s="288" t="s">
        <v>619</v>
      </c>
      <c r="D13" s="288" t="s">
        <v>620</v>
      </c>
      <c r="E13" s="289">
        <v>44562</v>
      </c>
      <c r="F13" s="289">
        <v>44565</v>
      </c>
      <c r="G13" s="288" t="s">
        <v>621</v>
      </c>
      <c r="H13" s="289">
        <v>44562</v>
      </c>
      <c r="I13" s="288" t="s">
        <v>652</v>
      </c>
      <c r="J13" s="288" t="s">
        <v>653</v>
      </c>
      <c r="K13" s="287" t="s">
        <v>654</v>
      </c>
      <c r="L13" s="289">
        <v>44319</v>
      </c>
      <c r="M13" s="289">
        <v>44377</v>
      </c>
      <c r="N13" s="288" t="s">
        <v>655</v>
      </c>
      <c r="O13" s="288" t="s">
        <v>626</v>
      </c>
      <c r="P13" s="288" t="s">
        <v>627</v>
      </c>
      <c r="Q13" s="287" t="s">
        <v>656</v>
      </c>
      <c r="R13" s="287" t="s">
        <v>657</v>
      </c>
      <c r="S13" s="287" t="s">
        <v>658</v>
      </c>
      <c r="T13" s="288" t="s">
        <v>631</v>
      </c>
      <c r="U13" s="288" t="s">
        <v>329</v>
      </c>
      <c r="V13" s="288" t="s">
        <v>632</v>
      </c>
      <c r="W13" s="288" t="s">
        <v>633</v>
      </c>
      <c r="X13" s="288" t="s">
        <v>659</v>
      </c>
      <c r="Y13" s="288" t="s">
        <v>407</v>
      </c>
      <c r="Z13" s="288" t="s">
        <v>660</v>
      </c>
      <c r="AA13" s="288" t="s">
        <v>661</v>
      </c>
      <c r="AB13" s="288" t="s">
        <v>638</v>
      </c>
      <c r="AC13" s="288" t="s">
        <v>639</v>
      </c>
      <c r="AD13" s="288" t="s">
        <v>662</v>
      </c>
      <c r="AE13" s="288" t="s">
        <v>663</v>
      </c>
      <c r="AF13" s="288" t="s">
        <v>664</v>
      </c>
      <c r="AG13" s="287" t="s">
        <v>665</v>
      </c>
      <c r="AH13" s="288" t="s">
        <v>644</v>
      </c>
      <c r="AI13" s="288" t="s">
        <v>645</v>
      </c>
      <c r="AJ13" s="288" t="s">
        <v>646</v>
      </c>
      <c r="AK13" s="288" t="s">
        <v>647</v>
      </c>
      <c r="AL13" s="288" t="s">
        <v>648</v>
      </c>
      <c r="AM13" s="290">
        <v>4167765</v>
      </c>
      <c r="AN13" s="290">
        <v>0</v>
      </c>
      <c r="AO13" s="290">
        <v>0</v>
      </c>
      <c r="AP13" s="290">
        <v>4167765</v>
      </c>
      <c r="AQ13" s="290">
        <v>0</v>
      </c>
      <c r="AR13" s="290">
        <v>4167765</v>
      </c>
      <c r="AS13" s="287" t="s">
        <v>666</v>
      </c>
      <c r="AT13" s="287" t="s">
        <v>620</v>
      </c>
      <c r="AU13" s="287" t="s">
        <v>667</v>
      </c>
      <c r="AV13" s="287" t="s">
        <v>620</v>
      </c>
      <c r="AW13" s="291">
        <v>44564</v>
      </c>
      <c r="AX13" s="287" t="s">
        <v>668</v>
      </c>
      <c r="AY13" s="287"/>
      <c r="AZ13" s="292"/>
      <c r="BA13" s="287" t="s">
        <v>669</v>
      </c>
      <c r="BB13" s="287" t="s">
        <v>323</v>
      </c>
      <c r="BC13" s="293">
        <v>4167765</v>
      </c>
      <c r="BD13" s="287">
        <v>0</v>
      </c>
      <c r="BE13" s="542">
        <v>0</v>
      </c>
      <c r="BI13" s="486"/>
      <c r="BJ13" s="486"/>
      <c r="BK13" s="486"/>
      <c r="BL13" s="486"/>
      <c r="BM13" s="486"/>
    </row>
    <row r="14" spans="1:65">
      <c r="A14" s="288"/>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544"/>
      <c r="BI14" s="486"/>
      <c r="BJ14" s="486"/>
      <c r="BK14" s="486"/>
      <c r="BL14" s="486"/>
      <c r="BM14" s="486"/>
    </row>
    <row r="15" spans="1:65">
      <c r="A15" s="288"/>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93">
        <v>5753056358</v>
      </c>
      <c r="AS15" s="288"/>
      <c r="AT15" s="288"/>
      <c r="AU15" s="288"/>
      <c r="AV15" s="288"/>
      <c r="AW15" s="288"/>
      <c r="AX15" s="288"/>
      <c r="AY15" s="288"/>
      <c r="AZ15" s="288"/>
      <c r="BA15" s="288"/>
      <c r="BB15" s="288"/>
      <c r="BC15" s="294">
        <f>SUM(BC2:BC14)</f>
        <v>514639412.29999995</v>
      </c>
      <c r="BD15" s="294">
        <f t="shared" ref="BD15:BE15" si="0">SUM(BD2:BD14)</f>
        <v>24000003</v>
      </c>
      <c r="BE15" s="544">
        <f t="shared" si="0"/>
        <v>22428999.699999999</v>
      </c>
      <c r="BF15" s="545">
        <f>SUM(BC15:BE15)</f>
        <v>561068415</v>
      </c>
      <c r="BI15" s="486">
        <f>SUM(BI2:BI14)</f>
        <v>4533333</v>
      </c>
      <c r="BJ15" s="486">
        <f>SUM(BJ2:BJ14)</f>
        <v>3795913.4249999998</v>
      </c>
      <c r="BK15" s="486">
        <f>SUM(BK2:BK14)</f>
        <v>6507926.4249999998</v>
      </c>
      <c r="BL15" s="486">
        <f>SUM(BL2:BL14)</f>
        <v>7591826.8499999996</v>
      </c>
      <c r="BM15" s="486">
        <f>SUM(BM2:BM14)</f>
        <v>0</v>
      </c>
    </row>
    <row r="17" spans="4:58">
      <c r="BA17" t="s">
        <v>813</v>
      </c>
      <c r="BC17" s="294">
        <v>504198840.29999983</v>
      </c>
      <c r="BD17" s="294">
        <v>24000003</v>
      </c>
      <c r="BE17" s="544">
        <v>32869571.700000048</v>
      </c>
      <c r="BF17" s="545">
        <f>SUM(BC17:BE17)</f>
        <v>561068414.99999988</v>
      </c>
    </row>
    <row r="18" spans="4:58">
      <c r="BD18" s="294"/>
      <c r="BE18" s="544"/>
    </row>
    <row r="19" spans="4:58">
      <c r="BC19" s="398">
        <f>+BC15-BC17</f>
        <v>10440572.000000119</v>
      </c>
      <c r="BD19" s="398">
        <f>+BD15-BD17</f>
        <v>0</v>
      </c>
      <c r="BE19" s="541">
        <f>+BE15-BE17</f>
        <v>-10440572.000000048</v>
      </c>
    </row>
    <row r="31" spans="4:58">
      <c r="AV31" s="1068" t="s">
        <v>1103</v>
      </c>
      <c r="AW31" s="1068"/>
      <c r="AX31" s="1068"/>
      <c r="AZ31" s="1068" t="s">
        <v>1104</v>
      </c>
      <c r="BA31" s="1068"/>
      <c r="BB31" s="1068"/>
    </row>
    <row r="32" spans="4:58" ht="60">
      <c r="D32" s="535" t="s">
        <v>572</v>
      </c>
      <c r="E32" s="535" t="s">
        <v>573</v>
      </c>
      <c r="F32" s="535" t="s">
        <v>574</v>
      </c>
      <c r="G32" s="535" t="s">
        <v>575</v>
      </c>
      <c r="H32" s="536" t="s">
        <v>576</v>
      </c>
      <c r="I32" s="536" t="s">
        <v>577</v>
      </c>
      <c r="J32" s="535" t="s">
        <v>578</v>
      </c>
      <c r="K32" s="537" t="s">
        <v>579</v>
      </c>
      <c r="L32" s="535" t="s">
        <v>573</v>
      </c>
      <c r="M32" s="535" t="s">
        <v>574</v>
      </c>
      <c r="N32" s="535" t="s">
        <v>580</v>
      </c>
      <c r="O32" s="535" t="s">
        <v>581</v>
      </c>
      <c r="P32" s="535" t="s">
        <v>521</v>
      </c>
      <c r="Q32" s="535" t="s">
        <v>582</v>
      </c>
      <c r="R32" s="535" t="s">
        <v>583</v>
      </c>
      <c r="S32" s="535" t="s">
        <v>584</v>
      </c>
      <c r="T32" s="535" t="s">
        <v>585</v>
      </c>
      <c r="U32" s="535" t="s">
        <v>586</v>
      </c>
      <c r="V32" s="535" t="s">
        <v>587</v>
      </c>
      <c r="W32" s="535" t="s">
        <v>588</v>
      </c>
      <c r="X32" s="535" t="s">
        <v>589</v>
      </c>
      <c r="Y32" s="535" t="s">
        <v>590</v>
      </c>
      <c r="Z32" s="535" t="s">
        <v>591</v>
      </c>
      <c r="AA32" s="535" t="s">
        <v>592</v>
      </c>
      <c r="AB32" s="536" t="s">
        <v>593</v>
      </c>
      <c r="AC32" s="535" t="s">
        <v>521</v>
      </c>
      <c r="AD32" s="535" t="s">
        <v>594</v>
      </c>
      <c r="AE32" s="536" t="s">
        <v>595</v>
      </c>
      <c r="AF32" s="535" t="s">
        <v>596</v>
      </c>
      <c r="AG32" s="535" t="s">
        <v>597</v>
      </c>
      <c r="AH32" s="536" t="s">
        <v>602</v>
      </c>
      <c r="AI32" s="535" t="s">
        <v>603</v>
      </c>
      <c r="AJ32" s="535" t="s">
        <v>604</v>
      </c>
      <c r="AK32" s="535" t="s">
        <v>605</v>
      </c>
      <c r="AL32" s="535" t="s">
        <v>606</v>
      </c>
      <c r="AM32" s="535" t="s">
        <v>607</v>
      </c>
      <c r="AN32" s="536" t="s">
        <v>608</v>
      </c>
      <c r="AO32" s="535" t="s">
        <v>609</v>
      </c>
      <c r="AP32" s="536" t="s">
        <v>610</v>
      </c>
      <c r="AQ32" s="536" t="s">
        <v>611</v>
      </c>
      <c r="AR32" s="536" t="s">
        <v>612</v>
      </c>
      <c r="AS32" s="535" t="s">
        <v>613</v>
      </c>
      <c r="AU32" s="283"/>
      <c r="AV32" s="485" t="s">
        <v>323</v>
      </c>
      <c r="AW32" s="485" t="s">
        <v>324</v>
      </c>
      <c r="AX32" s="485" t="s">
        <v>325</v>
      </c>
      <c r="AZ32" s="485" t="s">
        <v>323</v>
      </c>
      <c r="BA32" s="485" t="s">
        <v>324</v>
      </c>
      <c r="BB32" s="485" t="s">
        <v>325</v>
      </c>
    </row>
    <row r="33" spans="2:58">
      <c r="B33">
        <f>K33-K2</f>
        <v>0</v>
      </c>
      <c r="D33" s="532" t="s">
        <v>620</v>
      </c>
      <c r="E33" s="533">
        <v>44562</v>
      </c>
      <c r="F33" s="533">
        <v>44620</v>
      </c>
      <c r="G33" s="532" t="s">
        <v>621</v>
      </c>
      <c r="H33" s="533">
        <v>44562</v>
      </c>
      <c r="I33" s="532" t="s">
        <v>622</v>
      </c>
      <c r="J33" s="532" t="s">
        <v>623</v>
      </c>
      <c r="K33" s="532" t="s">
        <v>624</v>
      </c>
      <c r="L33" s="533">
        <v>44230</v>
      </c>
      <c r="M33" s="533">
        <v>44561</v>
      </c>
      <c r="N33" s="532" t="s">
        <v>625</v>
      </c>
      <c r="O33" s="532" t="s">
        <v>626</v>
      </c>
      <c r="P33" s="532" t="s">
        <v>627</v>
      </c>
      <c r="Q33" s="532" t="s">
        <v>628</v>
      </c>
      <c r="R33" s="532" t="s">
        <v>629</v>
      </c>
      <c r="S33" s="532" t="s">
        <v>630</v>
      </c>
      <c r="T33" s="532" t="s">
        <v>631</v>
      </c>
      <c r="U33" s="532" t="s">
        <v>329</v>
      </c>
      <c r="V33" s="532" t="s">
        <v>632</v>
      </c>
      <c r="W33" s="532" t="s">
        <v>633</v>
      </c>
      <c r="X33" s="532" t="s">
        <v>634</v>
      </c>
      <c r="Y33" s="532" t="s">
        <v>635</v>
      </c>
      <c r="Z33" s="532" t="s">
        <v>636</v>
      </c>
      <c r="AA33" s="532" t="s">
        <v>637</v>
      </c>
      <c r="AB33" s="532" t="s">
        <v>638</v>
      </c>
      <c r="AC33" s="532" t="s">
        <v>639</v>
      </c>
      <c r="AD33" s="532" t="s">
        <v>640</v>
      </c>
      <c r="AE33" s="532" t="s">
        <v>641</v>
      </c>
      <c r="AF33" s="532" t="s">
        <v>642</v>
      </c>
      <c r="AG33" s="532" t="s">
        <v>643</v>
      </c>
      <c r="AH33" s="532" t="s">
        <v>648</v>
      </c>
      <c r="AI33" s="534">
        <v>5250000</v>
      </c>
      <c r="AJ33" s="534">
        <v>0</v>
      </c>
      <c r="AK33" s="534">
        <v>0</v>
      </c>
      <c r="AL33" s="534">
        <v>5250000</v>
      </c>
      <c r="AM33" s="534">
        <v>0</v>
      </c>
      <c r="AN33" s="534">
        <v>5250000</v>
      </c>
      <c r="AO33" s="532" t="s">
        <v>649</v>
      </c>
      <c r="AP33" s="532" t="s">
        <v>620</v>
      </c>
      <c r="AQ33" s="532" t="s">
        <v>650</v>
      </c>
      <c r="AR33" s="532" t="s">
        <v>620</v>
      </c>
      <c r="AS33" s="533">
        <v>44564</v>
      </c>
      <c r="AU33" s="287" t="s">
        <v>323</v>
      </c>
      <c r="AV33" s="293">
        <f>AL33</f>
        <v>5250000</v>
      </c>
      <c r="AW33" s="287">
        <v>0</v>
      </c>
      <c r="AX33" s="287">
        <v>0</v>
      </c>
      <c r="AZ33" s="293">
        <f>AM33</f>
        <v>0</v>
      </c>
      <c r="BA33" s="287">
        <v>0</v>
      </c>
      <c r="BB33" s="287">
        <v>0</v>
      </c>
    </row>
    <row r="34" spans="2:58">
      <c r="B34">
        <f t="shared" ref="B34:B44" si="1">K34-K3</f>
        <v>0</v>
      </c>
      <c r="D34" s="532" t="s">
        <v>620</v>
      </c>
      <c r="E34" s="533">
        <v>44562</v>
      </c>
      <c r="F34" s="533">
        <v>44620</v>
      </c>
      <c r="G34" s="532" t="s">
        <v>621</v>
      </c>
      <c r="H34" s="533">
        <v>44562</v>
      </c>
      <c r="I34" s="532" t="s">
        <v>765</v>
      </c>
      <c r="J34" s="532" t="s">
        <v>766</v>
      </c>
      <c r="K34" s="532" t="s">
        <v>778</v>
      </c>
      <c r="L34" s="533">
        <v>44561</v>
      </c>
      <c r="M34" s="533">
        <v>44561</v>
      </c>
      <c r="N34" s="532" t="s">
        <v>768</v>
      </c>
      <c r="O34" s="532" t="s">
        <v>626</v>
      </c>
      <c r="P34" s="532" t="s">
        <v>627</v>
      </c>
      <c r="Q34" s="532" t="s">
        <v>779</v>
      </c>
      <c r="R34" s="532" t="s">
        <v>780</v>
      </c>
      <c r="S34" s="532" t="s">
        <v>781</v>
      </c>
      <c r="T34" s="532" t="s">
        <v>631</v>
      </c>
      <c r="U34" s="532" t="s">
        <v>329</v>
      </c>
      <c r="V34" s="532" t="s">
        <v>632</v>
      </c>
      <c r="W34" s="532" t="s">
        <v>633</v>
      </c>
      <c r="X34" s="532" t="s">
        <v>634</v>
      </c>
      <c r="Y34" s="532" t="s">
        <v>635</v>
      </c>
      <c r="Z34" s="532" t="s">
        <v>660</v>
      </c>
      <c r="AA34" s="532" t="s">
        <v>661</v>
      </c>
      <c r="AB34" s="532" t="s">
        <v>638</v>
      </c>
      <c r="AC34" s="532" t="s">
        <v>639</v>
      </c>
      <c r="AD34" s="532" t="s">
        <v>782</v>
      </c>
      <c r="AE34" s="532" t="s">
        <v>641</v>
      </c>
      <c r="AF34" s="532" t="s">
        <v>783</v>
      </c>
      <c r="AG34" s="532" t="s">
        <v>784</v>
      </c>
      <c r="AH34" s="532" t="s">
        <v>648</v>
      </c>
      <c r="AI34" s="534">
        <v>2833333</v>
      </c>
      <c r="AJ34" s="534">
        <v>0</v>
      </c>
      <c r="AK34" s="534">
        <v>0</v>
      </c>
      <c r="AL34" s="534">
        <v>2833333</v>
      </c>
      <c r="AM34" s="534">
        <v>0</v>
      </c>
      <c r="AN34" s="534">
        <v>2833333</v>
      </c>
      <c r="AO34" s="532" t="s">
        <v>785</v>
      </c>
      <c r="AP34" s="532" t="s">
        <v>620</v>
      </c>
      <c r="AQ34" s="532" t="s">
        <v>786</v>
      </c>
      <c r="AR34" s="532" t="s">
        <v>620</v>
      </c>
      <c r="AS34" s="533">
        <v>44564</v>
      </c>
      <c r="AU34" s="287" t="s">
        <v>325</v>
      </c>
      <c r="AV34" s="287">
        <v>0</v>
      </c>
      <c r="AW34" s="287">
        <v>0</v>
      </c>
      <c r="AX34" s="293">
        <f>AN34</f>
        <v>2833333</v>
      </c>
      <c r="AZ34" s="287">
        <v>0</v>
      </c>
      <c r="BA34" s="287">
        <v>0</v>
      </c>
      <c r="BB34" s="293">
        <f>AM34</f>
        <v>0</v>
      </c>
    </row>
    <row r="35" spans="2:58">
      <c r="B35">
        <f t="shared" si="1"/>
        <v>0</v>
      </c>
      <c r="D35" s="532" t="s">
        <v>620</v>
      </c>
      <c r="E35" s="533">
        <v>44562</v>
      </c>
      <c r="F35" s="533">
        <v>44620</v>
      </c>
      <c r="G35" s="532" t="s">
        <v>621</v>
      </c>
      <c r="H35" s="533">
        <v>44562</v>
      </c>
      <c r="I35" s="532" t="s">
        <v>652</v>
      </c>
      <c r="J35" s="532" t="s">
        <v>653</v>
      </c>
      <c r="K35" s="532" t="s">
        <v>671</v>
      </c>
      <c r="L35" s="533">
        <v>44378</v>
      </c>
      <c r="M35" s="533">
        <v>44561</v>
      </c>
      <c r="N35" s="532" t="s">
        <v>672</v>
      </c>
      <c r="O35" s="532" t="s">
        <v>626</v>
      </c>
      <c r="P35" s="532" t="s">
        <v>627</v>
      </c>
      <c r="Q35" s="532" t="s">
        <v>673</v>
      </c>
      <c r="R35" s="532" t="s">
        <v>674</v>
      </c>
      <c r="S35" s="532" t="s">
        <v>675</v>
      </c>
      <c r="T35" s="532" t="s">
        <v>631</v>
      </c>
      <c r="U35" s="532" t="s">
        <v>329</v>
      </c>
      <c r="V35" s="532" t="s">
        <v>632</v>
      </c>
      <c r="W35" s="532" t="s">
        <v>633</v>
      </c>
      <c r="X35" s="532" t="s">
        <v>659</v>
      </c>
      <c r="Y35" s="532" t="s">
        <v>407</v>
      </c>
      <c r="Z35" s="532" t="s">
        <v>660</v>
      </c>
      <c r="AA35" s="532" t="s">
        <v>661</v>
      </c>
      <c r="AB35" s="532" t="s">
        <v>638</v>
      </c>
      <c r="AC35" s="532" t="s">
        <v>639</v>
      </c>
      <c r="AD35" s="532" t="s">
        <v>662</v>
      </c>
      <c r="AE35" s="532" t="s">
        <v>663</v>
      </c>
      <c r="AF35" s="532" t="s">
        <v>664</v>
      </c>
      <c r="AG35" s="532" t="s">
        <v>665</v>
      </c>
      <c r="AH35" s="532" t="s">
        <v>648</v>
      </c>
      <c r="AI35" s="534">
        <v>253060895</v>
      </c>
      <c r="AJ35" s="534">
        <v>0</v>
      </c>
      <c r="AK35" s="534">
        <v>0</v>
      </c>
      <c r="AL35" s="534">
        <v>253060895</v>
      </c>
      <c r="AM35" s="534">
        <v>38695000</v>
      </c>
      <c r="AN35" s="534">
        <v>214365895</v>
      </c>
      <c r="AO35" s="532" t="s">
        <v>676</v>
      </c>
      <c r="AP35" s="532" t="s">
        <v>620</v>
      </c>
      <c r="AQ35" s="532" t="s">
        <v>677</v>
      </c>
      <c r="AR35" s="532" t="s">
        <v>620</v>
      </c>
      <c r="AS35" s="533">
        <v>44564</v>
      </c>
      <c r="AU35" s="287" t="s">
        <v>323</v>
      </c>
      <c r="AV35" s="399">
        <f>AL35*94%</f>
        <v>237877241.29999998</v>
      </c>
      <c r="AW35" s="287">
        <v>0</v>
      </c>
      <c r="AX35" s="399">
        <f>AL35*6%</f>
        <v>15183653.699999999</v>
      </c>
      <c r="AZ35" s="399">
        <f>AM35*94%</f>
        <v>36373300</v>
      </c>
      <c r="BA35" s="287">
        <v>0</v>
      </c>
      <c r="BB35" s="399">
        <f>AM35*6%</f>
        <v>2321700</v>
      </c>
      <c r="BE35" s="541">
        <f>AZ35+BB35</f>
        <v>38695000</v>
      </c>
    </row>
    <row r="36" spans="2:58">
      <c r="B36">
        <f t="shared" si="1"/>
        <v>0</v>
      </c>
      <c r="D36" s="532" t="s">
        <v>620</v>
      </c>
      <c r="E36" s="533">
        <v>44562</v>
      </c>
      <c r="F36" s="533">
        <v>44620</v>
      </c>
      <c r="G36" s="532" t="s">
        <v>621</v>
      </c>
      <c r="H36" s="533">
        <v>44562</v>
      </c>
      <c r="I36" s="532" t="s">
        <v>765</v>
      </c>
      <c r="J36" s="532" t="s">
        <v>766</v>
      </c>
      <c r="K36" s="532" t="s">
        <v>767</v>
      </c>
      <c r="L36" s="533">
        <v>44561</v>
      </c>
      <c r="M36" s="533">
        <v>44561</v>
      </c>
      <c r="N36" s="532" t="s">
        <v>768</v>
      </c>
      <c r="O36" s="532" t="s">
        <v>626</v>
      </c>
      <c r="P36" s="532" t="s">
        <v>627</v>
      </c>
      <c r="Q36" s="532" t="s">
        <v>769</v>
      </c>
      <c r="R36" s="532" t="s">
        <v>770</v>
      </c>
      <c r="S36" s="532" t="s">
        <v>771</v>
      </c>
      <c r="T36" s="532" t="s">
        <v>631</v>
      </c>
      <c r="U36" s="532" t="s">
        <v>329</v>
      </c>
      <c r="V36" s="532" t="s">
        <v>632</v>
      </c>
      <c r="W36" s="532" t="s">
        <v>633</v>
      </c>
      <c r="X36" s="532" t="s">
        <v>634</v>
      </c>
      <c r="Y36" s="532" t="s">
        <v>635</v>
      </c>
      <c r="Z36" s="532" t="s">
        <v>660</v>
      </c>
      <c r="AA36" s="532" t="s">
        <v>661</v>
      </c>
      <c r="AB36" s="532" t="s">
        <v>638</v>
      </c>
      <c r="AC36" s="532" t="s">
        <v>639</v>
      </c>
      <c r="AD36" s="532" t="s">
        <v>772</v>
      </c>
      <c r="AE36" s="532" t="s">
        <v>641</v>
      </c>
      <c r="AF36" s="532" t="s">
        <v>773</v>
      </c>
      <c r="AG36" s="532" t="s">
        <v>774</v>
      </c>
      <c r="AH36" s="532" t="s">
        <v>648</v>
      </c>
      <c r="AI36" s="534">
        <v>1700000</v>
      </c>
      <c r="AJ36" s="534">
        <v>0</v>
      </c>
      <c r="AK36" s="534">
        <v>0</v>
      </c>
      <c r="AL36" s="534">
        <v>1700000</v>
      </c>
      <c r="AM36" s="534">
        <v>0</v>
      </c>
      <c r="AN36" s="534">
        <v>1700000</v>
      </c>
      <c r="AO36" s="532" t="s">
        <v>775</v>
      </c>
      <c r="AP36" s="532" t="s">
        <v>620</v>
      </c>
      <c r="AQ36" s="532" t="s">
        <v>776</v>
      </c>
      <c r="AR36" s="532" t="s">
        <v>620</v>
      </c>
      <c r="AS36" s="533">
        <v>44564</v>
      </c>
      <c r="AU36" s="287" t="s">
        <v>325</v>
      </c>
      <c r="AV36" s="287">
        <v>0</v>
      </c>
      <c r="AW36" s="287">
        <v>0</v>
      </c>
      <c r="AX36" s="293">
        <f>AN36</f>
        <v>1700000</v>
      </c>
      <c r="AZ36" s="287">
        <v>0</v>
      </c>
      <c r="BA36" s="287">
        <v>0</v>
      </c>
      <c r="BB36" s="293">
        <v>1700000</v>
      </c>
    </row>
    <row r="37" spans="2:58">
      <c r="B37">
        <f t="shared" si="1"/>
        <v>0</v>
      </c>
      <c r="D37" s="532" t="s">
        <v>620</v>
      </c>
      <c r="E37" s="533">
        <v>44562</v>
      </c>
      <c r="F37" s="533">
        <v>44620</v>
      </c>
      <c r="G37" s="532" t="s">
        <v>621</v>
      </c>
      <c r="H37" s="533">
        <v>44562</v>
      </c>
      <c r="I37" s="532" t="s">
        <v>681</v>
      </c>
      <c r="J37" s="532" t="s">
        <v>682</v>
      </c>
      <c r="K37" s="532" t="s">
        <v>683</v>
      </c>
      <c r="L37" s="533">
        <v>44411</v>
      </c>
      <c r="M37" s="533">
        <v>44561</v>
      </c>
      <c r="N37" s="532" t="s">
        <v>684</v>
      </c>
      <c r="O37" s="532" t="s">
        <v>626</v>
      </c>
      <c r="P37" s="532" t="s">
        <v>627</v>
      </c>
      <c r="Q37" s="532" t="s">
        <v>685</v>
      </c>
      <c r="R37" s="532" t="s">
        <v>686</v>
      </c>
      <c r="S37" s="532" t="s">
        <v>687</v>
      </c>
      <c r="T37" s="532" t="s">
        <v>631</v>
      </c>
      <c r="U37" s="532" t="s">
        <v>329</v>
      </c>
      <c r="V37" s="532" t="s">
        <v>632</v>
      </c>
      <c r="W37" s="532" t="s">
        <v>633</v>
      </c>
      <c r="X37" s="532" t="s">
        <v>659</v>
      </c>
      <c r="Y37" s="532" t="s">
        <v>407</v>
      </c>
      <c r="Z37" s="532" t="s">
        <v>660</v>
      </c>
      <c r="AA37" s="532" t="s">
        <v>661</v>
      </c>
      <c r="AB37" s="532" t="s">
        <v>688</v>
      </c>
      <c r="AC37" s="532" t="s">
        <v>689</v>
      </c>
      <c r="AD37" s="532" t="s">
        <v>690</v>
      </c>
      <c r="AE37" s="532" t="s">
        <v>663</v>
      </c>
      <c r="AF37" s="532" t="s">
        <v>691</v>
      </c>
      <c r="AG37" s="532" t="s">
        <v>692</v>
      </c>
      <c r="AH37" s="532" t="s">
        <v>648</v>
      </c>
      <c r="AI37" s="534">
        <v>2712013</v>
      </c>
      <c r="AJ37" s="534">
        <v>0</v>
      </c>
      <c r="AK37" s="534">
        <v>0</v>
      </c>
      <c r="AL37" s="534">
        <v>2712013</v>
      </c>
      <c r="AM37" s="534">
        <v>0</v>
      </c>
      <c r="AN37" s="534">
        <v>2712013</v>
      </c>
      <c r="AO37" s="532" t="s">
        <v>695</v>
      </c>
      <c r="AP37" s="532" t="s">
        <v>620</v>
      </c>
      <c r="AQ37" s="532" t="s">
        <v>696</v>
      </c>
      <c r="AR37" s="532" t="s">
        <v>620</v>
      </c>
      <c r="AS37" s="533">
        <v>44564</v>
      </c>
      <c r="AU37" s="287" t="s">
        <v>325</v>
      </c>
      <c r="AV37" s="287">
        <v>0</v>
      </c>
      <c r="AW37" s="287">
        <v>0</v>
      </c>
      <c r="AX37" s="293">
        <f>AN37</f>
        <v>2712013</v>
      </c>
      <c r="AZ37" s="287">
        <v>0</v>
      </c>
      <c r="BA37" s="287">
        <v>0</v>
      </c>
      <c r="BB37" s="293">
        <v>2712013</v>
      </c>
    </row>
    <row r="38" spans="2:58">
      <c r="B38">
        <f t="shared" si="1"/>
        <v>0</v>
      </c>
      <c r="D38" s="532" t="s">
        <v>620</v>
      </c>
      <c r="E38" s="533">
        <v>44562</v>
      </c>
      <c r="F38" s="533">
        <v>44620</v>
      </c>
      <c r="G38" s="532" t="s">
        <v>621</v>
      </c>
      <c r="H38" s="533">
        <v>44562</v>
      </c>
      <c r="I38" s="532" t="s">
        <v>652</v>
      </c>
      <c r="J38" s="532" t="s">
        <v>653</v>
      </c>
      <c r="K38" s="532" t="s">
        <v>698</v>
      </c>
      <c r="L38" s="533">
        <v>44477</v>
      </c>
      <c r="M38" s="533">
        <v>44561</v>
      </c>
      <c r="N38" s="532" t="s">
        <v>699</v>
      </c>
      <c r="O38" s="532" t="s">
        <v>626</v>
      </c>
      <c r="P38" s="532" t="s">
        <v>627</v>
      </c>
      <c r="Q38" s="532" t="s">
        <v>700</v>
      </c>
      <c r="R38" s="532" t="s">
        <v>701</v>
      </c>
      <c r="S38" s="532" t="s">
        <v>702</v>
      </c>
      <c r="T38" s="532" t="s">
        <v>631</v>
      </c>
      <c r="U38" s="532" t="s">
        <v>329</v>
      </c>
      <c r="V38" s="532" t="s">
        <v>632</v>
      </c>
      <c r="W38" s="532" t="s">
        <v>633</v>
      </c>
      <c r="X38" s="532" t="s">
        <v>659</v>
      </c>
      <c r="Y38" s="532" t="s">
        <v>407</v>
      </c>
      <c r="Z38" s="532" t="s">
        <v>660</v>
      </c>
      <c r="AA38" s="532" t="s">
        <v>661</v>
      </c>
      <c r="AB38" s="532" t="s">
        <v>638</v>
      </c>
      <c r="AC38" s="532" t="s">
        <v>639</v>
      </c>
      <c r="AD38" s="532" t="s">
        <v>703</v>
      </c>
      <c r="AE38" s="532" t="s">
        <v>663</v>
      </c>
      <c r="AF38" s="532" t="s">
        <v>704</v>
      </c>
      <c r="AG38" s="532" t="s">
        <v>705</v>
      </c>
      <c r="AH38" s="532" t="s">
        <v>648</v>
      </c>
      <c r="AI38" s="534">
        <v>24000003</v>
      </c>
      <c r="AJ38" s="534">
        <v>0</v>
      </c>
      <c r="AK38" s="534">
        <v>0</v>
      </c>
      <c r="AL38" s="534">
        <v>24000003</v>
      </c>
      <c r="AM38" s="534">
        <v>0</v>
      </c>
      <c r="AN38" s="534">
        <v>24000003</v>
      </c>
      <c r="AO38" s="532" t="s">
        <v>710</v>
      </c>
      <c r="AP38" s="532" t="s">
        <v>620</v>
      </c>
      <c r="AQ38" s="532" t="s">
        <v>711</v>
      </c>
      <c r="AR38" s="532" t="s">
        <v>620</v>
      </c>
      <c r="AS38" s="533">
        <v>44564</v>
      </c>
      <c r="AU38" s="287" t="s">
        <v>324</v>
      </c>
      <c r="AV38" s="287">
        <v>0</v>
      </c>
      <c r="AW38" s="293">
        <f>AL38</f>
        <v>24000003</v>
      </c>
      <c r="AX38" s="287">
        <v>0</v>
      </c>
      <c r="AZ38" s="287">
        <v>0</v>
      </c>
      <c r="BA38" s="293">
        <v>24000003</v>
      </c>
      <c r="BB38" s="287">
        <v>0</v>
      </c>
    </row>
    <row r="39" spans="2:58">
      <c r="B39">
        <f t="shared" si="1"/>
        <v>0</v>
      </c>
      <c r="D39" s="532" t="s">
        <v>620</v>
      </c>
      <c r="E39" s="533">
        <v>44562</v>
      </c>
      <c r="F39" s="533">
        <v>44620</v>
      </c>
      <c r="G39" s="532" t="s">
        <v>621</v>
      </c>
      <c r="H39" s="533">
        <v>44562</v>
      </c>
      <c r="I39" s="532" t="s">
        <v>732</v>
      </c>
      <c r="J39" s="532" t="s">
        <v>733</v>
      </c>
      <c r="K39" s="532" t="s">
        <v>734</v>
      </c>
      <c r="L39" s="533">
        <v>44525</v>
      </c>
      <c r="M39" s="533">
        <v>44561</v>
      </c>
      <c r="N39" s="532" t="s">
        <v>735</v>
      </c>
      <c r="O39" s="532" t="s">
        <v>626</v>
      </c>
      <c r="P39" s="532" t="s">
        <v>627</v>
      </c>
      <c r="Q39" s="532" t="s">
        <v>736</v>
      </c>
      <c r="R39" s="532" t="s">
        <v>737</v>
      </c>
      <c r="S39" s="532" t="s">
        <v>738</v>
      </c>
      <c r="T39" s="532" t="s">
        <v>631</v>
      </c>
      <c r="U39" s="532" t="s">
        <v>329</v>
      </c>
      <c r="V39" s="532" t="s">
        <v>632</v>
      </c>
      <c r="W39" s="532" t="s">
        <v>633</v>
      </c>
      <c r="X39" s="532" t="s">
        <v>739</v>
      </c>
      <c r="Y39" s="532" t="s">
        <v>740</v>
      </c>
      <c r="Z39" s="532" t="s">
        <v>660</v>
      </c>
      <c r="AA39" s="532" t="s">
        <v>661</v>
      </c>
      <c r="AB39" s="532" t="s">
        <v>638</v>
      </c>
      <c r="AC39" s="532" t="s">
        <v>639</v>
      </c>
      <c r="AD39" s="532" t="s">
        <v>741</v>
      </c>
      <c r="AE39" s="532" t="s">
        <v>663</v>
      </c>
      <c r="AF39" s="532" t="s">
        <v>742</v>
      </c>
      <c r="AG39" s="532" t="s">
        <v>743</v>
      </c>
      <c r="AH39" s="532" t="s">
        <v>648</v>
      </c>
      <c r="AI39" s="534">
        <v>84577253</v>
      </c>
      <c r="AJ39" s="534">
        <v>0</v>
      </c>
      <c r="AK39" s="534">
        <v>0</v>
      </c>
      <c r="AL39" s="534">
        <v>84577253</v>
      </c>
      <c r="AM39" s="534">
        <v>0</v>
      </c>
      <c r="AN39" s="534">
        <v>84577253</v>
      </c>
      <c r="AO39" s="532" t="s">
        <v>744</v>
      </c>
      <c r="AP39" s="532" t="s">
        <v>620</v>
      </c>
      <c r="AQ39" s="532" t="s">
        <v>745</v>
      </c>
      <c r="AR39" s="532" t="s">
        <v>620</v>
      </c>
      <c r="AS39" s="533">
        <v>44564</v>
      </c>
      <c r="AU39" s="287" t="s">
        <v>323</v>
      </c>
      <c r="AV39" s="293">
        <f t="shared" ref="AV39:AV44" si="2">AL39</f>
        <v>84577253</v>
      </c>
      <c r="AW39" s="287">
        <v>0</v>
      </c>
      <c r="AX39" s="287">
        <v>0</v>
      </c>
      <c r="AZ39" s="293">
        <v>84577253</v>
      </c>
      <c r="BA39" s="287">
        <v>0</v>
      </c>
      <c r="BB39" s="287">
        <v>0</v>
      </c>
    </row>
    <row r="40" spans="2:58">
      <c r="B40">
        <f t="shared" si="1"/>
        <v>0</v>
      </c>
      <c r="D40" s="532" t="s">
        <v>620</v>
      </c>
      <c r="E40" s="533">
        <v>44562</v>
      </c>
      <c r="F40" s="533">
        <v>44620</v>
      </c>
      <c r="G40" s="532" t="s">
        <v>621</v>
      </c>
      <c r="H40" s="533">
        <v>44562</v>
      </c>
      <c r="I40" s="532" t="s">
        <v>749</v>
      </c>
      <c r="J40" s="532" t="s">
        <v>750</v>
      </c>
      <c r="K40" s="532" t="s">
        <v>751</v>
      </c>
      <c r="L40" s="533">
        <v>44530</v>
      </c>
      <c r="M40" s="533">
        <v>44561</v>
      </c>
      <c r="N40" s="532" t="s">
        <v>752</v>
      </c>
      <c r="O40" s="532" t="s">
        <v>626</v>
      </c>
      <c r="P40" s="532" t="s">
        <v>627</v>
      </c>
      <c r="Q40" s="532" t="s">
        <v>753</v>
      </c>
      <c r="R40" s="532" t="s">
        <v>754</v>
      </c>
      <c r="S40" s="532" t="s">
        <v>755</v>
      </c>
      <c r="T40" s="532" t="s">
        <v>631</v>
      </c>
      <c r="U40" s="532" t="s">
        <v>329</v>
      </c>
      <c r="V40" s="532" t="s">
        <v>632</v>
      </c>
      <c r="W40" s="532" t="s">
        <v>633</v>
      </c>
      <c r="X40" s="532" t="s">
        <v>721</v>
      </c>
      <c r="Y40" s="532" t="s">
        <v>722</v>
      </c>
      <c r="Z40" s="532" t="s">
        <v>660</v>
      </c>
      <c r="AA40" s="532" t="s">
        <v>661</v>
      </c>
      <c r="AB40" s="532" t="s">
        <v>756</v>
      </c>
      <c r="AC40" s="532" t="s">
        <v>757</v>
      </c>
      <c r="AD40" s="532" t="s">
        <v>758</v>
      </c>
      <c r="AE40" s="532" t="s">
        <v>663</v>
      </c>
      <c r="AF40" s="532" t="s">
        <v>759</v>
      </c>
      <c r="AG40" s="532" t="s">
        <v>760</v>
      </c>
      <c r="AH40" s="532" t="s">
        <v>648</v>
      </c>
      <c r="AI40" s="534">
        <v>16000000</v>
      </c>
      <c r="AJ40" s="534">
        <v>0</v>
      </c>
      <c r="AK40" s="534">
        <v>0</v>
      </c>
      <c r="AL40" s="534">
        <v>16000000</v>
      </c>
      <c r="AM40" s="534">
        <v>0</v>
      </c>
      <c r="AN40" s="534">
        <v>16000000</v>
      </c>
      <c r="AO40" s="532" t="s">
        <v>761</v>
      </c>
      <c r="AP40" s="532" t="s">
        <v>620</v>
      </c>
      <c r="AQ40" s="532" t="s">
        <v>762</v>
      </c>
      <c r="AR40" s="532" t="s">
        <v>620</v>
      </c>
      <c r="AS40" s="533">
        <v>44564</v>
      </c>
      <c r="AU40" s="287" t="s">
        <v>323</v>
      </c>
      <c r="AV40" s="293">
        <f t="shared" si="2"/>
        <v>16000000</v>
      </c>
      <c r="AW40" s="287">
        <v>0</v>
      </c>
      <c r="AX40" s="287">
        <v>0</v>
      </c>
      <c r="AZ40" s="293">
        <v>16000000</v>
      </c>
      <c r="BA40" s="287">
        <v>0</v>
      </c>
      <c r="BB40" s="287">
        <v>0</v>
      </c>
      <c r="BE40" s="541">
        <v>28688359</v>
      </c>
    </row>
    <row r="41" spans="2:58">
      <c r="B41">
        <f t="shared" si="1"/>
        <v>0</v>
      </c>
      <c r="D41" s="532" t="s">
        <v>620</v>
      </c>
      <c r="E41" s="533">
        <v>44562</v>
      </c>
      <c r="F41" s="533">
        <v>44620</v>
      </c>
      <c r="G41" s="532" t="s">
        <v>621</v>
      </c>
      <c r="H41" s="533">
        <v>44562</v>
      </c>
      <c r="I41" s="532" t="s">
        <v>732</v>
      </c>
      <c r="J41" s="532" t="s">
        <v>733</v>
      </c>
      <c r="K41" s="532" t="s">
        <v>804</v>
      </c>
      <c r="L41" s="533">
        <v>44554</v>
      </c>
      <c r="M41" s="533">
        <v>44561</v>
      </c>
      <c r="N41" s="532" t="s">
        <v>717</v>
      </c>
      <c r="O41" s="532" t="s">
        <v>626</v>
      </c>
      <c r="P41" s="532" t="s">
        <v>627</v>
      </c>
      <c r="Q41" s="532" t="s">
        <v>805</v>
      </c>
      <c r="R41" s="532" t="s">
        <v>806</v>
      </c>
      <c r="S41" s="532" t="s">
        <v>807</v>
      </c>
      <c r="T41" s="532" t="s">
        <v>631</v>
      </c>
      <c r="U41" s="532" t="s">
        <v>329</v>
      </c>
      <c r="V41" s="532" t="s">
        <v>632</v>
      </c>
      <c r="W41" s="532" t="s">
        <v>633</v>
      </c>
      <c r="X41" s="532" t="s">
        <v>659</v>
      </c>
      <c r="Y41" s="532" t="s">
        <v>407</v>
      </c>
      <c r="Z41" s="532" t="s">
        <v>660</v>
      </c>
      <c r="AA41" s="532" t="s">
        <v>661</v>
      </c>
      <c r="AB41" s="532" t="s">
        <v>714</v>
      </c>
      <c r="AC41" s="532" t="s">
        <v>723</v>
      </c>
      <c r="AD41" s="532" t="s">
        <v>808</v>
      </c>
      <c r="AE41" s="532" t="s">
        <v>663</v>
      </c>
      <c r="AF41" s="532" t="s">
        <v>809</v>
      </c>
      <c r="AG41" s="532" t="s">
        <v>810</v>
      </c>
      <c r="AH41" s="532" t="s">
        <v>648</v>
      </c>
      <c r="AI41" s="534">
        <v>31500000</v>
      </c>
      <c r="AJ41" s="534">
        <v>0</v>
      </c>
      <c r="AK41" s="534">
        <v>0</v>
      </c>
      <c r="AL41" s="534">
        <v>31500000</v>
      </c>
      <c r="AM41" s="534">
        <v>0</v>
      </c>
      <c r="AN41" s="534">
        <v>31500000</v>
      </c>
      <c r="AO41" s="532" t="s">
        <v>811</v>
      </c>
      <c r="AP41" s="532" t="s">
        <v>620</v>
      </c>
      <c r="AQ41" s="532" t="s">
        <v>812</v>
      </c>
      <c r="AR41" s="532" t="s">
        <v>620</v>
      </c>
      <c r="AS41" s="533">
        <v>44564</v>
      </c>
      <c r="AU41" s="287" t="s">
        <v>323</v>
      </c>
      <c r="AV41" s="293">
        <f t="shared" si="2"/>
        <v>31500000</v>
      </c>
      <c r="AW41" s="287">
        <v>0</v>
      </c>
      <c r="AX41" s="293">
        <v>0</v>
      </c>
      <c r="AZ41" s="293">
        <v>31500000</v>
      </c>
      <c r="BA41" s="287">
        <v>0</v>
      </c>
      <c r="BB41" s="293">
        <v>0</v>
      </c>
      <c r="BE41" s="541">
        <f>BE35-BE40</f>
        <v>10006641</v>
      </c>
      <c r="BF41" s="541">
        <v>38695000</v>
      </c>
    </row>
    <row r="42" spans="2:58">
      <c r="B42">
        <f t="shared" si="1"/>
        <v>0</v>
      </c>
      <c r="D42" s="532" t="s">
        <v>620</v>
      </c>
      <c r="E42" s="533">
        <v>44562</v>
      </c>
      <c r="F42" s="533">
        <v>44620</v>
      </c>
      <c r="G42" s="532" t="s">
        <v>621</v>
      </c>
      <c r="H42" s="533">
        <v>44562</v>
      </c>
      <c r="I42" s="532" t="s">
        <v>714</v>
      </c>
      <c r="J42" s="532" t="s">
        <v>715</v>
      </c>
      <c r="K42" s="532" t="s">
        <v>716</v>
      </c>
      <c r="L42" s="533">
        <v>44490</v>
      </c>
      <c r="M42" s="533">
        <v>44497</v>
      </c>
      <c r="N42" s="532" t="s">
        <v>717</v>
      </c>
      <c r="O42" s="532" t="s">
        <v>626</v>
      </c>
      <c r="P42" s="532" t="s">
        <v>627</v>
      </c>
      <c r="Q42" s="532" t="s">
        <v>718</v>
      </c>
      <c r="R42" s="532" t="s">
        <v>719</v>
      </c>
      <c r="S42" s="532" t="s">
        <v>720</v>
      </c>
      <c r="T42" s="532" t="s">
        <v>631</v>
      </c>
      <c r="U42" s="532" t="s">
        <v>329</v>
      </c>
      <c r="V42" s="532" t="s">
        <v>632</v>
      </c>
      <c r="W42" s="532" t="s">
        <v>633</v>
      </c>
      <c r="X42" s="532" t="s">
        <v>721</v>
      </c>
      <c r="Y42" s="532" t="s">
        <v>722</v>
      </c>
      <c r="Z42" s="532" t="s">
        <v>660</v>
      </c>
      <c r="AA42" s="532" t="s">
        <v>661</v>
      </c>
      <c r="AB42" s="532" t="s">
        <v>714</v>
      </c>
      <c r="AC42" s="532" t="s">
        <v>723</v>
      </c>
      <c r="AD42" s="532" t="s">
        <v>724</v>
      </c>
      <c r="AE42" s="532" t="s">
        <v>663</v>
      </c>
      <c r="AF42" s="532" t="s">
        <v>725</v>
      </c>
      <c r="AG42" s="532" t="s">
        <v>726</v>
      </c>
      <c r="AH42" s="532" t="s">
        <v>648</v>
      </c>
      <c r="AI42" s="534">
        <v>4759996</v>
      </c>
      <c r="AJ42" s="534">
        <v>0</v>
      </c>
      <c r="AK42" s="534">
        <v>0</v>
      </c>
      <c r="AL42" s="534">
        <v>4759996</v>
      </c>
      <c r="AM42" s="534">
        <v>0</v>
      </c>
      <c r="AN42" s="534">
        <v>4759996</v>
      </c>
      <c r="AO42" s="532" t="s">
        <v>727</v>
      </c>
      <c r="AP42" s="532" t="s">
        <v>620</v>
      </c>
      <c r="AQ42" s="532" t="s">
        <v>728</v>
      </c>
      <c r="AR42" s="532" t="s">
        <v>620</v>
      </c>
      <c r="AS42" s="533">
        <v>44564</v>
      </c>
      <c r="AU42" s="287" t="s">
        <v>323</v>
      </c>
      <c r="AV42" s="293">
        <f t="shared" si="2"/>
        <v>4759996</v>
      </c>
      <c r="AW42" s="287">
        <v>0</v>
      </c>
      <c r="AX42" s="287">
        <v>0</v>
      </c>
      <c r="AZ42" s="293">
        <v>4759996</v>
      </c>
      <c r="BA42" s="287">
        <v>0</v>
      </c>
      <c r="BB42" s="287">
        <v>0</v>
      </c>
      <c r="BE42" s="541">
        <f>BE41*94%</f>
        <v>9406242.5399999991</v>
      </c>
      <c r="BF42" s="541">
        <f>BF41*94%</f>
        <v>36373300</v>
      </c>
    </row>
    <row r="43" spans="2:58">
      <c r="B43">
        <f t="shared" si="1"/>
        <v>0</v>
      </c>
      <c r="D43" s="532" t="s">
        <v>620</v>
      </c>
      <c r="E43" s="533">
        <v>44562</v>
      </c>
      <c r="F43" s="533">
        <v>44620</v>
      </c>
      <c r="G43" s="532" t="s">
        <v>621</v>
      </c>
      <c r="H43" s="533">
        <v>44562</v>
      </c>
      <c r="I43" s="532" t="s">
        <v>714</v>
      </c>
      <c r="J43" s="532" t="s">
        <v>715</v>
      </c>
      <c r="K43" s="532" t="s">
        <v>788</v>
      </c>
      <c r="L43" s="533">
        <v>44557</v>
      </c>
      <c r="M43" s="533">
        <v>44561</v>
      </c>
      <c r="N43" s="532" t="s">
        <v>789</v>
      </c>
      <c r="O43" s="532" t="s">
        <v>626</v>
      </c>
      <c r="P43" s="532" t="s">
        <v>627</v>
      </c>
      <c r="Q43" s="532" t="s">
        <v>790</v>
      </c>
      <c r="R43" s="532" t="s">
        <v>791</v>
      </c>
      <c r="S43" s="532" t="s">
        <v>792</v>
      </c>
      <c r="T43" s="532" t="s">
        <v>631</v>
      </c>
      <c r="U43" s="532" t="s">
        <v>329</v>
      </c>
      <c r="V43" s="532" t="s">
        <v>632</v>
      </c>
      <c r="W43" s="532" t="s">
        <v>633</v>
      </c>
      <c r="X43" s="532" t="s">
        <v>793</v>
      </c>
      <c r="Y43" s="532" t="s">
        <v>794</v>
      </c>
      <c r="Z43" s="532" t="s">
        <v>660</v>
      </c>
      <c r="AA43" s="532" t="s">
        <v>661</v>
      </c>
      <c r="AB43" s="532" t="s">
        <v>795</v>
      </c>
      <c r="AC43" s="532" t="s">
        <v>796</v>
      </c>
      <c r="AD43" s="532" t="s">
        <v>797</v>
      </c>
      <c r="AE43" s="532" t="s">
        <v>663</v>
      </c>
      <c r="AF43" s="532" t="s">
        <v>798</v>
      </c>
      <c r="AG43" s="532" t="s">
        <v>799</v>
      </c>
      <c r="AH43" s="532" t="s">
        <v>648</v>
      </c>
      <c r="AI43" s="534">
        <v>130507157</v>
      </c>
      <c r="AJ43" s="534">
        <v>0</v>
      </c>
      <c r="AK43" s="534">
        <v>0</v>
      </c>
      <c r="AL43" s="534">
        <v>130507157</v>
      </c>
      <c r="AM43" s="534">
        <v>0</v>
      </c>
      <c r="AN43" s="534">
        <v>130507157</v>
      </c>
      <c r="AO43" s="532" t="s">
        <v>800</v>
      </c>
      <c r="AP43" s="532" t="s">
        <v>620</v>
      </c>
      <c r="AQ43" s="532" t="s">
        <v>801</v>
      </c>
      <c r="AR43" s="532" t="s">
        <v>620</v>
      </c>
      <c r="AS43" s="533">
        <v>44564</v>
      </c>
      <c r="AU43" s="287" t="s">
        <v>1102</v>
      </c>
      <c r="AV43" s="293">
        <f t="shared" si="2"/>
        <v>130507157</v>
      </c>
      <c r="AW43" s="287">
        <v>0</v>
      </c>
      <c r="AX43" s="293"/>
      <c r="AZ43" s="293">
        <f>120066584.44+10440572.56</f>
        <v>130507157</v>
      </c>
      <c r="BA43" s="287">
        <v>0</v>
      </c>
      <c r="BB43" s="293"/>
      <c r="BE43" s="541">
        <f>BE41*6%</f>
        <v>600398.46</v>
      </c>
      <c r="BF43" s="541">
        <f>BF41*6%</f>
        <v>2321700</v>
      </c>
    </row>
    <row r="44" spans="2:58">
      <c r="B44" t="e">
        <f t="shared" si="1"/>
        <v>#VALUE!</v>
      </c>
      <c r="D44" s="532" t="s">
        <v>620</v>
      </c>
      <c r="E44" s="533">
        <v>44562</v>
      </c>
      <c r="F44" s="533">
        <v>44620</v>
      </c>
      <c r="G44" s="532" t="s">
        <v>621</v>
      </c>
      <c r="H44" s="533">
        <v>44562</v>
      </c>
      <c r="I44" s="532" t="s">
        <v>652</v>
      </c>
      <c r="J44" s="532" t="s">
        <v>653</v>
      </c>
      <c r="K44" s="532" t="s">
        <v>654</v>
      </c>
      <c r="L44" s="533">
        <v>44319</v>
      </c>
      <c r="M44" s="533">
        <v>44377</v>
      </c>
      <c r="N44" s="532" t="s">
        <v>655</v>
      </c>
      <c r="O44" s="532" t="s">
        <v>626</v>
      </c>
      <c r="P44" s="532" t="s">
        <v>627</v>
      </c>
      <c r="Q44" s="532" t="s">
        <v>656</v>
      </c>
      <c r="R44" s="532" t="s">
        <v>657</v>
      </c>
      <c r="S44" s="532" t="s">
        <v>658</v>
      </c>
      <c r="T44" s="532" t="s">
        <v>631</v>
      </c>
      <c r="U44" s="532" t="s">
        <v>329</v>
      </c>
      <c r="V44" s="532" t="s">
        <v>632</v>
      </c>
      <c r="W44" s="532" t="s">
        <v>633</v>
      </c>
      <c r="X44" s="532" t="s">
        <v>659</v>
      </c>
      <c r="Y44" s="532" t="s">
        <v>407</v>
      </c>
      <c r="Z44" s="532" t="s">
        <v>660</v>
      </c>
      <c r="AA44" s="532" t="s">
        <v>661</v>
      </c>
      <c r="AB44" s="532" t="s">
        <v>638</v>
      </c>
      <c r="AC44" s="532" t="s">
        <v>639</v>
      </c>
      <c r="AD44" s="532" t="s">
        <v>662</v>
      </c>
      <c r="AE44" s="532" t="s">
        <v>663</v>
      </c>
      <c r="AF44" s="532" t="s">
        <v>664</v>
      </c>
      <c r="AG44" s="532" t="s">
        <v>665</v>
      </c>
      <c r="AH44" s="532" t="s">
        <v>648</v>
      </c>
      <c r="AI44" s="534">
        <v>4167765</v>
      </c>
      <c r="AJ44" s="534">
        <v>0</v>
      </c>
      <c r="AK44" s="534">
        <v>0</v>
      </c>
      <c r="AL44" s="534">
        <v>4167765</v>
      </c>
      <c r="AM44" s="534">
        <v>0</v>
      </c>
      <c r="AN44" s="534">
        <v>4167765</v>
      </c>
      <c r="AO44" s="532" t="s">
        <v>666</v>
      </c>
      <c r="AP44" s="532" t="s">
        <v>620</v>
      </c>
      <c r="AQ44" s="532" t="s">
        <v>667</v>
      </c>
      <c r="AR44" s="532" t="s">
        <v>620</v>
      </c>
      <c r="AS44" s="533">
        <v>44564</v>
      </c>
      <c r="AU44" s="287" t="s">
        <v>323</v>
      </c>
      <c r="AV44" s="293">
        <f t="shared" si="2"/>
        <v>4167765</v>
      </c>
      <c r="AW44" s="287">
        <v>0</v>
      </c>
      <c r="AX44" s="287">
        <v>0</v>
      </c>
      <c r="AZ44" s="293">
        <v>4167765</v>
      </c>
      <c r="BA44" s="287">
        <v>0</v>
      </c>
      <c r="BB44" s="287">
        <v>0</v>
      </c>
    </row>
  </sheetData>
  <sortState xmlns:xlrd2="http://schemas.microsoft.com/office/spreadsheetml/2017/richdata2" ref="A33:BM44">
    <sortCondition ref="K33:K44"/>
  </sortState>
  <mergeCells count="2">
    <mergeCell ref="AV31:AX31"/>
    <mergeCell ref="AZ31:BB31"/>
  </mergeCells>
  <printOptions horizontalCentered="1"/>
  <pageMargins left="0.19685039370078741" right="0.19685039370078741" top="0.19685039370078741" bottom="0.19685039370078741" header="0" footer="0"/>
  <pageSetup scale="19"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topLeftCell="B4" workbookViewId="0">
      <selection activeCell="P5" sqref="P5"/>
    </sheetView>
  </sheetViews>
  <sheetFormatPr baseColWidth="10" defaultRowHeight="15"/>
  <cols>
    <col min="1" max="1" width="12.7109375" customWidth="1"/>
    <col min="14" max="14" width="16.7109375" bestFit="1" customWidth="1"/>
  </cols>
  <sheetData>
    <row r="1" spans="1:27" s="453" customFormat="1" ht="26.25" thickBot="1">
      <c r="A1" s="458" t="s">
        <v>521</v>
      </c>
      <c r="B1" s="458">
        <v>2020</v>
      </c>
      <c r="C1" s="458">
        <v>2021</v>
      </c>
      <c r="D1" s="458">
        <v>2022</v>
      </c>
      <c r="E1" s="458">
        <v>2023</v>
      </c>
      <c r="F1" s="458">
        <v>2024</v>
      </c>
      <c r="G1" s="458" t="s">
        <v>1047</v>
      </c>
      <c r="H1" s="459"/>
      <c r="I1" s="460" t="s">
        <v>1048</v>
      </c>
      <c r="J1" s="460" t="s">
        <v>1049</v>
      </c>
      <c r="K1" s="460" t="s">
        <v>1050</v>
      </c>
      <c r="L1" s="460" t="s">
        <v>1051</v>
      </c>
      <c r="M1" s="460"/>
      <c r="O1" s="460" t="s">
        <v>1057</v>
      </c>
      <c r="P1" s="460"/>
      <c r="Q1" s="460"/>
      <c r="R1" s="460"/>
      <c r="S1" s="460"/>
    </row>
    <row r="2" spans="1:27" ht="15.75" thickBot="1">
      <c r="A2" s="461" t="s">
        <v>1052</v>
      </c>
      <c r="B2" s="462">
        <v>2000</v>
      </c>
      <c r="C2" s="463">
        <v>7000</v>
      </c>
      <c r="D2" s="464">
        <v>7000</v>
      </c>
      <c r="E2" s="465">
        <v>7000</v>
      </c>
      <c r="F2" s="466">
        <v>3100</v>
      </c>
      <c r="G2" s="461">
        <f t="shared" ref="G2:G6" si="0">SUM(B2:F2)</f>
        <v>26100</v>
      </c>
      <c r="H2" s="120"/>
      <c r="I2" s="467">
        <f>'[3]Meta 1'!D35+'[3]Meta 1'!E35+'[3]Meta 1'!F35</f>
        <v>0</v>
      </c>
      <c r="J2" s="467">
        <f>'[3]Meta 1'!G35+'[3]Meta 1'!H35+'[3]Meta 1'!I35</f>
        <v>0</v>
      </c>
      <c r="K2" s="467">
        <f>'[3]Meta 1'!J35+'[3]Meta 1'!K35+'[3]Meta 1'!L35</f>
        <v>0</v>
      </c>
      <c r="L2" s="467">
        <f>'[3]Meta 1'!M35+'[3]Meta 1'!N35+'[3]Meta 1'!O35</f>
        <v>0</v>
      </c>
      <c r="M2" s="398">
        <f>SUM(I2:L2)</f>
        <v>0</v>
      </c>
      <c r="O2" s="467">
        <f>'Meta 1'!D34</f>
        <v>0</v>
      </c>
      <c r="P2" s="467">
        <f>'Meta 1'!E34</f>
        <v>500</v>
      </c>
      <c r="Q2" s="467">
        <f>'Meta 1'!F34</f>
        <v>700</v>
      </c>
      <c r="R2" s="467">
        <f>'Meta 1'!G34</f>
        <v>700</v>
      </c>
      <c r="S2" s="467">
        <f>'Meta 1'!H34</f>
        <v>700</v>
      </c>
      <c r="T2" s="467">
        <f>'Meta 1'!I34</f>
        <v>700</v>
      </c>
      <c r="U2" s="467">
        <f>'Meta 1'!J34</f>
        <v>700</v>
      </c>
      <c r="V2" s="467">
        <f>'Meta 1'!K34</f>
        <v>700</v>
      </c>
      <c r="W2" s="467">
        <f>'Meta 1'!L34</f>
        <v>700</v>
      </c>
      <c r="X2" s="467">
        <f>'Meta 1'!M34</f>
        <v>700</v>
      </c>
      <c r="Y2" s="467">
        <f>'Meta 1'!N34</f>
        <v>700</v>
      </c>
      <c r="Z2" s="467">
        <f>'Meta 1'!O34</f>
        <v>200</v>
      </c>
      <c r="AA2" s="480">
        <f>SUM(O2:Z2)</f>
        <v>7000</v>
      </c>
    </row>
    <row r="3" spans="1:27">
      <c r="A3" s="461" t="s">
        <v>1053</v>
      </c>
      <c r="B3" s="462">
        <v>15</v>
      </c>
      <c r="C3" s="463">
        <v>31</v>
      </c>
      <c r="D3" s="464">
        <v>31</v>
      </c>
      <c r="E3" s="465">
        <v>23</v>
      </c>
      <c r="F3" s="466">
        <v>0</v>
      </c>
      <c r="G3" s="461">
        <f t="shared" si="0"/>
        <v>100</v>
      </c>
      <c r="H3" s="120"/>
      <c r="I3" s="468">
        <f>(('[3]Meta 2'!D35+'[3]Meta 2'!E35+'[3]Meta 2'!F35)*100)/13</f>
        <v>0</v>
      </c>
      <c r="J3" s="468">
        <f>(('[3]Meta 2'!G35+'[3]Meta 2'!H35+'[3]Meta 2'!I35)*100/13)</f>
        <v>0</v>
      </c>
      <c r="K3" s="468">
        <f>(('[3]Meta 2'!J35+'[3]Meta 2'!K35+'[3]Meta 2'!L35)*100)/13</f>
        <v>0</v>
      </c>
      <c r="L3" s="468">
        <f>(('[3]Meta 2'!M35+'[3]Meta 2'!N35+'[3]Meta 2'!O35)*100/13)</f>
        <v>0</v>
      </c>
      <c r="M3" s="469">
        <f>SUM(I3:L3)</f>
        <v>0</v>
      </c>
      <c r="O3" s="468">
        <f>(('Meta 2'!D35)*100)/13</f>
        <v>0</v>
      </c>
      <c r="P3" s="468">
        <f>(('Meta 2'!E35)*100)/13</f>
        <v>0</v>
      </c>
      <c r="Q3" s="468">
        <f>(('Meta 2'!F35)*100)/13</f>
        <v>0</v>
      </c>
      <c r="R3" s="468">
        <f>(('Meta 2'!G35)*100)/13</f>
        <v>0</v>
      </c>
      <c r="S3" s="468">
        <f>(('Meta 2'!H35)*100)/13</f>
        <v>0</v>
      </c>
      <c r="T3" s="468">
        <f>(('Meta 2'!I35)*100)/13</f>
        <v>0</v>
      </c>
      <c r="U3" s="468">
        <f>(('Meta 2'!J35)*100)/13</f>
        <v>0</v>
      </c>
      <c r="V3" s="468">
        <f>(('Meta 2'!K35)*100)/13</f>
        <v>0</v>
      </c>
      <c r="W3" s="468">
        <f>(('Meta 2'!L35)*100)/13</f>
        <v>0</v>
      </c>
      <c r="X3" s="468">
        <f>(('Meta 2'!M35)*100)/13</f>
        <v>0</v>
      </c>
      <c r="Y3" s="468">
        <f>(('Meta 2'!N35)*100)/13</f>
        <v>0</v>
      </c>
      <c r="Z3" s="468">
        <f>(('Meta 2'!O35)*100)/13</f>
        <v>0</v>
      </c>
      <c r="AA3" s="481">
        <f t="shared" ref="AA3:AA5" si="1">SUM(O3:Z3)</f>
        <v>0</v>
      </c>
    </row>
    <row r="4" spans="1:27" ht="15.75" thickBot="1">
      <c r="A4" s="470" t="s">
        <v>1054</v>
      </c>
      <c r="B4" s="471">
        <v>20</v>
      </c>
      <c r="C4" s="472">
        <v>20</v>
      </c>
      <c r="D4" s="473">
        <v>20</v>
      </c>
      <c r="E4" s="474">
        <v>20</v>
      </c>
      <c r="F4" s="475">
        <v>20</v>
      </c>
      <c r="G4" s="470">
        <f t="shared" si="0"/>
        <v>100</v>
      </c>
      <c r="H4" s="120"/>
      <c r="I4" s="468">
        <f>(('[3]Meta 3'!D35+'[3]Meta 3'!E35+'[3]Meta 3'!F35)*20)/0.2</f>
        <v>0</v>
      </c>
      <c r="J4" s="468">
        <f>(('[3]Meta 3'!G35+'[3]Meta 3'!H35+'[3]Meta 3'!I35)*20)/0.2</f>
        <v>0</v>
      </c>
      <c r="K4" s="468">
        <f>(('[3]Meta 3'!J35+'[3]Meta 3'!K35+'[3]Meta 3'!L35)*20)/0.2</f>
        <v>0</v>
      </c>
      <c r="L4" s="468">
        <f>(('[3]Meta 3'!M35+'[3]Meta 3'!N35+'[3]Meta 3'!O35)*20)/0.2</f>
        <v>0</v>
      </c>
      <c r="M4" s="366">
        <f>SUM(I4:L4)</f>
        <v>0</v>
      </c>
      <c r="O4" s="468">
        <f>(('Meta 3'!D35)*20)/0.2</f>
        <v>0</v>
      </c>
      <c r="P4" s="468">
        <f>(('Meta 3'!E35)*20)/0.2</f>
        <v>1.0480000000000003</v>
      </c>
      <c r="Q4" s="468">
        <f>(('Meta 3'!F35)*20)/0.2</f>
        <v>0</v>
      </c>
      <c r="R4" s="468">
        <f>(('Meta 3'!G35)*20)/0.2</f>
        <v>0</v>
      </c>
      <c r="S4" s="468">
        <f>(('Meta 3'!H35)*20)/0.2</f>
        <v>0</v>
      </c>
      <c r="T4" s="468">
        <f>(('Meta 3'!I35)*20)/0.2</f>
        <v>0</v>
      </c>
      <c r="U4" s="468">
        <f>(('Meta 3'!J35)*20)/0.2</f>
        <v>0</v>
      </c>
      <c r="V4" s="468">
        <f>(('Meta 3'!K35)*20)/0.2</f>
        <v>0</v>
      </c>
      <c r="W4" s="468">
        <f>(('Meta 3'!L35)*20)/0.2</f>
        <v>0</v>
      </c>
      <c r="X4" s="468">
        <f>(('Meta 3'!M35)*20)/0.2</f>
        <v>0</v>
      </c>
      <c r="Y4" s="468">
        <f>(('Meta 3'!N35)*20)/0.2</f>
        <v>0</v>
      </c>
      <c r="Z4" s="468">
        <f>(('Meta 3'!O35)*20)/0.2</f>
        <v>0</v>
      </c>
      <c r="AA4" s="481">
        <f t="shared" si="1"/>
        <v>1.0480000000000003</v>
      </c>
    </row>
    <row r="5" spans="1:27">
      <c r="A5" s="461" t="s">
        <v>1055</v>
      </c>
      <c r="B5" s="462">
        <f t="shared" ref="B5:F5" si="2">AVERAGE(B3:B4)</f>
        <v>17.5</v>
      </c>
      <c r="C5" s="463">
        <f t="shared" si="2"/>
        <v>25.5</v>
      </c>
      <c r="D5" s="464">
        <f t="shared" si="2"/>
        <v>25.5</v>
      </c>
      <c r="E5" s="465">
        <f t="shared" si="2"/>
        <v>21.5</v>
      </c>
      <c r="F5" s="466">
        <f t="shared" si="2"/>
        <v>10</v>
      </c>
      <c r="G5" s="461">
        <f t="shared" si="0"/>
        <v>100</v>
      </c>
      <c r="H5" s="120"/>
      <c r="I5" s="476">
        <f>AVERAGE(I3,I4)</f>
        <v>0</v>
      </c>
      <c r="J5" s="476">
        <f>AVERAGE(J3,J4)</f>
        <v>0</v>
      </c>
      <c r="K5" s="476">
        <f>AVERAGE(K3,K4)</f>
        <v>0</v>
      </c>
      <c r="L5" s="476">
        <f>AVERAGE(L3,L4)</f>
        <v>0</v>
      </c>
      <c r="M5" s="366">
        <f>AVERAGE(M3:M4)</f>
        <v>0</v>
      </c>
      <c r="N5" s="477"/>
      <c r="O5" s="476">
        <f>AVERAGE(O3,O4)</f>
        <v>0</v>
      </c>
      <c r="P5" s="547">
        <f t="shared" ref="P5:Y5" si="3">AVERAGE(P3,P4)</f>
        <v>0.52400000000000013</v>
      </c>
      <c r="Q5" s="476">
        <f t="shared" si="3"/>
        <v>0</v>
      </c>
      <c r="R5" s="476">
        <f t="shared" si="3"/>
        <v>0</v>
      </c>
      <c r="S5" s="476">
        <f t="shared" si="3"/>
        <v>0</v>
      </c>
      <c r="T5" s="476">
        <f t="shared" si="3"/>
        <v>0</v>
      </c>
      <c r="U5" s="476">
        <f t="shared" si="3"/>
        <v>0</v>
      </c>
      <c r="V5" s="476">
        <f t="shared" si="3"/>
        <v>0</v>
      </c>
      <c r="W5" s="476">
        <f t="shared" si="3"/>
        <v>0</v>
      </c>
      <c r="X5" s="476">
        <f t="shared" si="3"/>
        <v>0</v>
      </c>
      <c r="Y5" s="476">
        <f t="shared" si="3"/>
        <v>0</v>
      </c>
      <c r="Z5" s="476">
        <f>AVERAGE(Z3,Z4)</f>
        <v>0</v>
      </c>
      <c r="AA5" s="484">
        <f t="shared" si="1"/>
        <v>0.52400000000000013</v>
      </c>
    </row>
    <row r="6" spans="1:27" ht="15.75" thickBot="1">
      <c r="A6" s="470" t="s">
        <v>1056</v>
      </c>
      <c r="B6" s="471">
        <v>18</v>
      </c>
      <c r="C6" s="472">
        <v>25</v>
      </c>
      <c r="D6" s="473">
        <v>25</v>
      </c>
      <c r="E6" s="474">
        <v>22</v>
      </c>
      <c r="F6" s="475">
        <v>10</v>
      </c>
      <c r="G6" s="470">
        <f t="shared" si="0"/>
        <v>100</v>
      </c>
      <c r="H6" s="120"/>
      <c r="I6" s="120"/>
      <c r="J6" s="120"/>
      <c r="K6" s="120"/>
      <c r="L6" s="120"/>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1071" t="s">
        <v>120</v>
      </c>
      <c r="B1" s="1072"/>
    </row>
    <row r="2" spans="1:2" ht="25.5" customHeight="1">
      <c r="A2" s="1073" t="s">
        <v>814</v>
      </c>
      <c r="B2" s="1074"/>
    </row>
    <row r="3" spans="1:2">
      <c r="A3" s="127" t="s">
        <v>815</v>
      </c>
      <c r="B3" s="127" t="s">
        <v>816</v>
      </c>
    </row>
    <row r="4" spans="1:2">
      <c r="A4" s="128" t="s">
        <v>8</v>
      </c>
      <c r="B4" s="136" t="s">
        <v>817</v>
      </c>
    </row>
    <row r="5" spans="1:2" ht="105">
      <c r="A5" s="128" t="s">
        <v>9</v>
      </c>
      <c r="B5" s="135" t="s">
        <v>818</v>
      </c>
    </row>
    <row r="6" spans="1:2">
      <c r="A6" s="128" t="s">
        <v>14</v>
      </c>
      <c r="B6" s="1075" t="s">
        <v>819</v>
      </c>
    </row>
    <row r="7" spans="1:2">
      <c r="A7" s="128" t="s">
        <v>16</v>
      </c>
      <c r="B7" s="1076"/>
    </row>
    <row r="8" spans="1:2">
      <c r="A8" s="128" t="s">
        <v>18</v>
      </c>
      <c r="B8" s="1076"/>
    </row>
    <row r="9" spans="1:2">
      <c r="A9" s="128" t="s">
        <v>820</v>
      </c>
      <c r="B9" s="1077"/>
    </row>
    <row r="10" spans="1:2" ht="30">
      <c r="A10" s="128" t="s">
        <v>7</v>
      </c>
      <c r="B10" s="129" t="s">
        <v>821</v>
      </c>
    </row>
    <row r="11" spans="1:2" ht="45">
      <c r="A11" s="128" t="s">
        <v>26</v>
      </c>
      <c r="B11" s="129" t="s">
        <v>822</v>
      </c>
    </row>
    <row r="12" spans="1:2" ht="60">
      <c r="A12" s="128" t="s">
        <v>25</v>
      </c>
      <c r="B12" s="130" t="s">
        <v>823</v>
      </c>
    </row>
    <row r="13" spans="1:2" ht="30">
      <c r="A13" s="128" t="s">
        <v>824</v>
      </c>
      <c r="B13" s="130" t="s">
        <v>825</v>
      </c>
    </row>
    <row r="14" spans="1:2" ht="45">
      <c r="A14" s="128" t="s">
        <v>826</v>
      </c>
      <c r="B14" s="130" t="s">
        <v>827</v>
      </c>
    </row>
    <row r="15" spans="1:2" ht="72" customHeight="1">
      <c r="A15" s="131" t="s">
        <v>828</v>
      </c>
      <c r="B15" s="132" t="s">
        <v>829</v>
      </c>
    </row>
    <row r="16" spans="1:2" ht="194.25">
      <c r="A16" s="131" t="s">
        <v>830</v>
      </c>
      <c r="B16" s="133" t="s">
        <v>831</v>
      </c>
    </row>
    <row r="17" spans="1:2" ht="25.5" customHeight="1">
      <c r="A17" s="1073" t="s">
        <v>832</v>
      </c>
      <c r="B17" s="1074"/>
    </row>
    <row r="18" spans="1:2">
      <c r="A18" s="127" t="s">
        <v>815</v>
      </c>
      <c r="B18" s="127" t="s">
        <v>816</v>
      </c>
    </row>
    <row r="19" spans="1:2">
      <c r="A19" s="128" t="s">
        <v>8</v>
      </c>
      <c r="B19" s="136" t="s">
        <v>817</v>
      </c>
    </row>
    <row r="20" spans="1:2" ht="105">
      <c r="A20" s="128" t="s">
        <v>9</v>
      </c>
      <c r="B20" s="135" t="s">
        <v>818</v>
      </c>
    </row>
    <row r="21" spans="1:2" ht="30">
      <c r="A21" s="128" t="s">
        <v>833</v>
      </c>
      <c r="B21" s="130" t="s">
        <v>834</v>
      </c>
    </row>
    <row r="22" spans="1:2" ht="45">
      <c r="A22" s="128" t="s">
        <v>835</v>
      </c>
      <c r="B22" s="130" t="s">
        <v>836</v>
      </c>
    </row>
    <row r="23" spans="1:2" ht="75">
      <c r="A23" s="128" t="s">
        <v>837</v>
      </c>
      <c r="B23" s="130" t="s">
        <v>838</v>
      </c>
    </row>
    <row r="24" spans="1:2" ht="30">
      <c r="A24" s="128" t="s">
        <v>839</v>
      </c>
      <c r="B24" s="130" t="s">
        <v>840</v>
      </c>
    </row>
    <row r="25" spans="1:2" ht="30">
      <c r="A25" s="128" t="s">
        <v>841</v>
      </c>
      <c r="B25" s="130" t="s">
        <v>842</v>
      </c>
    </row>
    <row r="26" spans="1:2" ht="45.95" customHeight="1">
      <c r="A26" s="128" t="s">
        <v>843</v>
      </c>
      <c r="B26" s="134" t="s">
        <v>844</v>
      </c>
    </row>
    <row r="27" spans="1:2" ht="75">
      <c r="A27" s="128" t="s">
        <v>131</v>
      </c>
      <c r="B27" s="134" t="s">
        <v>845</v>
      </c>
    </row>
    <row r="28" spans="1:2" ht="45">
      <c r="A28" s="128" t="s">
        <v>846</v>
      </c>
      <c r="B28" s="134" t="s">
        <v>847</v>
      </c>
    </row>
    <row r="29" spans="1:2" ht="45">
      <c r="A29" s="128" t="s">
        <v>848</v>
      </c>
      <c r="B29" s="134" t="s">
        <v>849</v>
      </c>
    </row>
    <row r="30" spans="1:2" ht="45">
      <c r="A30" s="128" t="s">
        <v>850</v>
      </c>
      <c r="B30" s="134" t="s">
        <v>851</v>
      </c>
    </row>
    <row r="31" spans="1:2" ht="144" customHeight="1">
      <c r="A31" s="128" t="s">
        <v>852</v>
      </c>
      <c r="B31" s="134" t="s">
        <v>853</v>
      </c>
    </row>
    <row r="32" spans="1:2" ht="30">
      <c r="A32" s="128" t="s">
        <v>854</v>
      </c>
      <c r="B32" s="134" t="s">
        <v>855</v>
      </c>
    </row>
    <row r="33" spans="1:2" ht="30">
      <c r="A33" s="128" t="s">
        <v>856</v>
      </c>
      <c r="B33" s="134" t="s">
        <v>857</v>
      </c>
    </row>
    <row r="34" spans="1:2" ht="30">
      <c r="A34" s="128" t="s">
        <v>858</v>
      </c>
      <c r="B34" s="134" t="s">
        <v>859</v>
      </c>
    </row>
    <row r="35" spans="1:2" ht="30">
      <c r="A35" s="128" t="s">
        <v>860</v>
      </c>
      <c r="B35" s="134" t="s">
        <v>861</v>
      </c>
    </row>
    <row r="36" spans="1:2" ht="90">
      <c r="A36" s="128" t="s">
        <v>123</v>
      </c>
      <c r="B36" s="134" t="s">
        <v>862</v>
      </c>
    </row>
    <row r="37" spans="1:2" ht="45">
      <c r="A37" s="128" t="s">
        <v>863</v>
      </c>
      <c r="B37" s="134" t="s">
        <v>864</v>
      </c>
    </row>
    <row r="38" spans="1:2" ht="42.75">
      <c r="A38" s="131" t="s">
        <v>125</v>
      </c>
      <c r="B38" s="134" t="s">
        <v>865</v>
      </c>
    </row>
    <row r="39" spans="1:2" ht="25.5" customHeight="1">
      <c r="A39" s="1073" t="s">
        <v>866</v>
      </c>
      <c r="B39" s="1074"/>
    </row>
    <row r="40" spans="1:2">
      <c r="A40" s="1071" t="s">
        <v>867</v>
      </c>
      <c r="B40" s="1072"/>
    </row>
    <row r="41" spans="1:2" ht="72" customHeight="1">
      <c r="A41" s="1069" t="s">
        <v>868</v>
      </c>
      <c r="B41" s="1070"/>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869</v>
      </c>
      <c r="B1" s="113" t="s">
        <v>870</v>
      </c>
      <c r="C1" s="113" t="s">
        <v>871</v>
      </c>
      <c r="D1" s="113" t="s">
        <v>872</v>
      </c>
      <c r="E1" s="113" t="s">
        <v>850</v>
      </c>
      <c r="F1" s="113" t="s">
        <v>873</v>
      </c>
      <c r="G1" s="113" t="s">
        <v>874</v>
      </c>
      <c r="H1" s="113" t="s">
        <v>230</v>
      </c>
      <c r="I1" s="113" t="s">
        <v>841</v>
      </c>
    </row>
    <row r="2" spans="1:9" s="114" customFormat="1">
      <c r="A2" s="115" t="s">
        <v>875</v>
      </c>
      <c r="B2" s="111" t="s">
        <v>876</v>
      </c>
      <c r="C2" s="115" t="s">
        <v>877</v>
      </c>
      <c r="D2" s="116" t="s">
        <v>878</v>
      </c>
      <c r="E2" s="112" t="s">
        <v>879</v>
      </c>
      <c r="F2" s="117" t="s">
        <v>880</v>
      </c>
      <c r="G2" s="118" t="s">
        <v>881</v>
      </c>
      <c r="H2" s="118" t="s">
        <v>882</v>
      </c>
      <c r="I2" s="117" t="s">
        <v>883</v>
      </c>
    </row>
    <row r="3" spans="1:9">
      <c r="A3" s="115" t="s">
        <v>884</v>
      </c>
      <c r="B3" s="111" t="s">
        <v>885</v>
      </c>
      <c r="C3" s="115" t="s">
        <v>886</v>
      </c>
      <c r="D3" s="119" t="s">
        <v>887</v>
      </c>
      <c r="E3" s="112" t="s">
        <v>888</v>
      </c>
      <c r="F3" s="117" t="s">
        <v>889</v>
      </c>
      <c r="G3" s="118" t="s">
        <v>890</v>
      </c>
      <c r="H3" s="118" t="s">
        <v>239</v>
      </c>
      <c r="I3" s="117" t="s">
        <v>891</v>
      </c>
    </row>
    <row r="4" spans="1:9">
      <c r="A4" s="115" t="s">
        <v>332</v>
      </c>
      <c r="B4" s="111" t="s">
        <v>892</v>
      </c>
      <c r="C4" s="115" t="s">
        <v>893</v>
      </c>
      <c r="D4" s="119" t="s">
        <v>894</v>
      </c>
      <c r="E4" s="112" t="s">
        <v>895</v>
      </c>
      <c r="F4" s="117" t="s">
        <v>896</v>
      </c>
      <c r="G4" s="118" t="s">
        <v>897</v>
      </c>
      <c r="H4" s="118" t="s">
        <v>234</v>
      </c>
      <c r="I4" s="117" t="s">
        <v>898</v>
      </c>
    </row>
    <row r="5" spans="1:9">
      <c r="A5" s="115" t="s">
        <v>899</v>
      </c>
      <c r="B5" s="111" t="s">
        <v>900</v>
      </c>
      <c r="C5" s="115" t="s">
        <v>901</v>
      </c>
      <c r="D5" s="119" t="s">
        <v>902</v>
      </c>
      <c r="E5" s="112" t="s">
        <v>903</v>
      </c>
      <c r="F5" s="117" t="s">
        <v>904</v>
      </c>
      <c r="G5" s="118" t="s">
        <v>905</v>
      </c>
      <c r="H5" s="118" t="s">
        <v>235</v>
      </c>
      <c r="I5" s="117" t="s">
        <v>906</v>
      </c>
    </row>
    <row r="6" spans="1:9" ht="30">
      <c r="A6" s="115" t="s">
        <v>907</v>
      </c>
      <c r="B6" s="111" t="s">
        <v>908</v>
      </c>
      <c r="C6" s="115" t="s">
        <v>909</v>
      </c>
      <c r="D6" s="119" t="s">
        <v>910</v>
      </c>
      <c r="E6" s="112" t="s">
        <v>911</v>
      </c>
      <c r="G6" s="118" t="s">
        <v>912</v>
      </c>
      <c r="H6" s="118" t="s">
        <v>236</v>
      </c>
      <c r="I6" s="117" t="s">
        <v>913</v>
      </c>
    </row>
    <row r="7" spans="1:9" ht="30">
      <c r="B7" s="111" t="s">
        <v>914</v>
      </c>
      <c r="C7" s="115" t="s">
        <v>915</v>
      </c>
      <c r="D7" s="119" t="s">
        <v>916</v>
      </c>
      <c r="E7" s="117" t="s">
        <v>917</v>
      </c>
      <c r="G7" s="112" t="s">
        <v>245</v>
      </c>
      <c r="H7" s="118" t="s">
        <v>237</v>
      </c>
      <c r="I7" s="117" t="s">
        <v>918</v>
      </c>
    </row>
    <row r="8" spans="1:9" ht="30">
      <c r="A8" s="120"/>
      <c r="B8" s="111" t="s">
        <v>919</v>
      </c>
      <c r="C8" s="115" t="s">
        <v>920</v>
      </c>
      <c r="D8" s="119" t="s">
        <v>921</v>
      </c>
      <c r="E8" s="117" t="s">
        <v>922</v>
      </c>
      <c r="I8" s="117" t="s">
        <v>923</v>
      </c>
    </row>
    <row r="9" spans="1:9" ht="32.1" customHeight="1">
      <c r="A9" s="120"/>
      <c r="B9" s="111" t="s">
        <v>924</v>
      </c>
      <c r="C9" s="115" t="s">
        <v>925</v>
      </c>
      <c r="D9" s="119" t="s">
        <v>926</v>
      </c>
      <c r="E9" s="117" t="s">
        <v>927</v>
      </c>
      <c r="I9" s="117" t="s">
        <v>928</v>
      </c>
    </row>
    <row r="10" spans="1:9">
      <c r="A10" s="120"/>
      <c r="B10" s="111" t="s">
        <v>929</v>
      </c>
      <c r="C10" s="115" t="s">
        <v>930</v>
      </c>
      <c r="D10" s="119" t="s">
        <v>931</v>
      </c>
      <c r="E10" s="117" t="s">
        <v>932</v>
      </c>
      <c r="I10" s="117" t="s">
        <v>933</v>
      </c>
    </row>
    <row r="11" spans="1:9">
      <c r="A11" s="120"/>
      <c r="B11" s="111" t="s">
        <v>934</v>
      </c>
      <c r="C11" s="115" t="s">
        <v>935</v>
      </c>
      <c r="D11" s="119" t="s">
        <v>936</v>
      </c>
      <c r="E11" s="117" t="s">
        <v>937</v>
      </c>
      <c r="I11" s="117" t="s">
        <v>938</v>
      </c>
    </row>
    <row r="12" spans="1:9" ht="30">
      <c r="A12" s="120"/>
      <c r="B12" s="111" t="s">
        <v>939</v>
      </c>
      <c r="C12" s="115" t="s">
        <v>940</v>
      </c>
      <c r="D12" s="119" t="s">
        <v>941</v>
      </c>
      <c r="E12" s="117" t="s">
        <v>942</v>
      </c>
      <c r="I12" s="117" t="s">
        <v>943</v>
      </c>
    </row>
    <row r="13" spans="1:9">
      <c r="A13" s="120"/>
      <c r="B13" s="178" t="s">
        <v>944</v>
      </c>
      <c r="D13" s="119" t="s">
        <v>945</v>
      </c>
      <c r="E13" s="117" t="s">
        <v>946</v>
      </c>
      <c r="I13" s="117" t="s">
        <v>947</v>
      </c>
    </row>
    <row r="14" spans="1:9">
      <c r="A14" s="120"/>
      <c r="B14" s="111" t="s">
        <v>948</v>
      </c>
      <c r="C14" s="120"/>
      <c r="D14" s="119" t="s">
        <v>949</v>
      </c>
      <c r="E14" s="117" t="s">
        <v>950</v>
      </c>
    </row>
    <row r="15" spans="1:9">
      <c r="A15" s="120"/>
      <c r="B15" s="111" t="s">
        <v>951</v>
      </c>
      <c r="C15" s="120"/>
      <c r="D15" s="119" t="s">
        <v>161</v>
      </c>
      <c r="E15" s="117" t="s">
        <v>952</v>
      </c>
    </row>
    <row r="16" spans="1:9">
      <c r="A16" s="120"/>
      <c r="B16" s="111" t="s">
        <v>953</v>
      </c>
      <c r="C16" s="120"/>
      <c r="D16" s="119" t="s">
        <v>954</v>
      </c>
      <c r="E16" s="121"/>
    </row>
    <row r="17" spans="1:5">
      <c r="A17" s="120"/>
      <c r="B17" s="111" t="s">
        <v>955</v>
      </c>
      <c r="C17" s="120"/>
      <c r="D17" s="119" t="s">
        <v>956</v>
      </c>
      <c r="E17" s="121"/>
    </row>
    <row r="18" spans="1:5">
      <c r="A18" s="120"/>
      <c r="B18" s="111" t="s">
        <v>957</v>
      </c>
      <c r="C18" s="120"/>
      <c r="D18" s="119" t="s">
        <v>958</v>
      </c>
      <c r="E18" s="121"/>
    </row>
    <row r="19" spans="1:5">
      <c r="A19" s="120"/>
      <c r="B19" s="111" t="s">
        <v>959</v>
      </c>
      <c r="C19" s="120"/>
      <c r="D19" s="119" t="s">
        <v>960</v>
      </c>
      <c r="E19" s="121"/>
    </row>
    <row r="20" spans="1:5">
      <c r="A20" s="120"/>
      <c r="B20" s="111" t="s">
        <v>961</v>
      </c>
      <c r="C20" s="120"/>
      <c r="D20" s="119" t="s">
        <v>962</v>
      </c>
      <c r="E20" s="121"/>
    </row>
    <row r="21" spans="1:5">
      <c r="B21" s="111" t="s">
        <v>963</v>
      </c>
      <c r="D21" s="119" t="s">
        <v>964</v>
      </c>
      <c r="E21" s="121"/>
    </row>
    <row r="22" spans="1:5">
      <c r="B22" s="111" t="s">
        <v>965</v>
      </c>
      <c r="D22" s="119" t="s">
        <v>966</v>
      </c>
      <c r="E22" s="121"/>
    </row>
    <row r="23" spans="1:5">
      <c r="B23" s="111" t="s">
        <v>967</v>
      </c>
      <c r="D23" s="119" t="s">
        <v>968</v>
      </c>
      <c r="E23" s="121"/>
    </row>
    <row r="24" spans="1:5">
      <c r="D24" s="122" t="s">
        <v>969</v>
      </c>
      <c r="E24" s="122" t="s">
        <v>970</v>
      </c>
    </row>
    <row r="25" spans="1:5">
      <c r="D25" s="123" t="s">
        <v>971</v>
      </c>
      <c r="E25" s="117" t="s">
        <v>972</v>
      </c>
    </row>
    <row r="26" spans="1:5">
      <c r="D26" s="123" t="s">
        <v>362</v>
      </c>
      <c r="E26" s="117" t="s">
        <v>973</v>
      </c>
    </row>
    <row r="27" spans="1:5">
      <c r="D27" s="1078" t="s">
        <v>974</v>
      </c>
      <c r="E27" s="117" t="s">
        <v>975</v>
      </c>
    </row>
    <row r="28" spans="1:5">
      <c r="D28" s="1079"/>
      <c r="E28" s="117" t="s">
        <v>976</v>
      </c>
    </row>
    <row r="29" spans="1:5">
      <c r="D29" s="1079"/>
      <c r="E29" s="117" t="s">
        <v>977</v>
      </c>
    </row>
    <row r="30" spans="1:5">
      <c r="D30" s="1080"/>
      <c r="E30" s="117" t="s">
        <v>978</v>
      </c>
    </row>
    <row r="31" spans="1:5">
      <c r="D31" s="123" t="s">
        <v>979</v>
      </c>
      <c r="E31" s="117" t="s">
        <v>980</v>
      </c>
    </row>
    <row r="32" spans="1:5">
      <c r="D32" s="123" t="s">
        <v>981</v>
      </c>
      <c r="E32" s="117" t="s">
        <v>982</v>
      </c>
    </row>
    <row r="33" spans="4:5">
      <c r="D33" s="123" t="s">
        <v>983</v>
      </c>
      <c r="E33" s="117" t="s">
        <v>984</v>
      </c>
    </row>
    <row r="34" spans="4:5">
      <c r="D34" s="123" t="s">
        <v>985</v>
      </c>
      <c r="E34" s="117" t="s">
        <v>986</v>
      </c>
    </row>
    <row r="35" spans="4:5">
      <c r="D35" s="123" t="s">
        <v>987</v>
      </c>
      <c r="E35" s="117" t="s">
        <v>988</v>
      </c>
    </row>
    <row r="36" spans="4:5">
      <c r="D36" s="123" t="s">
        <v>989</v>
      </c>
      <c r="E36" s="117" t="s">
        <v>990</v>
      </c>
    </row>
    <row r="37" spans="4:5">
      <c r="D37" s="123" t="s">
        <v>991</v>
      </c>
      <c r="E37" s="117" t="s">
        <v>992</v>
      </c>
    </row>
    <row r="38" spans="4:5">
      <c r="D38" s="123" t="s">
        <v>993</v>
      </c>
      <c r="E38" s="117" t="s">
        <v>994</v>
      </c>
    </row>
    <row r="39" spans="4:5">
      <c r="D39" s="124" t="s">
        <v>995</v>
      </c>
      <c r="E39" s="117" t="s">
        <v>996</v>
      </c>
    </row>
    <row r="40" spans="4:5">
      <c r="D40" s="124" t="s">
        <v>997</v>
      </c>
      <c r="E40" s="117" t="s">
        <v>998</v>
      </c>
    </row>
    <row r="41" spans="4:5">
      <c r="D41" s="123" t="s">
        <v>999</v>
      </c>
      <c r="E41" s="117" t="s">
        <v>1000</v>
      </c>
    </row>
    <row r="42" spans="4:5">
      <c r="D42" s="123" t="s">
        <v>1001</v>
      </c>
      <c r="E42" s="117" t="s">
        <v>1002</v>
      </c>
    </row>
    <row r="43" spans="4:5">
      <c r="D43" s="124" t="s">
        <v>1003</v>
      </c>
      <c r="E43" s="117" t="s">
        <v>1004</v>
      </c>
    </row>
    <row r="44" spans="4:5">
      <c r="D44" s="125" t="s">
        <v>1005</v>
      </c>
      <c r="E44" s="117" t="s">
        <v>1006</v>
      </c>
    </row>
    <row r="45" spans="4:5">
      <c r="D45" s="119" t="s">
        <v>1007</v>
      </c>
      <c r="E45" s="117" t="s">
        <v>1008</v>
      </c>
    </row>
    <row r="46" spans="4:5">
      <c r="D46" s="119" t="s">
        <v>1009</v>
      </c>
      <c r="E46" s="117" t="s">
        <v>1010</v>
      </c>
    </row>
    <row r="47" spans="4:5">
      <c r="D47" s="119" t="s">
        <v>1011</v>
      </c>
      <c r="E47" s="117" t="s">
        <v>1012</v>
      </c>
    </row>
    <row r="48" spans="4:5">
      <c r="D48" s="119" t="s">
        <v>1013</v>
      </c>
      <c r="E48" s="117" t="s">
        <v>1014</v>
      </c>
    </row>
    <row r="49" spans="4:4">
      <c r="D49" s="122" t="s">
        <v>1015</v>
      </c>
    </row>
    <row r="50" spans="4:4">
      <c r="D50" s="119" t="s">
        <v>1016</v>
      </c>
    </row>
    <row r="51" spans="4:4">
      <c r="D51" s="119" t="s">
        <v>1017</v>
      </c>
    </row>
    <row r="52" spans="4:4">
      <c r="D52" s="122" t="s">
        <v>1018</v>
      </c>
    </row>
    <row r="53" spans="4:4">
      <c r="D53" s="125" t="s">
        <v>1019</v>
      </c>
    </row>
    <row r="54" spans="4:4">
      <c r="D54" s="125" t="s">
        <v>1020</v>
      </c>
    </row>
    <row r="55" spans="4:4">
      <c r="D55" s="125" t="s">
        <v>1021</v>
      </c>
    </row>
    <row r="56" spans="4:4">
      <c r="D56" s="125" t="s">
        <v>1022</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1023</v>
      </c>
      <c r="C1" s="1083" t="s">
        <v>1024</v>
      </c>
      <c r="D1" s="1083"/>
      <c r="E1" s="1083"/>
      <c r="F1" s="1083"/>
      <c r="G1" s="1084" t="s">
        <v>1025</v>
      </c>
      <c r="H1" s="1085"/>
      <c r="I1" s="1085"/>
      <c r="J1" s="1086"/>
      <c r="K1" s="1068" t="s">
        <v>1026</v>
      </c>
      <c r="L1" s="1068"/>
      <c r="M1" s="1068"/>
      <c r="N1" s="1068"/>
    </row>
    <row r="2" spans="1:14">
      <c r="C2" s="4"/>
      <c r="D2" s="4"/>
      <c r="E2" s="4"/>
      <c r="F2" s="4" t="s">
        <v>1027</v>
      </c>
      <c r="G2" s="30"/>
      <c r="H2" s="4"/>
      <c r="I2" s="4"/>
      <c r="J2" s="31" t="s">
        <v>1027</v>
      </c>
      <c r="K2" s="4"/>
      <c r="L2" s="4"/>
      <c r="M2" s="4"/>
      <c r="N2" s="4" t="s">
        <v>1027</v>
      </c>
    </row>
    <row r="3" spans="1:14">
      <c r="A3" s="1082" t="s">
        <v>1028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08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082"/>
      <c r="B5" s="5">
        <v>3</v>
      </c>
      <c r="C5" s="6">
        <v>0.05</v>
      </c>
      <c r="D5" s="6">
        <v>0.05</v>
      </c>
      <c r="E5" s="6">
        <v>0.1</v>
      </c>
      <c r="F5" s="7">
        <f>(C5+D5+E5)</f>
        <v>0.2</v>
      </c>
      <c r="G5" s="32">
        <v>0.1</v>
      </c>
      <c r="H5" s="6">
        <v>0.1</v>
      </c>
      <c r="I5" s="6">
        <v>0.1</v>
      </c>
      <c r="J5" s="33">
        <f>(G5+H5+I5)</f>
        <v>0.30000000000000004</v>
      </c>
      <c r="K5" s="24"/>
      <c r="L5" s="5"/>
      <c r="M5" s="5"/>
      <c r="N5" s="5"/>
    </row>
    <row r="6" spans="1:14">
      <c r="A6" s="1082"/>
      <c r="B6" s="5">
        <v>4</v>
      </c>
      <c r="C6" s="6">
        <v>0.1</v>
      </c>
      <c r="D6" s="6">
        <v>0.1</v>
      </c>
      <c r="E6" s="6">
        <v>0.2</v>
      </c>
      <c r="F6" s="7">
        <f>(C6+D6+E6)</f>
        <v>0.4</v>
      </c>
      <c r="G6" s="32">
        <v>0</v>
      </c>
      <c r="H6" s="6">
        <v>0</v>
      </c>
      <c r="I6" s="6">
        <v>0.1</v>
      </c>
      <c r="J6" s="33">
        <f>(G6+H6+I6)</f>
        <v>0.1</v>
      </c>
      <c r="K6" s="24"/>
      <c r="L6" s="5"/>
      <c r="M6" s="5"/>
      <c r="N6" s="5"/>
    </row>
    <row r="7" spans="1:14">
      <c r="A7" s="1082"/>
      <c r="B7" s="5">
        <v>5</v>
      </c>
      <c r="C7" s="6">
        <v>0</v>
      </c>
      <c r="D7" s="6">
        <v>0</v>
      </c>
      <c r="E7" s="6">
        <v>0</v>
      </c>
      <c r="F7" s="7">
        <f>(C7+D7+E7)</f>
        <v>0</v>
      </c>
      <c r="G7" s="32">
        <v>0</v>
      </c>
      <c r="H7" s="6">
        <v>0</v>
      </c>
      <c r="I7" s="6">
        <v>0</v>
      </c>
      <c r="J7" s="33">
        <f>(G7+H7+I7)</f>
        <v>0</v>
      </c>
      <c r="K7" s="24"/>
      <c r="L7" s="5"/>
      <c r="M7" s="5"/>
      <c r="N7" s="5"/>
    </row>
    <row r="8" spans="1:14">
      <c r="A8" s="1082" t="s">
        <v>1029</v>
      </c>
      <c r="B8" s="9">
        <v>6</v>
      </c>
      <c r="C8" s="10">
        <v>0.1</v>
      </c>
      <c r="D8" s="10">
        <v>0.1</v>
      </c>
      <c r="E8" s="10">
        <v>0.1</v>
      </c>
      <c r="F8" s="11">
        <f>C8+D8+E8</f>
        <v>0.30000000000000004</v>
      </c>
      <c r="G8" s="34"/>
      <c r="H8" s="9"/>
      <c r="I8" s="9"/>
      <c r="J8" s="35"/>
      <c r="K8" s="25"/>
      <c r="L8" s="9"/>
      <c r="M8" s="9"/>
      <c r="N8" s="9"/>
    </row>
    <row r="9" spans="1:14">
      <c r="A9" s="1082"/>
      <c r="B9" s="9">
        <v>7</v>
      </c>
      <c r="C9" s="9"/>
      <c r="D9" s="9"/>
      <c r="E9" s="9"/>
      <c r="F9" s="19"/>
      <c r="G9" s="36"/>
      <c r="H9" s="9"/>
      <c r="I9" s="9"/>
      <c r="J9" s="35"/>
      <c r="K9" s="25"/>
      <c r="L9" s="9"/>
      <c r="M9" s="9"/>
      <c r="N9" s="9"/>
    </row>
    <row r="10" spans="1:14">
      <c r="A10" s="1082"/>
      <c r="B10" s="9">
        <v>8</v>
      </c>
      <c r="C10" s="9"/>
      <c r="D10" s="9"/>
      <c r="E10" s="9"/>
      <c r="F10" s="19"/>
      <c r="G10" s="36"/>
      <c r="H10" s="9"/>
      <c r="I10" s="9"/>
      <c r="J10" s="35"/>
      <c r="K10" s="25"/>
      <c r="L10" s="9"/>
      <c r="M10" s="9"/>
      <c r="N10" s="9"/>
    </row>
    <row r="11" spans="1:14">
      <c r="A11" s="1082"/>
      <c r="B11" s="9">
        <v>9</v>
      </c>
      <c r="C11" s="9"/>
      <c r="D11" s="9"/>
      <c r="E11" s="9"/>
      <c r="F11" s="19"/>
      <c r="G11" s="36"/>
      <c r="H11" s="9"/>
      <c r="I11" s="9"/>
      <c r="J11" s="35"/>
      <c r="K11" s="25"/>
      <c r="L11" s="9"/>
      <c r="M11" s="9"/>
      <c r="N11" s="9"/>
    </row>
    <row r="12" spans="1:14">
      <c r="A12" s="1082" t="s">
        <v>1030</v>
      </c>
      <c r="B12" s="14">
        <v>10</v>
      </c>
      <c r="C12" s="14"/>
      <c r="D12" s="14"/>
      <c r="E12" s="14"/>
      <c r="F12" s="20"/>
      <c r="G12" s="37"/>
      <c r="H12" s="14"/>
      <c r="I12" s="14"/>
      <c r="J12" s="38"/>
      <c r="K12" s="26"/>
      <c r="L12" s="14"/>
      <c r="M12" s="14"/>
      <c r="N12" s="14"/>
    </row>
    <row r="13" spans="1:14">
      <c r="A13" s="1082"/>
      <c r="B13" s="14">
        <v>11</v>
      </c>
      <c r="C13" s="14"/>
      <c r="D13" s="14"/>
      <c r="E13" s="14"/>
      <c r="F13" s="20"/>
      <c r="G13" s="37"/>
      <c r="H13" s="14"/>
      <c r="I13" s="14"/>
      <c r="J13" s="38"/>
      <c r="K13" s="26"/>
      <c r="L13" s="14"/>
      <c r="M13" s="14"/>
      <c r="N13" s="14"/>
    </row>
    <row r="14" spans="1:14">
      <c r="A14" s="1082"/>
      <c r="B14" s="14">
        <v>12</v>
      </c>
      <c r="C14" s="14"/>
      <c r="D14" s="14"/>
      <c r="E14" s="14"/>
      <c r="F14" s="20"/>
      <c r="G14" s="37"/>
      <c r="H14" s="14"/>
      <c r="I14" s="14"/>
      <c r="J14" s="38"/>
      <c r="K14" s="26"/>
      <c r="L14" s="14"/>
      <c r="M14" s="14"/>
      <c r="N14" s="14"/>
    </row>
    <row r="15" spans="1:14">
      <c r="A15" s="1082"/>
      <c r="B15" s="14">
        <v>13</v>
      </c>
      <c r="C15" s="14"/>
      <c r="D15" s="14"/>
      <c r="E15" s="14"/>
      <c r="F15" s="20"/>
      <c r="G15" s="37"/>
      <c r="H15" s="14"/>
      <c r="I15" s="14"/>
      <c r="J15" s="38"/>
      <c r="K15" s="26"/>
      <c r="L15" s="14"/>
      <c r="M15" s="14"/>
      <c r="N15" s="14"/>
    </row>
    <row r="16" spans="1:14">
      <c r="A16" s="1082" t="s">
        <v>1031</v>
      </c>
      <c r="B16" s="15">
        <v>14</v>
      </c>
      <c r="C16" s="15"/>
      <c r="D16" s="15"/>
      <c r="E16" s="15"/>
      <c r="F16" s="21"/>
      <c r="G16" s="39"/>
      <c r="H16" s="15"/>
      <c r="I16" s="15"/>
      <c r="J16" s="40"/>
      <c r="K16" s="27"/>
      <c r="L16" s="15"/>
      <c r="M16" s="15"/>
      <c r="N16" s="15"/>
    </row>
    <row r="17" spans="1:14">
      <c r="A17" s="1082"/>
      <c r="B17" s="15">
        <v>15</v>
      </c>
      <c r="C17" s="15"/>
      <c r="D17" s="15"/>
      <c r="E17" s="15"/>
      <c r="F17" s="21"/>
      <c r="G17" s="39"/>
      <c r="H17" s="15"/>
      <c r="I17" s="15"/>
      <c r="J17" s="40"/>
      <c r="K17" s="27"/>
      <c r="L17" s="15"/>
      <c r="M17" s="15"/>
      <c r="N17" s="15"/>
    </row>
    <row r="18" spans="1:14">
      <c r="A18" s="1082"/>
      <c r="B18" s="15">
        <v>16</v>
      </c>
      <c r="C18" s="15"/>
      <c r="D18" s="15"/>
      <c r="E18" s="15"/>
      <c r="F18" s="21"/>
      <c r="G18" s="39"/>
      <c r="H18" s="15"/>
      <c r="I18" s="15"/>
      <c r="J18" s="40"/>
      <c r="K18" s="27"/>
      <c r="L18" s="15"/>
      <c r="M18" s="15"/>
      <c r="N18" s="15"/>
    </row>
    <row r="19" spans="1:14">
      <c r="A19" s="1082" t="s">
        <v>1032</v>
      </c>
      <c r="B19" s="18">
        <v>17</v>
      </c>
      <c r="C19" s="18"/>
      <c r="D19" s="18"/>
      <c r="E19" s="18"/>
      <c r="F19" s="22"/>
      <c r="G19" s="41"/>
      <c r="H19" s="18"/>
      <c r="I19" s="18"/>
      <c r="J19" s="42"/>
      <c r="K19" s="28"/>
      <c r="L19" s="18"/>
      <c r="M19" s="18"/>
      <c r="N19" s="18"/>
    </row>
    <row r="20" spans="1:14">
      <c r="A20" s="1082"/>
      <c r="B20" s="18">
        <v>18</v>
      </c>
      <c r="C20" s="18"/>
      <c r="D20" s="18"/>
      <c r="E20" s="18"/>
      <c r="F20" s="22"/>
      <c r="G20" s="41"/>
      <c r="H20" s="18"/>
      <c r="I20" s="18"/>
      <c r="J20" s="42"/>
      <c r="K20" s="28"/>
      <c r="L20" s="18"/>
      <c r="M20" s="18"/>
      <c r="N20" s="18"/>
    </row>
    <row r="21" spans="1:14">
      <c r="A21" s="1082"/>
      <c r="B21" s="18">
        <v>19</v>
      </c>
      <c r="C21" s="18"/>
      <c r="D21" s="18"/>
      <c r="E21" s="18"/>
      <c r="F21" s="22"/>
      <c r="G21" s="41"/>
      <c r="H21" s="18"/>
      <c r="I21" s="18"/>
      <c r="J21" s="42"/>
      <c r="K21" s="28"/>
      <c r="L21" s="18"/>
      <c r="M21" s="18"/>
      <c r="N21" s="18"/>
    </row>
    <row r="22" spans="1:14">
      <c r="A22" s="1082"/>
      <c r="B22" s="18">
        <v>20</v>
      </c>
      <c r="C22" s="18"/>
      <c r="D22" s="18"/>
      <c r="E22" s="18"/>
      <c r="F22" s="22"/>
      <c r="G22" s="41"/>
      <c r="H22" s="18"/>
      <c r="I22" s="18"/>
      <c r="J22" s="42"/>
      <c r="K22" s="28"/>
      <c r="L22" s="18"/>
      <c r="M22" s="18"/>
      <c r="N22" s="18"/>
    </row>
    <row r="23" spans="1:14">
      <c r="A23" s="1082" t="s">
        <v>1033</v>
      </c>
      <c r="B23" s="13">
        <v>21</v>
      </c>
      <c r="C23" s="13"/>
      <c r="D23" s="13"/>
      <c r="E23" s="13"/>
      <c r="F23" s="23"/>
      <c r="G23" s="43"/>
      <c r="H23" s="13"/>
      <c r="I23" s="13"/>
      <c r="J23" s="44"/>
      <c r="K23" s="29"/>
      <c r="L23" s="13"/>
      <c r="M23" s="13"/>
      <c r="N23" s="13"/>
    </row>
    <row r="24" spans="1:14">
      <c r="A24" s="1082"/>
      <c r="B24" s="13">
        <v>22</v>
      </c>
      <c r="C24" s="13"/>
      <c r="D24" s="13"/>
      <c r="E24" s="13"/>
      <c r="F24" s="23"/>
      <c r="G24" s="43"/>
      <c r="H24" s="13"/>
      <c r="I24" s="13"/>
      <c r="J24" s="44"/>
      <c r="K24" s="29"/>
      <c r="L24" s="13"/>
      <c r="M24" s="13"/>
      <c r="N24" s="13"/>
    </row>
    <row r="25" spans="1:14">
      <c r="A25" s="1082"/>
      <c r="B25" s="13">
        <v>23</v>
      </c>
      <c r="C25" s="13"/>
      <c r="D25" s="13"/>
      <c r="E25" s="13"/>
      <c r="F25" s="23"/>
      <c r="G25" s="43"/>
      <c r="H25" s="13"/>
      <c r="I25" s="13"/>
      <c r="J25" s="44"/>
      <c r="K25" s="29"/>
      <c r="L25" s="13"/>
      <c r="M25" s="13"/>
      <c r="N25" s="13"/>
    </row>
    <row r="26" spans="1:14">
      <c r="A26" s="1082"/>
      <c r="B26" s="13">
        <v>24</v>
      </c>
      <c r="C26" s="13"/>
      <c r="D26" s="13"/>
      <c r="E26" s="13"/>
      <c r="F26" s="23"/>
      <c r="G26" s="43"/>
      <c r="H26" s="13"/>
      <c r="I26" s="13"/>
      <c r="J26" s="44"/>
      <c r="K26" s="29"/>
      <c r="L26" s="13"/>
      <c r="M26" s="13"/>
      <c r="N26" s="13"/>
    </row>
    <row r="27" spans="1:14">
      <c r="A27" s="1082" t="s">
        <v>1034</v>
      </c>
      <c r="B27" s="9">
        <v>25</v>
      </c>
      <c r="C27" s="9"/>
      <c r="D27" s="9"/>
      <c r="E27" s="9"/>
      <c r="F27" s="9"/>
      <c r="G27" s="9"/>
      <c r="H27" s="9"/>
      <c r="I27" s="9"/>
      <c r="J27" s="9"/>
      <c r="K27" s="9"/>
      <c r="L27" s="9"/>
      <c r="M27" s="9"/>
      <c r="N27" s="9"/>
    </row>
    <row r="28" spans="1:14">
      <c r="A28" s="1082"/>
      <c r="B28" s="9">
        <v>26</v>
      </c>
      <c r="C28" s="9"/>
      <c r="D28" s="9"/>
      <c r="E28" s="9"/>
      <c r="F28" s="9"/>
      <c r="G28" s="9"/>
      <c r="H28" s="9"/>
      <c r="I28" s="9"/>
      <c r="J28" s="9"/>
      <c r="K28" s="9"/>
      <c r="L28" s="9"/>
      <c r="M28" s="9"/>
      <c r="N28" s="9"/>
    </row>
    <row r="29" spans="1:14">
      <c r="A29" s="1082"/>
      <c r="B29" s="9">
        <v>27</v>
      </c>
      <c r="C29" s="9"/>
      <c r="D29" s="9"/>
      <c r="E29" s="9"/>
      <c r="F29" s="9"/>
      <c r="G29" s="9"/>
      <c r="H29" s="9"/>
      <c r="I29" s="9"/>
      <c r="J29" s="9"/>
      <c r="K29" s="9"/>
      <c r="L29" s="9"/>
      <c r="M29" s="9"/>
      <c r="N29" s="9"/>
    </row>
    <row r="30" spans="1:14">
      <c r="A30" s="1082"/>
      <c r="B30" s="9">
        <v>28</v>
      </c>
      <c r="C30" s="9"/>
      <c r="D30" s="9"/>
      <c r="E30" s="9"/>
      <c r="F30" s="9"/>
      <c r="G30" s="9"/>
      <c r="H30" s="9"/>
      <c r="I30" s="9"/>
      <c r="J30" s="9"/>
      <c r="K30" s="9"/>
      <c r="L30" s="9"/>
      <c r="M30" s="9"/>
      <c r="N30" s="9"/>
    </row>
    <row r="31" spans="1:14">
      <c r="A31" s="1082"/>
      <c r="B31" s="9">
        <v>29</v>
      </c>
      <c r="C31" s="9"/>
      <c r="D31" s="9"/>
      <c r="E31" s="9"/>
      <c r="F31" s="9"/>
      <c r="G31" s="9"/>
      <c r="H31" s="9"/>
      <c r="I31" s="9"/>
      <c r="J31" s="9"/>
      <c r="K31" s="9"/>
      <c r="L31" s="9"/>
      <c r="M31" s="9"/>
      <c r="N31" s="9"/>
    </row>
    <row r="32" spans="1:14">
      <c r="A32" s="1082" t="s">
        <v>1035</v>
      </c>
      <c r="B32" s="16">
        <v>30</v>
      </c>
      <c r="C32" s="16"/>
      <c r="D32" s="16"/>
      <c r="E32" s="16"/>
      <c r="F32" s="16"/>
      <c r="G32" s="16"/>
      <c r="H32" s="16"/>
      <c r="I32" s="16"/>
      <c r="J32" s="16"/>
      <c r="K32" s="16"/>
      <c r="L32" s="16"/>
      <c r="M32" s="16"/>
      <c r="N32" s="16"/>
    </row>
    <row r="33" spans="1:14">
      <c r="A33" s="1082"/>
      <c r="B33" s="16">
        <v>31</v>
      </c>
      <c r="C33" s="16"/>
      <c r="D33" s="16"/>
      <c r="E33" s="16"/>
      <c r="F33" s="16"/>
      <c r="G33" s="16"/>
      <c r="H33" s="16"/>
      <c r="I33" s="16"/>
      <c r="J33" s="16"/>
      <c r="K33" s="16"/>
      <c r="L33" s="16"/>
      <c r="M33" s="16"/>
      <c r="N33" s="16"/>
    </row>
    <row r="34" spans="1:14">
      <c r="A34" s="1082"/>
      <c r="B34" s="16">
        <v>32</v>
      </c>
      <c r="C34" s="16"/>
      <c r="D34" s="16"/>
      <c r="E34" s="16"/>
      <c r="F34" s="16"/>
      <c r="G34" s="16"/>
      <c r="H34" s="16"/>
      <c r="I34" s="16"/>
      <c r="J34" s="16"/>
      <c r="K34" s="16"/>
      <c r="L34" s="16"/>
      <c r="M34" s="16"/>
      <c r="N34" s="16"/>
    </row>
    <row r="35" spans="1:14">
      <c r="A35" s="1082" t="s">
        <v>1036</v>
      </c>
      <c r="B35" s="17">
        <v>33</v>
      </c>
      <c r="C35" s="14"/>
      <c r="D35" s="14"/>
      <c r="E35" s="14"/>
      <c r="F35" s="14"/>
      <c r="G35" s="14"/>
      <c r="H35" s="14"/>
      <c r="I35" s="14"/>
      <c r="J35" s="14"/>
      <c r="K35" s="14"/>
      <c r="L35" s="14"/>
      <c r="M35" s="14"/>
      <c r="N35" s="14"/>
    </row>
    <row r="36" spans="1:14">
      <c r="A36" s="1082"/>
      <c r="B36" s="14">
        <v>34</v>
      </c>
      <c r="C36" s="14"/>
      <c r="D36" s="14"/>
      <c r="E36" s="14"/>
      <c r="F36" s="14"/>
      <c r="G36" s="14"/>
      <c r="H36" s="14"/>
      <c r="I36" s="14"/>
      <c r="J36" s="14"/>
      <c r="K36" s="14"/>
      <c r="L36" s="14"/>
      <c r="M36" s="14"/>
      <c r="N36" s="14"/>
    </row>
    <row r="37" spans="1:14">
      <c r="A37" s="1082"/>
      <c r="B37" s="45">
        <v>35</v>
      </c>
      <c r="C37" s="14"/>
      <c r="D37" s="14"/>
      <c r="E37" s="14"/>
      <c r="F37" s="14"/>
      <c r="G37" s="14"/>
      <c r="H37" s="14"/>
      <c r="I37" s="14"/>
      <c r="J37" s="14"/>
      <c r="K37" s="14"/>
      <c r="L37" s="14"/>
      <c r="M37" s="14"/>
      <c r="N37" s="14"/>
    </row>
    <row r="38" spans="1:14">
      <c r="A38" s="1082" t="s">
        <v>1037</v>
      </c>
      <c r="B38" s="8">
        <v>36</v>
      </c>
      <c r="C38" s="8"/>
      <c r="D38" s="8"/>
      <c r="E38" s="8"/>
      <c r="F38" s="8"/>
      <c r="G38" s="8"/>
      <c r="H38" s="8"/>
      <c r="I38" s="8"/>
      <c r="J38" s="8"/>
      <c r="K38" s="8"/>
      <c r="L38" s="8"/>
      <c r="M38" s="8"/>
      <c r="N38" s="8"/>
    </row>
    <row r="39" spans="1:14">
      <c r="A39" s="1082"/>
      <c r="B39" s="8">
        <v>37</v>
      </c>
      <c r="C39" s="8"/>
      <c r="D39" s="8"/>
      <c r="E39" s="8"/>
      <c r="F39" s="8"/>
      <c r="G39" s="8"/>
      <c r="H39" s="8"/>
      <c r="I39" s="8"/>
      <c r="J39" s="8"/>
      <c r="K39" s="8"/>
      <c r="L39" s="8"/>
      <c r="M39" s="8"/>
      <c r="N39" s="8"/>
    </row>
    <row r="40" spans="1:14">
      <c r="A40" s="1082"/>
      <c r="B40" s="8">
        <v>38</v>
      </c>
      <c r="C40" s="8"/>
      <c r="D40" s="8"/>
      <c r="E40" s="8"/>
      <c r="F40" s="8"/>
      <c r="G40" s="8"/>
      <c r="H40" s="8"/>
      <c r="I40" s="8"/>
      <c r="J40" s="8"/>
      <c r="K40" s="8"/>
      <c r="L40" s="8"/>
      <c r="M40" s="8"/>
      <c r="N40" s="8"/>
    </row>
    <row r="41" spans="1:14">
      <c r="A41" s="1087" t="s">
        <v>1038</v>
      </c>
      <c r="B41" s="46">
        <v>39</v>
      </c>
      <c r="C41" s="47"/>
      <c r="D41" s="47"/>
      <c r="E41" s="47"/>
      <c r="F41" s="47"/>
      <c r="G41" s="47"/>
      <c r="H41" s="47"/>
      <c r="I41" s="47"/>
      <c r="J41" s="47"/>
      <c r="K41" s="47"/>
      <c r="L41" s="47"/>
      <c r="M41" s="47"/>
      <c r="N41" s="47"/>
    </row>
    <row r="42" spans="1:14">
      <c r="A42" s="1087"/>
      <c r="B42" s="47">
        <v>40</v>
      </c>
      <c r="C42" s="47"/>
      <c r="D42" s="47"/>
      <c r="E42" s="47"/>
      <c r="F42" s="47"/>
      <c r="G42" s="47"/>
      <c r="H42" s="47"/>
      <c r="I42" s="47"/>
      <c r="J42" s="47"/>
      <c r="K42" s="47"/>
      <c r="L42" s="47"/>
      <c r="M42" s="47"/>
      <c r="N42" s="47"/>
    </row>
    <row r="43" spans="1:14">
      <c r="A43" s="1087"/>
      <c r="B43" s="47">
        <v>41</v>
      </c>
      <c r="C43" s="47"/>
      <c r="D43" s="47"/>
      <c r="E43" s="47"/>
      <c r="F43" s="47"/>
      <c r="G43" s="47"/>
      <c r="H43" s="47"/>
      <c r="I43" s="47"/>
      <c r="J43" s="47"/>
      <c r="K43" s="47"/>
      <c r="L43" s="47"/>
      <c r="M43" s="47"/>
      <c r="N43" s="47"/>
    </row>
    <row r="44" spans="1:14">
      <c r="A44" s="1087"/>
      <c r="B44" s="48">
        <v>42</v>
      </c>
      <c r="C44" s="47"/>
      <c r="D44" s="47"/>
      <c r="E44" s="47"/>
      <c r="F44" s="47"/>
      <c r="G44" s="47"/>
      <c r="H44" s="47"/>
      <c r="I44" s="47"/>
      <c r="J44" s="47"/>
      <c r="K44" s="47"/>
      <c r="L44" s="47"/>
      <c r="M44" s="47"/>
      <c r="N44" s="47"/>
    </row>
    <row r="45" spans="1:14">
      <c r="A45" s="1081" t="s">
        <v>1039</v>
      </c>
      <c r="B45" s="12">
        <v>43</v>
      </c>
      <c r="C45" s="12"/>
      <c r="D45" s="12"/>
      <c r="E45" s="12"/>
      <c r="F45" s="12"/>
      <c r="G45" s="12"/>
      <c r="H45" s="12"/>
      <c r="I45" s="12"/>
      <c r="J45" s="12"/>
      <c r="K45" s="12"/>
      <c r="L45" s="12"/>
      <c r="M45" s="12"/>
      <c r="N45" s="12"/>
    </row>
    <row r="46" spans="1:14">
      <c r="A46" s="1081"/>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0"/>
  <sheetViews>
    <sheetView showGridLines="0" view="pageBreakPreview" topLeftCell="R31" zoomScale="70" zoomScaleNormal="75" zoomScaleSheetLayoutView="70" workbookViewId="0">
      <selection activeCell="AG38" sqref="AG38"/>
    </sheetView>
  </sheetViews>
  <sheetFormatPr baseColWidth="10" defaultColWidth="10.85546875" defaultRowHeight="15"/>
  <cols>
    <col min="1" max="1" width="38.42578125" style="50" customWidth="1"/>
    <col min="2" max="2" width="15.42578125" style="50" customWidth="1"/>
    <col min="3" max="30" width="14.85546875" style="50" customWidth="1"/>
    <col min="31" max="31" width="12"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637"/>
      <c r="B1" s="640" t="s">
        <v>0</v>
      </c>
      <c r="C1" s="641"/>
      <c r="D1" s="641"/>
      <c r="E1" s="641"/>
      <c r="F1" s="641"/>
      <c r="G1" s="641"/>
      <c r="H1" s="641"/>
      <c r="I1" s="641"/>
      <c r="J1" s="641"/>
      <c r="K1" s="641"/>
      <c r="L1" s="641"/>
      <c r="M1" s="641"/>
      <c r="N1" s="641"/>
      <c r="O1" s="641"/>
      <c r="P1" s="641"/>
      <c r="Q1" s="641"/>
      <c r="R1" s="641"/>
      <c r="S1" s="641"/>
      <c r="T1" s="641"/>
      <c r="U1" s="641"/>
      <c r="V1" s="641"/>
      <c r="W1" s="641"/>
      <c r="X1" s="641"/>
      <c r="Y1" s="641"/>
      <c r="Z1" s="641"/>
      <c r="AA1" s="642"/>
      <c r="AB1" s="821" t="s">
        <v>1</v>
      </c>
      <c r="AC1" s="822"/>
      <c r="AD1" s="823"/>
    </row>
    <row r="2" spans="1:30" ht="30.75" customHeight="1">
      <c r="A2" s="638"/>
      <c r="B2" s="646" t="s">
        <v>2</v>
      </c>
      <c r="C2" s="647"/>
      <c r="D2" s="647"/>
      <c r="E2" s="647"/>
      <c r="F2" s="647"/>
      <c r="G2" s="647"/>
      <c r="H2" s="647"/>
      <c r="I2" s="647"/>
      <c r="J2" s="647"/>
      <c r="K2" s="647"/>
      <c r="L2" s="647"/>
      <c r="M2" s="647"/>
      <c r="N2" s="647"/>
      <c r="O2" s="647"/>
      <c r="P2" s="647"/>
      <c r="Q2" s="647"/>
      <c r="R2" s="647"/>
      <c r="S2" s="647"/>
      <c r="T2" s="647"/>
      <c r="U2" s="647"/>
      <c r="V2" s="647"/>
      <c r="W2" s="647"/>
      <c r="X2" s="647"/>
      <c r="Y2" s="647"/>
      <c r="Z2" s="647"/>
      <c r="AA2" s="648"/>
      <c r="AB2" s="824" t="s">
        <v>3</v>
      </c>
      <c r="AC2" s="825"/>
      <c r="AD2" s="826"/>
    </row>
    <row r="3" spans="1:30" ht="33" customHeight="1">
      <c r="A3" s="638"/>
      <c r="B3" s="652" t="s">
        <v>4</v>
      </c>
      <c r="C3" s="653"/>
      <c r="D3" s="653"/>
      <c r="E3" s="653"/>
      <c r="F3" s="653"/>
      <c r="G3" s="653"/>
      <c r="H3" s="653"/>
      <c r="I3" s="653"/>
      <c r="J3" s="653"/>
      <c r="K3" s="653"/>
      <c r="L3" s="653"/>
      <c r="M3" s="653"/>
      <c r="N3" s="653"/>
      <c r="O3" s="653"/>
      <c r="P3" s="653"/>
      <c r="Q3" s="653"/>
      <c r="R3" s="653"/>
      <c r="S3" s="653"/>
      <c r="T3" s="653"/>
      <c r="U3" s="653"/>
      <c r="V3" s="653"/>
      <c r="W3" s="653"/>
      <c r="X3" s="653"/>
      <c r="Y3" s="653"/>
      <c r="Z3" s="653"/>
      <c r="AA3" s="654"/>
      <c r="AB3" s="824" t="s">
        <v>5</v>
      </c>
      <c r="AC3" s="825"/>
      <c r="AD3" s="826"/>
    </row>
    <row r="4" spans="1:30" ht="21.95" customHeight="1" thickBot="1">
      <c r="A4" s="639"/>
      <c r="B4" s="655"/>
      <c r="C4" s="656"/>
      <c r="D4" s="656"/>
      <c r="E4" s="656"/>
      <c r="F4" s="656"/>
      <c r="G4" s="656"/>
      <c r="H4" s="656"/>
      <c r="I4" s="656"/>
      <c r="J4" s="656"/>
      <c r="K4" s="656"/>
      <c r="L4" s="656"/>
      <c r="M4" s="656"/>
      <c r="N4" s="656"/>
      <c r="O4" s="656"/>
      <c r="P4" s="656"/>
      <c r="Q4" s="656"/>
      <c r="R4" s="656"/>
      <c r="S4" s="656"/>
      <c r="T4" s="656"/>
      <c r="U4" s="656"/>
      <c r="V4" s="656"/>
      <c r="W4" s="656"/>
      <c r="X4" s="656"/>
      <c r="Y4" s="656"/>
      <c r="Z4" s="656"/>
      <c r="AA4" s="657"/>
      <c r="AB4" s="818" t="s">
        <v>6</v>
      </c>
      <c r="AC4" s="819"/>
      <c r="AD4" s="820"/>
    </row>
    <row r="5" spans="1:30" ht="9" customHeight="1" thickBot="1">
      <c r="A5" s="51"/>
      <c r="B5" s="52"/>
      <c r="C5" s="53"/>
      <c r="D5" s="437"/>
      <c r="E5" s="437"/>
      <c r="F5" s="437"/>
      <c r="G5" s="437"/>
      <c r="H5" s="437"/>
      <c r="I5" s="437"/>
      <c r="J5" s="437"/>
      <c r="K5" s="437"/>
      <c r="L5" s="437"/>
      <c r="M5" s="437"/>
      <c r="N5" s="437"/>
      <c r="O5" s="437"/>
      <c r="P5" s="437"/>
      <c r="Q5" s="437"/>
      <c r="R5" s="437"/>
      <c r="S5" s="437"/>
      <c r="T5" s="437"/>
      <c r="U5" s="437"/>
      <c r="V5" s="437"/>
      <c r="W5" s="437"/>
      <c r="X5" s="437"/>
      <c r="Y5" s="437"/>
      <c r="Z5" s="438"/>
      <c r="AA5" s="437"/>
      <c r="AB5" s="56"/>
      <c r="AC5" s="57"/>
      <c r="AD5" s="58"/>
    </row>
    <row r="6" spans="1:30" ht="9" customHeight="1" thickBot="1">
      <c r="A6" s="59"/>
      <c r="B6" s="437"/>
      <c r="C6" s="437"/>
      <c r="D6" s="437"/>
      <c r="E6" s="437"/>
      <c r="F6" s="437"/>
      <c r="G6" s="437"/>
      <c r="H6" s="437"/>
      <c r="I6" s="437"/>
      <c r="J6" s="437"/>
      <c r="K6" s="437"/>
      <c r="L6" s="437"/>
      <c r="M6" s="437"/>
      <c r="N6" s="437"/>
      <c r="O6" s="437"/>
      <c r="P6" s="437"/>
      <c r="Q6" s="437"/>
      <c r="R6" s="437"/>
      <c r="S6" s="437"/>
      <c r="T6" s="437"/>
      <c r="U6" s="437"/>
      <c r="V6" s="437"/>
      <c r="W6" s="437"/>
      <c r="X6" s="437"/>
      <c r="Y6" s="437"/>
      <c r="Z6" s="438"/>
      <c r="AA6" s="437"/>
      <c r="AB6" s="437"/>
      <c r="AC6" s="439"/>
      <c r="AD6" s="61"/>
    </row>
    <row r="7" spans="1:30">
      <c r="A7" s="661" t="s">
        <v>7</v>
      </c>
      <c r="B7" s="662"/>
      <c r="C7" s="815" t="s">
        <v>30</v>
      </c>
      <c r="D7" s="661" t="s">
        <v>8</v>
      </c>
      <c r="E7" s="673"/>
      <c r="F7" s="673"/>
      <c r="G7" s="673"/>
      <c r="H7" s="662"/>
      <c r="I7" s="676">
        <v>44624</v>
      </c>
      <c r="J7" s="677"/>
      <c r="K7" s="661" t="s">
        <v>9</v>
      </c>
      <c r="L7" s="662"/>
      <c r="M7" s="682" t="s">
        <v>10</v>
      </c>
      <c r="N7" s="683"/>
      <c r="O7" s="687"/>
      <c r="P7" s="688"/>
      <c r="Q7" s="437"/>
      <c r="R7" s="437"/>
      <c r="S7" s="437"/>
      <c r="T7" s="437"/>
      <c r="U7" s="437"/>
      <c r="V7" s="437"/>
      <c r="W7" s="437"/>
      <c r="X7" s="437"/>
      <c r="Y7" s="437"/>
      <c r="Z7" s="438"/>
      <c r="AA7" s="437"/>
      <c r="AB7" s="437"/>
      <c r="AC7" s="439"/>
      <c r="AD7" s="61"/>
    </row>
    <row r="8" spans="1:30">
      <c r="A8" s="663"/>
      <c r="B8" s="664"/>
      <c r="C8" s="816"/>
      <c r="D8" s="663"/>
      <c r="E8" s="674"/>
      <c r="F8" s="674"/>
      <c r="G8" s="674"/>
      <c r="H8" s="664"/>
      <c r="I8" s="678"/>
      <c r="J8" s="679"/>
      <c r="K8" s="663"/>
      <c r="L8" s="664"/>
      <c r="M8" s="689" t="s">
        <v>12</v>
      </c>
      <c r="N8" s="690"/>
      <c r="O8" s="691"/>
      <c r="P8" s="692"/>
      <c r="Q8" s="437"/>
      <c r="R8" s="437"/>
      <c r="S8" s="437"/>
      <c r="T8" s="437"/>
      <c r="U8" s="437"/>
      <c r="V8" s="437"/>
      <c r="W8" s="437"/>
      <c r="X8" s="437"/>
      <c r="Y8" s="437"/>
      <c r="Z8" s="438"/>
      <c r="AA8" s="437"/>
      <c r="AB8" s="437"/>
      <c r="AC8" s="439"/>
      <c r="AD8" s="61"/>
    </row>
    <row r="9" spans="1:30" ht="15.75" thickBot="1">
      <c r="A9" s="665"/>
      <c r="B9" s="666"/>
      <c r="C9" s="817"/>
      <c r="D9" s="665"/>
      <c r="E9" s="675"/>
      <c r="F9" s="675"/>
      <c r="G9" s="675"/>
      <c r="H9" s="666"/>
      <c r="I9" s="680"/>
      <c r="J9" s="681"/>
      <c r="K9" s="665"/>
      <c r="L9" s="666"/>
      <c r="M9" s="693" t="s">
        <v>13</v>
      </c>
      <c r="N9" s="694"/>
      <c r="O9" s="695" t="s">
        <v>11</v>
      </c>
      <c r="P9" s="696"/>
      <c r="Q9" s="437"/>
      <c r="R9" s="437"/>
      <c r="S9" s="437"/>
      <c r="T9" s="437"/>
      <c r="U9" s="437"/>
      <c r="V9" s="437"/>
      <c r="W9" s="437"/>
      <c r="X9" s="437"/>
      <c r="Y9" s="437"/>
      <c r="Z9" s="438"/>
      <c r="AA9" s="437"/>
      <c r="AB9" s="437"/>
      <c r="AC9" s="439"/>
      <c r="AD9" s="61"/>
    </row>
    <row r="10" spans="1:30" ht="15" customHeight="1" thickBot="1">
      <c r="A10" s="161"/>
      <c r="B10" s="440"/>
      <c r="C10" s="440"/>
      <c r="D10" s="441"/>
      <c r="E10" s="441"/>
      <c r="F10" s="441"/>
      <c r="G10" s="441"/>
      <c r="H10" s="441"/>
      <c r="I10" s="442"/>
      <c r="J10" s="442"/>
      <c r="K10" s="441"/>
      <c r="L10" s="441"/>
      <c r="M10" s="443"/>
      <c r="N10" s="443"/>
      <c r="O10" s="444"/>
      <c r="P10" s="444"/>
      <c r="Q10" s="440"/>
      <c r="R10" s="440"/>
      <c r="S10" s="440"/>
      <c r="T10" s="440"/>
      <c r="U10" s="440"/>
      <c r="V10" s="440"/>
      <c r="W10" s="440"/>
      <c r="X10" s="440"/>
      <c r="Y10" s="440"/>
      <c r="Z10" s="445"/>
      <c r="AA10" s="440"/>
      <c r="AB10" s="440"/>
      <c r="AC10" s="446"/>
      <c r="AD10" s="162"/>
    </row>
    <row r="11" spans="1:30" ht="15" customHeight="1">
      <c r="A11" s="661" t="s">
        <v>14</v>
      </c>
      <c r="B11" s="662"/>
      <c r="C11" s="667" t="s">
        <v>15</v>
      </c>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9"/>
    </row>
    <row r="12" spans="1:30" ht="15" customHeight="1">
      <c r="A12" s="663"/>
      <c r="B12" s="664"/>
      <c r="C12" s="652"/>
      <c r="D12" s="653"/>
      <c r="E12" s="653"/>
      <c r="F12" s="653"/>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4"/>
    </row>
    <row r="13" spans="1:30" ht="15" customHeight="1" thickBot="1">
      <c r="A13" s="665"/>
      <c r="B13" s="666"/>
      <c r="C13" s="655"/>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7"/>
    </row>
    <row r="14" spans="1:30" ht="9" customHeight="1" thickBot="1">
      <c r="A14" s="67"/>
      <c r="B14" s="68"/>
      <c r="C14" s="447"/>
      <c r="D14" s="447"/>
      <c r="E14" s="447"/>
      <c r="F14" s="447"/>
      <c r="G14" s="447"/>
      <c r="H14" s="447"/>
      <c r="I14" s="447"/>
      <c r="J14" s="447"/>
      <c r="K14" s="447"/>
      <c r="L14" s="447"/>
      <c r="M14" s="448"/>
      <c r="N14" s="448"/>
      <c r="O14" s="448"/>
      <c r="P14" s="448"/>
      <c r="Q14" s="448"/>
      <c r="R14" s="449"/>
      <c r="S14" s="449"/>
      <c r="T14" s="449"/>
      <c r="U14" s="449"/>
      <c r="V14" s="449"/>
      <c r="W14" s="449"/>
      <c r="X14" s="449"/>
      <c r="Y14" s="441"/>
      <c r="Z14" s="441"/>
      <c r="AA14" s="441"/>
      <c r="AB14" s="441"/>
      <c r="AC14" s="441"/>
      <c r="AD14" s="428"/>
    </row>
    <row r="15" spans="1:30" ht="39" customHeight="1" thickBot="1">
      <c r="A15" s="697" t="s">
        <v>16</v>
      </c>
      <c r="B15" s="698"/>
      <c r="C15" s="684" t="s">
        <v>17</v>
      </c>
      <c r="D15" s="685"/>
      <c r="E15" s="685"/>
      <c r="F15" s="685"/>
      <c r="G15" s="685"/>
      <c r="H15" s="685"/>
      <c r="I15" s="685"/>
      <c r="J15" s="685"/>
      <c r="K15" s="686"/>
      <c r="L15" s="699" t="s">
        <v>18</v>
      </c>
      <c r="M15" s="700"/>
      <c r="N15" s="700"/>
      <c r="O15" s="700"/>
      <c r="P15" s="700"/>
      <c r="Q15" s="701"/>
      <c r="R15" s="702" t="s">
        <v>19</v>
      </c>
      <c r="S15" s="703"/>
      <c r="T15" s="703"/>
      <c r="U15" s="703"/>
      <c r="V15" s="703"/>
      <c r="W15" s="703"/>
      <c r="X15" s="704"/>
      <c r="Y15" s="699" t="s">
        <v>20</v>
      </c>
      <c r="Z15" s="701"/>
      <c r="AA15" s="684" t="s">
        <v>21</v>
      </c>
      <c r="AB15" s="685"/>
      <c r="AC15" s="685"/>
      <c r="AD15" s="686"/>
    </row>
    <row r="16" spans="1:30" ht="9" customHeight="1" thickBot="1">
      <c r="A16" s="59"/>
      <c r="B16" s="437"/>
      <c r="C16" s="707"/>
      <c r="D16" s="707"/>
      <c r="E16" s="707"/>
      <c r="F16" s="707"/>
      <c r="G16" s="707"/>
      <c r="H16" s="707"/>
      <c r="I16" s="707"/>
      <c r="J16" s="707"/>
      <c r="K16" s="707"/>
      <c r="L16" s="707"/>
      <c r="M16" s="707"/>
      <c r="N16" s="707"/>
      <c r="O16" s="707"/>
      <c r="P16" s="707"/>
      <c r="Q16" s="707"/>
      <c r="R16" s="707"/>
      <c r="S16" s="707"/>
      <c r="T16" s="707"/>
      <c r="U16" s="707"/>
      <c r="V16" s="707"/>
      <c r="W16" s="707"/>
      <c r="X16" s="707"/>
      <c r="Y16" s="707"/>
      <c r="Z16" s="707"/>
      <c r="AA16" s="707"/>
      <c r="AB16" s="707"/>
      <c r="AC16" s="73"/>
      <c r="AD16" s="74"/>
    </row>
    <row r="17" spans="1:41" s="76" customFormat="1" ht="37.5" customHeight="1" thickBot="1">
      <c r="A17" s="697" t="s">
        <v>22</v>
      </c>
      <c r="B17" s="698"/>
      <c r="C17" s="810" t="s">
        <v>92</v>
      </c>
      <c r="D17" s="811"/>
      <c r="E17" s="811"/>
      <c r="F17" s="811"/>
      <c r="G17" s="811"/>
      <c r="H17" s="811"/>
      <c r="I17" s="811"/>
      <c r="J17" s="811"/>
      <c r="K17" s="811"/>
      <c r="L17" s="811"/>
      <c r="M17" s="811"/>
      <c r="N17" s="811"/>
      <c r="O17" s="811"/>
      <c r="P17" s="811"/>
      <c r="Q17" s="812"/>
      <c r="R17" s="699" t="s">
        <v>24</v>
      </c>
      <c r="S17" s="700"/>
      <c r="T17" s="700"/>
      <c r="U17" s="700"/>
      <c r="V17" s="701"/>
      <c r="W17" s="813">
        <v>4</v>
      </c>
      <c r="X17" s="814"/>
      <c r="Y17" s="700" t="s">
        <v>25</v>
      </c>
      <c r="Z17" s="700"/>
      <c r="AA17" s="700"/>
      <c r="AB17" s="701"/>
      <c r="AC17" s="713">
        <v>0.1</v>
      </c>
      <c r="AD17" s="714"/>
    </row>
    <row r="18" spans="1:41" ht="16.5" customHeight="1" thickBot="1">
      <c r="A18" s="77"/>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79"/>
    </row>
    <row r="19" spans="1:41" ht="32.1" customHeight="1" thickBot="1">
      <c r="A19" s="699" t="s">
        <v>26</v>
      </c>
      <c r="B19" s="700"/>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1"/>
      <c r="AE19" s="83"/>
      <c r="AF19" s="83"/>
    </row>
    <row r="20" spans="1:41" ht="32.1" customHeight="1" thickBot="1">
      <c r="A20" s="530"/>
      <c r="B20" s="57"/>
      <c r="C20" s="807" t="s">
        <v>27</v>
      </c>
      <c r="D20" s="808"/>
      <c r="E20" s="808"/>
      <c r="F20" s="808"/>
      <c r="G20" s="808"/>
      <c r="H20" s="808"/>
      <c r="I20" s="808"/>
      <c r="J20" s="808"/>
      <c r="K20" s="808"/>
      <c r="L20" s="808"/>
      <c r="M20" s="808"/>
      <c r="N20" s="808"/>
      <c r="O20" s="808"/>
      <c r="P20" s="809"/>
      <c r="Q20" s="715" t="s">
        <v>28</v>
      </c>
      <c r="R20" s="716"/>
      <c r="S20" s="716"/>
      <c r="T20" s="716"/>
      <c r="U20" s="716"/>
      <c r="V20" s="716"/>
      <c r="W20" s="716"/>
      <c r="X20" s="716"/>
      <c r="Y20" s="716"/>
      <c r="Z20" s="716"/>
      <c r="AA20" s="716"/>
      <c r="AB20" s="716"/>
      <c r="AC20" s="716"/>
      <c r="AD20" s="717"/>
      <c r="AE20" s="83"/>
      <c r="AF20" s="83"/>
    </row>
    <row r="21" spans="1:41" ht="32.1" customHeight="1" thickBot="1">
      <c r="A21" s="389"/>
      <c r="B21" s="56"/>
      <c r="C21" s="489" t="s">
        <v>29</v>
      </c>
      <c r="D21" s="490" t="s">
        <v>30</v>
      </c>
      <c r="E21" s="490" t="s">
        <v>31</v>
      </c>
      <c r="F21" s="490" t="s">
        <v>32</v>
      </c>
      <c r="G21" s="490" t="s">
        <v>33</v>
      </c>
      <c r="H21" s="490" t="s">
        <v>34</v>
      </c>
      <c r="I21" s="490" t="s">
        <v>35</v>
      </c>
      <c r="J21" s="490" t="s">
        <v>36</v>
      </c>
      <c r="K21" s="490" t="s">
        <v>37</v>
      </c>
      <c r="L21" s="490" t="s">
        <v>38</v>
      </c>
      <c r="M21" s="490" t="s">
        <v>39</v>
      </c>
      <c r="N21" s="490" t="s">
        <v>40</v>
      </c>
      <c r="O21" s="490" t="s">
        <v>41</v>
      </c>
      <c r="P21" s="491" t="s">
        <v>42</v>
      </c>
      <c r="Q21" s="432" t="s">
        <v>29</v>
      </c>
      <c r="R21" s="433" t="s">
        <v>30</v>
      </c>
      <c r="S21" s="433" t="s">
        <v>31</v>
      </c>
      <c r="T21" s="433" t="s">
        <v>32</v>
      </c>
      <c r="U21" s="433" t="s">
        <v>33</v>
      </c>
      <c r="V21" s="433" t="s">
        <v>34</v>
      </c>
      <c r="W21" s="433" t="s">
        <v>35</v>
      </c>
      <c r="X21" s="433" t="s">
        <v>36</v>
      </c>
      <c r="Y21" s="433" t="s">
        <v>37</v>
      </c>
      <c r="Z21" s="433" t="s">
        <v>38</v>
      </c>
      <c r="AA21" s="433" t="s">
        <v>39</v>
      </c>
      <c r="AB21" s="433" t="s">
        <v>40</v>
      </c>
      <c r="AC21" s="433" t="s">
        <v>41</v>
      </c>
      <c r="AD21" s="434" t="s">
        <v>42</v>
      </c>
      <c r="AE21" s="3"/>
      <c r="AF21" s="3"/>
    </row>
    <row r="22" spans="1:41" ht="32.1" customHeight="1">
      <c r="A22" s="718" t="s">
        <v>43</v>
      </c>
      <c r="B22" s="782"/>
      <c r="C22" s="167">
        <v>0</v>
      </c>
      <c r="D22" s="166">
        <v>0</v>
      </c>
      <c r="E22" s="166">
        <v>0</v>
      </c>
      <c r="F22" s="166">
        <v>0</v>
      </c>
      <c r="G22" s="166">
        <v>0</v>
      </c>
      <c r="H22" s="166">
        <v>0</v>
      </c>
      <c r="I22" s="166">
        <v>0</v>
      </c>
      <c r="J22" s="166">
        <v>0</v>
      </c>
      <c r="K22" s="166">
        <v>0</v>
      </c>
      <c r="L22" s="166">
        <v>0</v>
      </c>
      <c r="M22" s="166">
        <v>0</v>
      </c>
      <c r="N22" s="166">
        <v>0</v>
      </c>
      <c r="O22" s="166">
        <f>SUM(C22:N22)</f>
        <v>0</v>
      </c>
      <c r="P22" s="390"/>
      <c r="Q22" s="376">
        <v>0</v>
      </c>
      <c r="R22" s="166">
        <v>0</v>
      </c>
      <c r="S22" s="377">
        <v>0</v>
      </c>
      <c r="T22" s="377">
        <v>0</v>
      </c>
      <c r="U22" s="377">
        <v>0</v>
      </c>
      <c r="V22" s="377">
        <v>0</v>
      </c>
      <c r="W22" s="377">
        <v>184761500</v>
      </c>
      <c r="X22" s="166">
        <v>0</v>
      </c>
      <c r="Y22" s="377">
        <v>0</v>
      </c>
      <c r="Z22" s="166">
        <v>0</v>
      </c>
      <c r="AA22" s="166">
        <v>0</v>
      </c>
      <c r="AB22" s="166">
        <v>0</v>
      </c>
      <c r="AC22" s="377">
        <f>SUM(Q22:AB22)</f>
        <v>184761500</v>
      </c>
      <c r="AD22" s="170"/>
      <c r="AE22" s="3"/>
      <c r="AF22" s="3"/>
      <c r="AG22" s="386"/>
    </row>
    <row r="23" spans="1:41" ht="32.1" customHeight="1">
      <c r="A23" s="705" t="s">
        <v>44</v>
      </c>
      <c r="B23" s="732"/>
      <c r="C23" s="164">
        <v>0</v>
      </c>
      <c r="D23" s="163">
        <v>0</v>
      </c>
      <c r="E23" s="163">
        <v>0</v>
      </c>
      <c r="F23" s="163">
        <v>0</v>
      </c>
      <c r="G23" s="163">
        <v>0</v>
      </c>
      <c r="H23" s="163">
        <v>0</v>
      </c>
      <c r="I23" s="163">
        <v>0</v>
      </c>
      <c r="J23" s="163">
        <v>0</v>
      </c>
      <c r="K23" s="163">
        <v>0</v>
      </c>
      <c r="L23" s="163">
        <v>0</v>
      </c>
      <c r="M23" s="163">
        <v>0</v>
      </c>
      <c r="N23" s="163">
        <v>0</v>
      </c>
      <c r="O23" s="166">
        <f>SUM(C23:N23)</f>
        <v>0</v>
      </c>
      <c r="P23" s="168" t="str">
        <f>IFERROR(O23/(SUMIF(C23:N23,"&gt;0",C22:N22))," ")</f>
        <v xml:space="preserve"> </v>
      </c>
      <c r="Q23" s="167">
        <v>0</v>
      </c>
      <c r="R23" s="166">
        <v>0</v>
      </c>
      <c r="S23" s="166">
        <v>0</v>
      </c>
      <c r="T23" s="166">
        <v>0</v>
      </c>
      <c r="U23" s="166">
        <v>0</v>
      </c>
      <c r="V23" s="166">
        <v>0</v>
      </c>
      <c r="W23" s="166">
        <v>0</v>
      </c>
      <c r="X23" s="166">
        <v>0</v>
      </c>
      <c r="Y23" s="166">
        <v>0</v>
      </c>
      <c r="Z23" s="166">
        <v>0</v>
      </c>
      <c r="AA23" s="166">
        <v>0</v>
      </c>
      <c r="AB23" s="166">
        <v>0</v>
      </c>
      <c r="AC23" s="378">
        <f>SUM(Q23:AB23)</f>
        <v>0</v>
      </c>
      <c r="AD23" s="168" t="str">
        <f>IFERROR(AC23/(SUMIF(Q23:AB23,"&gt;0",Q22:AB22))," ")</f>
        <v xml:space="preserve"> </v>
      </c>
      <c r="AE23" s="3"/>
      <c r="AF23" s="3"/>
    </row>
    <row r="24" spans="1:41" ht="32.1" customHeight="1">
      <c r="A24" s="705" t="s">
        <v>45</v>
      </c>
      <c r="B24" s="732"/>
      <c r="C24" s="164">
        <v>0</v>
      </c>
      <c r="D24" s="220">
        <v>0</v>
      </c>
      <c r="E24" s="220">
        <v>0</v>
      </c>
      <c r="F24" s="220">
        <v>24000003</v>
      </c>
      <c r="G24" s="163">
        <v>0</v>
      </c>
      <c r="H24" s="163">
        <v>0</v>
      </c>
      <c r="I24" s="163">
        <v>0</v>
      </c>
      <c r="J24" s="163">
        <v>0</v>
      </c>
      <c r="K24" s="163">
        <v>0</v>
      </c>
      <c r="L24" s="163">
        <v>0</v>
      </c>
      <c r="M24" s="163">
        <v>0</v>
      </c>
      <c r="N24" s="163">
        <v>0</v>
      </c>
      <c r="O24" s="166">
        <f>SUM(C24:N24)</f>
        <v>24000003</v>
      </c>
      <c r="P24" s="391"/>
      <c r="Q24" s="376">
        <v>0</v>
      </c>
      <c r="R24" s="377">
        <v>0</v>
      </c>
      <c r="S24" s="377">
        <v>0</v>
      </c>
      <c r="T24" s="377">
        <v>0</v>
      </c>
      <c r="U24" s="378">
        <v>0</v>
      </c>
      <c r="V24" s="378">
        <v>0</v>
      </c>
      <c r="W24" s="378">
        <v>0</v>
      </c>
      <c r="X24" s="378">
        <v>0</v>
      </c>
      <c r="Y24" s="378">
        <f>184761500*40%</f>
        <v>73904600</v>
      </c>
      <c r="Z24" s="378">
        <v>0</v>
      </c>
      <c r="AA24" s="378">
        <f>184761500*30%</f>
        <v>55428450</v>
      </c>
      <c r="AB24" s="378">
        <f>184761500*30%</f>
        <v>55428450</v>
      </c>
      <c r="AC24" s="378">
        <f>SUM(Q24:AB24)</f>
        <v>184761500</v>
      </c>
      <c r="AD24" s="168"/>
      <c r="AE24" s="3"/>
      <c r="AF24" s="3"/>
    </row>
    <row r="25" spans="1:41" ht="32.1" customHeight="1" thickBot="1">
      <c r="A25" s="720" t="s">
        <v>46</v>
      </c>
      <c r="B25" s="806"/>
      <c r="C25" s="531">
        <v>0</v>
      </c>
      <c r="D25" s="531">
        <v>0</v>
      </c>
      <c r="E25" s="165">
        <v>0</v>
      </c>
      <c r="F25" s="165">
        <v>0</v>
      </c>
      <c r="G25" s="165">
        <v>0</v>
      </c>
      <c r="H25" s="165">
        <v>0</v>
      </c>
      <c r="I25" s="165">
        <v>0</v>
      </c>
      <c r="J25" s="165">
        <v>0</v>
      </c>
      <c r="K25" s="165">
        <v>0</v>
      </c>
      <c r="L25" s="165">
        <v>0</v>
      </c>
      <c r="M25" s="165">
        <v>0</v>
      </c>
      <c r="N25" s="165">
        <v>0</v>
      </c>
      <c r="O25" s="388">
        <f>SUM(C25:N25)</f>
        <v>0</v>
      </c>
      <c r="P25" s="169" t="str">
        <f>IFERROR(O25/(SUMIF(C25:N25,"&gt;0",C24:N24))," ")</f>
        <v xml:space="preserve"> </v>
      </c>
      <c r="Q25" s="502">
        <v>0</v>
      </c>
      <c r="R25" s="499">
        <v>0</v>
      </c>
      <c r="S25" s="388">
        <v>0</v>
      </c>
      <c r="T25" s="388">
        <v>0</v>
      </c>
      <c r="U25" s="388">
        <v>0</v>
      </c>
      <c r="V25" s="388">
        <v>0</v>
      </c>
      <c r="W25" s="388">
        <v>0</v>
      </c>
      <c r="X25" s="388">
        <v>0</v>
      </c>
      <c r="Y25" s="388"/>
      <c r="Z25" s="388">
        <v>0</v>
      </c>
      <c r="AA25" s="388">
        <v>0</v>
      </c>
      <c r="AB25" s="388">
        <v>0</v>
      </c>
      <c r="AC25" s="379">
        <f>SUM(Q25:AB25)</f>
        <v>0</v>
      </c>
      <c r="AD25" s="169" t="str">
        <f>IFERROR(AC25/(SUMIF(Q25:AB25,"&gt;0",Q24:AB24))," ")</f>
        <v xml:space="preserve"> </v>
      </c>
      <c r="AE25" s="3"/>
      <c r="AF25" s="3"/>
    </row>
    <row r="26" spans="1:41" ht="32.1" customHeight="1" thickBot="1">
      <c r="A26" s="59"/>
      <c r="B26" s="437"/>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39"/>
      <c r="AD26" s="162"/>
    </row>
    <row r="27" spans="1:41" ht="33.950000000000003" customHeight="1">
      <c r="A27" s="722" t="s">
        <v>47</v>
      </c>
      <c r="B27" s="723"/>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5"/>
    </row>
    <row r="28" spans="1:41" ht="15" customHeight="1">
      <c r="A28" s="726" t="s">
        <v>48</v>
      </c>
      <c r="B28" s="728" t="s">
        <v>49</v>
      </c>
      <c r="C28" s="729"/>
      <c r="D28" s="732" t="s">
        <v>50</v>
      </c>
      <c r="E28" s="733"/>
      <c r="F28" s="733"/>
      <c r="G28" s="733"/>
      <c r="H28" s="733"/>
      <c r="I28" s="733"/>
      <c r="J28" s="733"/>
      <c r="K28" s="733"/>
      <c r="L28" s="733"/>
      <c r="M28" s="733"/>
      <c r="N28" s="733"/>
      <c r="O28" s="734"/>
      <c r="P28" s="735" t="s">
        <v>41</v>
      </c>
      <c r="Q28" s="735" t="s">
        <v>51</v>
      </c>
      <c r="R28" s="735"/>
      <c r="S28" s="735"/>
      <c r="T28" s="735"/>
      <c r="U28" s="735"/>
      <c r="V28" s="735"/>
      <c r="W28" s="735"/>
      <c r="X28" s="735"/>
      <c r="Y28" s="735"/>
      <c r="Z28" s="735"/>
      <c r="AA28" s="735"/>
      <c r="AB28" s="735"/>
      <c r="AC28" s="735"/>
      <c r="AD28" s="706"/>
    </row>
    <row r="29" spans="1:41" ht="27" customHeight="1">
      <c r="A29" s="727"/>
      <c r="B29" s="730"/>
      <c r="C29" s="731"/>
      <c r="D29" s="429" t="s">
        <v>29</v>
      </c>
      <c r="E29" s="429" t="s">
        <v>30</v>
      </c>
      <c r="F29" s="429" t="s">
        <v>31</v>
      </c>
      <c r="G29" s="429" t="s">
        <v>32</v>
      </c>
      <c r="H29" s="429" t="s">
        <v>33</v>
      </c>
      <c r="I29" s="429" t="s">
        <v>34</v>
      </c>
      <c r="J29" s="429" t="s">
        <v>35</v>
      </c>
      <c r="K29" s="429" t="s">
        <v>36</v>
      </c>
      <c r="L29" s="429" t="s">
        <v>37</v>
      </c>
      <c r="M29" s="429" t="s">
        <v>38</v>
      </c>
      <c r="N29" s="429" t="s">
        <v>39</v>
      </c>
      <c r="O29" s="429" t="s">
        <v>40</v>
      </c>
      <c r="P29" s="734"/>
      <c r="Q29" s="735"/>
      <c r="R29" s="735"/>
      <c r="S29" s="735"/>
      <c r="T29" s="735"/>
      <c r="U29" s="735"/>
      <c r="V29" s="735"/>
      <c r="W29" s="735"/>
      <c r="X29" s="735"/>
      <c r="Y29" s="735"/>
      <c r="Z29" s="735"/>
      <c r="AA29" s="735"/>
      <c r="AB29" s="735"/>
      <c r="AC29" s="735"/>
      <c r="AD29" s="706"/>
    </row>
    <row r="30" spans="1:41" ht="84" customHeight="1" thickBot="1">
      <c r="A30" s="430" t="str">
        <f>C17</f>
        <v>Diseñar 13 contenidos para el desarrollo de capacidades socioemocionales, técnicas y digitales de las mujeres, en toda su diversidad.</v>
      </c>
      <c r="B30" s="800"/>
      <c r="C30" s="801"/>
      <c r="D30" s="431"/>
      <c r="E30" s="431"/>
      <c r="F30" s="431"/>
      <c r="G30" s="431"/>
      <c r="H30" s="431"/>
      <c r="I30" s="431"/>
      <c r="J30" s="431"/>
      <c r="K30" s="431"/>
      <c r="L30" s="431"/>
      <c r="M30" s="431"/>
      <c r="N30" s="431"/>
      <c r="O30" s="431"/>
      <c r="P30" s="86">
        <f>SUM(D30:O30)</f>
        <v>0</v>
      </c>
      <c r="Q30" s="802" t="s">
        <v>1078</v>
      </c>
      <c r="R30" s="802"/>
      <c r="S30" s="802"/>
      <c r="T30" s="802"/>
      <c r="U30" s="802"/>
      <c r="V30" s="802"/>
      <c r="W30" s="802"/>
      <c r="X30" s="802"/>
      <c r="Y30" s="802"/>
      <c r="Z30" s="802"/>
      <c r="AA30" s="802"/>
      <c r="AB30" s="802"/>
      <c r="AC30" s="802"/>
      <c r="AD30" s="803"/>
    </row>
    <row r="31" spans="1:41" ht="45" customHeight="1">
      <c r="A31" s="740" t="s">
        <v>53</v>
      </c>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2"/>
    </row>
    <row r="32" spans="1:41" ht="23.1" customHeight="1">
      <c r="A32" s="804" t="s">
        <v>54</v>
      </c>
      <c r="B32" s="735" t="s">
        <v>55</v>
      </c>
      <c r="C32" s="735" t="s">
        <v>49</v>
      </c>
      <c r="D32" s="735" t="s">
        <v>56</v>
      </c>
      <c r="E32" s="735"/>
      <c r="F32" s="735"/>
      <c r="G32" s="735"/>
      <c r="H32" s="735"/>
      <c r="I32" s="735"/>
      <c r="J32" s="735"/>
      <c r="K32" s="735"/>
      <c r="L32" s="735"/>
      <c r="M32" s="735"/>
      <c r="N32" s="735"/>
      <c r="O32" s="735"/>
      <c r="P32" s="735"/>
      <c r="Q32" s="735" t="s">
        <v>57</v>
      </c>
      <c r="R32" s="735"/>
      <c r="S32" s="735"/>
      <c r="T32" s="735"/>
      <c r="U32" s="735"/>
      <c r="V32" s="735"/>
      <c r="W32" s="735"/>
      <c r="X32" s="735"/>
      <c r="Y32" s="735"/>
      <c r="Z32" s="735"/>
      <c r="AA32" s="735"/>
      <c r="AB32" s="735"/>
      <c r="AC32" s="735"/>
      <c r="AD32" s="706"/>
      <c r="AG32" s="87"/>
      <c r="AH32" s="87"/>
      <c r="AI32" s="87"/>
      <c r="AJ32" s="87"/>
      <c r="AK32" s="87"/>
      <c r="AL32" s="87"/>
      <c r="AM32" s="87"/>
      <c r="AN32" s="87"/>
      <c r="AO32" s="87"/>
    </row>
    <row r="33" spans="1:41" ht="23.1" customHeight="1">
      <c r="A33" s="805"/>
      <c r="B33" s="735"/>
      <c r="C33" s="743"/>
      <c r="D33" s="488" t="s">
        <v>29</v>
      </c>
      <c r="E33" s="488" t="s">
        <v>30</v>
      </c>
      <c r="F33" s="488" t="s">
        <v>31</v>
      </c>
      <c r="G33" s="488" t="s">
        <v>32</v>
      </c>
      <c r="H33" s="488" t="s">
        <v>33</v>
      </c>
      <c r="I33" s="488" t="s">
        <v>34</v>
      </c>
      <c r="J33" s="488" t="s">
        <v>35</v>
      </c>
      <c r="K33" s="488" t="s">
        <v>36</v>
      </c>
      <c r="L33" s="488" t="s">
        <v>37</v>
      </c>
      <c r="M33" s="488" t="s">
        <v>38</v>
      </c>
      <c r="N33" s="488" t="s">
        <v>39</v>
      </c>
      <c r="O33" s="488" t="s">
        <v>40</v>
      </c>
      <c r="P33" s="488" t="s">
        <v>41</v>
      </c>
      <c r="Q33" s="730" t="s">
        <v>58</v>
      </c>
      <c r="R33" s="744"/>
      <c r="S33" s="744"/>
      <c r="T33" s="744"/>
      <c r="U33" s="744"/>
      <c r="V33" s="731"/>
      <c r="W33" s="730" t="s">
        <v>59</v>
      </c>
      <c r="X33" s="744"/>
      <c r="Y33" s="744"/>
      <c r="Z33" s="731"/>
      <c r="AA33" s="730" t="s">
        <v>60</v>
      </c>
      <c r="AB33" s="744"/>
      <c r="AC33" s="744"/>
      <c r="AD33" s="749"/>
      <c r="AF33" s="160" t="s">
        <v>1064</v>
      </c>
      <c r="AG33" s="160" t="s">
        <v>310</v>
      </c>
      <c r="AH33" s="87" t="s">
        <v>311</v>
      </c>
      <c r="AI33" s="87"/>
      <c r="AJ33" s="87"/>
      <c r="AK33" s="87"/>
      <c r="AL33" s="87"/>
      <c r="AM33" s="87"/>
      <c r="AN33" s="87"/>
      <c r="AO33" s="87"/>
    </row>
    <row r="34" spans="1:41" ht="44.25" customHeight="1">
      <c r="A34" s="786" t="str">
        <f>C17</f>
        <v>Diseñar 13 contenidos para el desarrollo de capacidades socioemocionales, técnicas y digitales de las mujeres, en toda su diversidad.</v>
      </c>
      <c r="B34" s="752">
        <f>+B38</f>
        <v>0.1</v>
      </c>
      <c r="C34" s="90" t="s">
        <v>61</v>
      </c>
      <c r="D34" s="492">
        <v>0</v>
      </c>
      <c r="E34" s="492">
        <v>0</v>
      </c>
      <c r="F34" s="492">
        <v>0</v>
      </c>
      <c r="G34" s="492">
        <v>0</v>
      </c>
      <c r="H34" s="492">
        <v>0</v>
      </c>
      <c r="I34" s="492">
        <v>0</v>
      </c>
      <c r="J34" s="492">
        <v>0</v>
      </c>
      <c r="K34" s="492">
        <v>1</v>
      </c>
      <c r="L34" s="492">
        <v>0</v>
      </c>
      <c r="M34" s="492">
        <v>2</v>
      </c>
      <c r="N34" s="492">
        <v>0</v>
      </c>
      <c r="O34" s="492">
        <v>1</v>
      </c>
      <c r="P34" s="193">
        <f>SUM(D34:O34)</f>
        <v>4</v>
      </c>
      <c r="Q34" s="754" t="s">
        <v>1077</v>
      </c>
      <c r="R34" s="755"/>
      <c r="S34" s="755"/>
      <c r="T34" s="755"/>
      <c r="U34" s="755"/>
      <c r="V34" s="756"/>
      <c r="W34" s="792"/>
      <c r="X34" s="793"/>
      <c r="Y34" s="793"/>
      <c r="Z34" s="794"/>
      <c r="AA34" s="792"/>
      <c r="AB34" s="793"/>
      <c r="AC34" s="793"/>
      <c r="AD34" s="798"/>
      <c r="AF34" s="72" t="s">
        <v>1075</v>
      </c>
      <c r="AG34" s="72" t="s">
        <v>1114</v>
      </c>
      <c r="AH34" s="87"/>
      <c r="AI34" s="87"/>
      <c r="AJ34" s="87"/>
      <c r="AK34" s="87"/>
      <c r="AL34" s="87"/>
      <c r="AM34" s="87"/>
      <c r="AN34" s="87"/>
      <c r="AO34" s="87"/>
    </row>
    <row r="35" spans="1:41" ht="44.25" customHeight="1" thickBot="1">
      <c r="A35" s="787"/>
      <c r="B35" s="788"/>
      <c r="C35" s="91" t="s">
        <v>65</v>
      </c>
      <c r="D35" s="500">
        <v>0</v>
      </c>
      <c r="E35" s="500">
        <v>0</v>
      </c>
      <c r="F35" s="500"/>
      <c r="G35" s="501"/>
      <c r="H35" s="501"/>
      <c r="I35" s="501"/>
      <c r="J35" s="501"/>
      <c r="K35" s="501"/>
      <c r="L35" s="501"/>
      <c r="M35" s="501"/>
      <c r="N35" s="501"/>
      <c r="O35" s="501"/>
      <c r="P35" s="501">
        <f>SUM(D35:O35)</f>
        <v>0</v>
      </c>
      <c r="Q35" s="789"/>
      <c r="R35" s="790"/>
      <c r="S35" s="790"/>
      <c r="T35" s="790"/>
      <c r="U35" s="790"/>
      <c r="V35" s="791"/>
      <c r="W35" s="795"/>
      <c r="X35" s="796"/>
      <c r="Y35" s="796"/>
      <c r="Z35" s="797"/>
      <c r="AA35" s="795"/>
      <c r="AB35" s="796"/>
      <c r="AC35" s="796"/>
      <c r="AD35" s="799"/>
      <c r="AE35" s="49"/>
      <c r="AF35" s="498">
        <f>LEN(AF34)</f>
        <v>289</v>
      </c>
      <c r="AG35" s="498">
        <f>LEN(AG34)</f>
        <v>125</v>
      </c>
      <c r="AH35" s="498">
        <f>LEN(AH34)</f>
        <v>0</v>
      </c>
      <c r="AI35" s="87"/>
      <c r="AJ35" s="87"/>
      <c r="AK35" s="87"/>
      <c r="AL35" s="87"/>
      <c r="AM35" s="87"/>
      <c r="AN35" s="87"/>
      <c r="AO35" s="87"/>
    </row>
    <row r="36" spans="1:41" ht="26.1" customHeight="1">
      <c r="A36" s="718" t="s">
        <v>66</v>
      </c>
      <c r="B36" s="779" t="s">
        <v>67</v>
      </c>
      <c r="C36" s="781" t="s">
        <v>68</v>
      </c>
      <c r="D36" s="781"/>
      <c r="E36" s="781"/>
      <c r="F36" s="781"/>
      <c r="G36" s="781"/>
      <c r="H36" s="781"/>
      <c r="I36" s="781"/>
      <c r="J36" s="781"/>
      <c r="K36" s="781"/>
      <c r="L36" s="781"/>
      <c r="M36" s="781"/>
      <c r="N36" s="781"/>
      <c r="O36" s="781"/>
      <c r="P36" s="781"/>
      <c r="Q36" s="782" t="s">
        <v>69</v>
      </c>
      <c r="R36" s="783"/>
      <c r="S36" s="783"/>
      <c r="T36" s="783"/>
      <c r="U36" s="783"/>
      <c r="V36" s="783"/>
      <c r="W36" s="783"/>
      <c r="X36" s="783"/>
      <c r="Y36" s="783"/>
      <c r="Z36" s="783"/>
      <c r="AA36" s="783"/>
      <c r="AB36" s="783"/>
      <c r="AC36" s="783"/>
      <c r="AD36" s="784"/>
      <c r="AG36" s="87"/>
      <c r="AH36" s="87"/>
      <c r="AI36" s="87"/>
      <c r="AJ36" s="87"/>
      <c r="AK36" s="87"/>
      <c r="AL36" s="87"/>
      <c r="AM36" s="87"/>
      <c r="AN36" s="87"/>
      <c r="AO36" s="87"/>
    </row>
    <row r="37" spans="1:41" ht="26.1" customHeight="1">
      <c r="A37" s="705"/>
      <c r="B37" s="780"/>
      <c r="C37" s="488" t="s">
        <v>70</v>
      </c>
      <c r="D37" s="488" t="s">
        <v>71</v>
      </c>
      <c r="E37" s="488" t="s">
        <v>72</v>
      </c>
      <c r="F37" s="488" t="s">
        <v>73</v>
      </c>
      <c r="G37" s="488" t="s">
        <v>74</v>
      </c>
      <c r="H37" s="488" t="s">
        <v>75</v>
      </c>
      <c r="I37" s="488" t="s">
        <v>76</v>
      </c>
      <c r="J37" s="488" t="s">
        <v>77</v>
      </c>
      <c r="K37" s="488" t="s">
        <v>78</v>
      </c>
      <c r="L37" s="488" t="s">
        <v>79</v>
      </c>
      <c r="M37" s="488" t="s">
        <v>80</v>
      </c>
      <c r="N37" s="488" t="s">
        <v>81</v>
      </c>
      <c r="O37" s="488" t="s">
        <v>82</v>
      </c>
      <c r="P37" s="488" t="s">
        <v>83</v>
      </c>
      <c r="Q37" s="732" t="s">
        <v>84</v>
      </c>
      <c r="R37" s="733"/>
      <c r="S37" s="733"/>
      <c r="T37" s="733"/>
      <c r="U37" s="733"/>
      <c r="V37" s="733"/>
      <c r="W37" s="733"/>
      <c r="X37" s="733"/>
      <c r="Y37" s="733"/>
      <c r="Z37" s="733"/>
      <c r="AA37" s="733"/>
      <c r="AB37" s="733"/>
      <c r="AC37" s="733"/>
      <c r="AD37" s="785"/>
      <c r="AG37" s="94"/>
      <c r="AH37" s="94"/>
      <c r="AI37" s="94"/>
      <c r="AJ37" s="94"/>
      <c r="AK37" s="94"/>
      <c r="AL37" s="94"/>
      <c r="AM37" s="94"/>
      <c r="AN37" s="94"/>
      <c r="AO37" s="94"/>
    </row>
    <row r="38" spans="1:41" ht="51" customHeight="1">
      <c r="A38" s="770" t="s">
        <v>93</v>
      </c>
      <c r="B38" s="771">
        <v>0.1</v>
      </c>
      <c r="C38" s="90" t="s">
        <v>61</v>
      </c>
      <c r="D38" s="95">
        <v>0</v>
      </c>
      <c r="E38" s="95">
        <v>0</v>
      </c>
      <c r="F38" s="95">
        <v>0</v>
      </c>
      <c r="G38" s="95">
        <v>0</v>
      </c>
      <c r="H38" s="95">
        <v>0</v>
      </c>
      <c r="I38" s="95">
        <v>0</v>
      </c>
      <c r="J38" s="95">
        <v>0</v>
      </c>
      <c r="K38" s="95">
        <v>0.25</v>
      </c>
      <c r="L38" s="95">
        <v>0</v>
      </c>
      <c r="M38" s="95">
        <v>0.5</v>
      </c>
      <c r="N38" s="95">
        <v>0</v>
      </c>
      <c r="O38" s="95">
        <v>0.25</v>
      </c>
      <c r="P38" s="96">
        <f t="shared" ref="P38:P39" si="0">SUM(D38:O38)</f>
        <v>1</v>
      </c>
      <c r="Q38" s="773" t="s">
        <v>1076</v>
      </c>
      <c r="R38" s="774"/>
      <c r="S38" s="774"/>
      <c r="T38" s="774"/>
      <c r="U38" s="774"/>
      <c r="V38" s="774"/>
      <c r="W38" s="774"/>
      <c r="X38" s="774"/>
      <c r="Y38" s="774"/>
      <c r="Z38" s="774"/>
      <c r="AA38" s="774"/>
      <c r="AB38" s="774"/>
      <c r="AC38" s="774"/>
      <c r="AD38" s="775"/>
      <c r="AE38" s="97"/>
      <c r="AG38" s="98"/>
      <c r="AH38" s="98"/>
      <c r="AI38" s="98"/>
      <c r="AJ38" s="98"/>
      <c r="AK38" s="98"/>
      <c r="AL38" s="98"/>
      <c r="AM38" s="98"/>
      <c r="AN38" s="98"/>
      <c r="AO38" s="98"/>
    </row>
    <row r="39" spans="1:41" ht="51" customHeight="1" thickBot="1">
      <c r="A39" s="762"/>
      <c r="B39" s="772"/>
      <c r="C39" s="91" t="s">
        <v>65</v>
      </c>
      <c r="D39" s="105">
        <v>0</v>
      </c>
      <c r="E39" s="105">
        <v>0</v>
      </c>
      <c r="F39" s="105"/>
      <c r="G39" s="105"/>
      <c r="H39" s="105"/>
      <c r="I39" s="105"/>
      <c r="J39" s="105"/>
      <c r="K39" s="105"/>
      <c r="L39" s="105"/>
      <c r="M39" s="105"/>
      <c r="N39" s="105"/>
      <c r="O39" s="105"/>
      <c r="P39" s="107">
        <f t="shared" si="0"/>
        <v>0</v>
      </c>
      <c r="Q39" s="776"/>
      <c r="R39" s="777"/>
      <c r="S39" s="777"/>
      <c r="T39" s="777"/>
      <c r="U39" s="777"/>
      <c r="V39" s="777"/>
      <c r="W39" s="777"/>
      <c r="X39" s="777"/>
      <c r="Y39" s="777"/>
      <c r="Z39" s="777"/>
      <c r="AA39" s="777"/>
      <c r="AB39" s="777"/>
      <c r="AC39" s="777"/>
      <c r="AD39" s="778"/>
      <c r="AE39" s="97"/>
    </row>
    <row r="40" spans="1:41">
      <c r="A40" s="50" t="s">
        <v>91</v>
      </c>
    </row>
  </sheetData>
  <mergeCells count="71">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8:A39"/>
    <mergeCell ref="B38:B39"/>
    <mergeCell ref="Q38:AD39"/>
    <mergeCell ref="A36:A37"/>
    <mergeCell ref="B36:B37"/>
    <mergeCell ref="C36:P36"/>
    <mergeCell ref="Q36:AD36"/>
    <mergeCell ref="Q37:AD37"/>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Y68"/>
  <sheetViews>
    <sheetView showGridLines="0" view="pageBreakPreview" topLeftCell="Z53" zoomScale="70" zoomScaleNormal="75" zoomScaleSheetLayoutView="70" workbookViewId="0">
      <selection activeCell="AG54" sqref="AG54:AG57"/>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2.42578125" style="50" bestFit="1" customWidth="1"/>
    <col min="6" max="6" width="12.85546875" style="50" bestFit="1" customWidth="1"/>
    <col min="7" max="7" width="13.5703125" style="50" bestFit="1" customWidth="1"/>
    <col min="8" max="14" width="9.7109375" style="50" customWidth="1"/>
    <col min="15" max="15" width="15.28515625"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72" customWidth="1"/>
    <col min="33" max="33" width="18.42578125" style="72" bestFit="1" customWidth="1"/>
    <col min="34" max="34" width="8.42578125" style="72" customWidth="1"/>
    <col min="35" max="35" width="18.42578125" style="72" bestFit="1" customWidth="1"/>
    <col min="36" max="36" width="5.7109375" style="160" customWidth="1"/>
    <col min="37" max="37" width="18.42578125" style="160" bestFit="1" customWidth="1"/>
    <col min="38" max="38" width="4.7109375" style="160" customWidth="1"/>
    <col min="39" max="39" width="23" style="160" bestFit="1" customWidth="1"/>
    <col min="40" max="40" width="10.85546875" style="160"/>
    <col min="41" max="41" width="18.42578125" style="50" bestFit="1" customWidth="1"/>
    <col min="42" max="42" width="16.140625" style="50" customWidth="1"/>
    <col min="43" max="16384" width="10.85546875" style="50"/>
  </cols>
  <sheetData>
    <row r="1" spans="1:30" ht="32.25" customHeight="1">
      <c r="A1" s="637"/>
      <c r="B1" s="640" t="s">
        <v>0</v>
      </c>
      <c r="C1" s="641"/>
      <c r="D1" s="641"/>
      <c r="E1" s="641"/>
      <c r="F1" s="641"/>
      <c r="G1" s="641"/>
      <c r="H1" s="641"/>
      <c r="I1" s="641"/>
      <c r="J1" s="641"/>
      <c r="K1" s="641"/>
      <c r="L1" s="641"/>
      <c r="M1" s="641"/>
      <c r="N1" s="641"/>
      <c r="O1" s="641"/>
      <c r="P1" s="641"/>
      <c r="Q1" s="641"/>
      <c r="R1" s="641"/>
      <c r="S1" s="641"/>
      <c r="T1" s="641"/>
      <c r="U1" s="641"/>
      <c r="V1" s="641"/>
      <c r="W1" s="641"/>
      <c r="X1" s="641"/>
      <c r="Y1" s="641"/>
      <c r="Z1" s="641"/>
      <c r="AA1" s="642"/>
      <c r="AB1" s="821" t="s">
        <v>1</v>
      </c>
      <c r="AC1" s="822"/>
      <c r="AD1" s="823"/>
    </row>
    <row r="2" spans="1:30" ht="30.75" customHeight="1">
      <c r="A2" s="638"/>
      <c r="B2" s="646" t="s">
        <v>2</v>
      </c>
      <c r="C2" s="647"/>
      <c r="D2" s="647"/>
      <c r="E2" s="647"/>
      <c r="F2" s="647"/>
      <c r="G2" s="647"/>
      <c r="H2" s="647"/>
      <c r="I2" s="647"/>
      <c r="J2" s="647"/>
      <c r="K2" s="647"/>
      <c r="L2" s="647"/>
      <c r="M2" s="647"/>
      <c r="N2" s="647"/>
      <c r="O2" s="647"/>
      <c r="P2" s="647"/>
      <c r="Q2" s="647"/>
      <c r="R2" s="647"/>
      <c r="S2" s="647"/>
      <c r="T2" s="647"/>
      <c r="U2" s="647"/>
      <c r="V2" s="647"/>
      <c r="W2" s="647"/>
      <c r="X2" s="647"/>
      <c r="Y2" s="647"/>
      <c r="Z2" s="647"/>
      <c r="AA2" s="648"/>
      <c r="AB2" s="824" t="s">
        <v>3</v>
      </c>
      <c r="AC2" s="825"/>
      <c r="AD2" s="826"/>
    </row>
    <row r="3" spans="1:30" ht="24" customHeight="1">
      <c r="A3" s="638"/>
      <c r="B3" s="652" t="s">
        <v>4</v>
      </c>
      <c r="C3" s="653"/>
      <c r="D3" s="653"/>
      <c r="E3" s="653"/>
      <c r="F3" s="653"/>
      <c r="G3" s="653"/>
      <c r="H3" s="653"/>
      <c r="I3" s="653"/>
      <c r="J3" s="653"/>
      <c r="K3" s="653"/>
      <c r="L3" s="653"/>
      <c r="M3" s="653"/>
      <c r="N3" s="653"/>
      <c r="O3" s="653"/>
      <c r="P3" s="653"/>
      <c r="Q3" s="653"/>
      <c r="R3" s="653"/>
      <c r="S3" s="653"/>
      <c r="T3" s="653"/>
      <c r="U3" s="653"/>
      <c r="V3" s="653"/>
      <c r="W3" s="653"/>
      <c r="X3" s="653"/>
      <c r="Y3" s="653"/>
      <c r="Z3" s="653"/>
      <c r="AA3" s="654"/>
      <c r="AB3" s="824" t="s">
        <v>5</v>
      </c>
      <c r="AC3" s="825"/>
      <c r="AD3" s="826"/>
    </row>
    <row r="4" spans="1:30" ht="21.95" customHeight="1" thickBot="1">
      <c r="A4" s="639"/>
      <c r="B4" s="655"/>
      <c r="C4" s="656"/>
      <c r="D4" s="656"/>
      <c r="E4" s="656"/>
      <c r="F4" s="656"/>
      <c r="G4" s="656"/>
      <c r="H4" s="656"/>
      <c r="I4" s="656"/>
      <c r="J4" s="656"/>
      <c r="K4" s="656"/>
      <c r="L4" s="656"/>
      <c r="M4" s="656"/>
      <c r="N4" s="656"/>
      <c r="O4" s="656"/>
      <c r="P4" s="656"/>
      <c r="Q4" s="656"/>
      <c r="R4" s="656"/>
      <c r="S4" s="656"/>
      <c r="T4" s="656"/>
      <c r="U4" s="656"/>
      <c r="V4" s="656"/>
      <c r="W4" s="656"/>
      <c r="X4" s="656"/>
      <c r="Y4" s="656"/>
      <c r="Z4" s="656"/>
      <c r="AA4" s="657"/>
      <c r="AB4" s="818" t="s">
        <v>6</v>
      </c>
      <c r="AC4" s="819"/>
      <c r="AD4" s="820"/>
    </row>
    <row r="5" spans="1:30" ht="9" customHeight="1" thickBot="1">
      <c r="A5" s="51"/>
      <c r="B5" s="52"/>
      <c r="C5" s="53"/>
      <c r="D5" s="437"/>
      <c r="E5" s="437"/>
      <c r="F5" s="437"/>
      <c r="G5" s="437"/>
      <c r="H5" s="437"/>
      <c r="I5" s="437"/>
      <c r="J5" s="437"/>
      <c r="K5" s="437"/>
      <c r="L5" s="437"/>
      <c r="M5" s="437"/>
      <c r="N5" s="437"/>
      <c r="O5" s="437"/>
      <c r="P5" s="437"/>
      <c r="Q5" s="437"/>
      <c r="R5" s="437"/>
      <c r="S5" s="437"/>
      <c r="T5" s="437"/>
      <c r="U5" s="437"/>
      <c r="V5" s="437"/>
      <c r="W5" s="437"/>
      <c r="X5" s="437"/>
      <c r="Y5" s="437"/>
      <c r="Z5" s="438"/>
      <c r="AA5" s="437"/>
      <c r="AB5" s="56"/>
      <c r="AC5" s="57"/>
      <c r="AD5" s="58"/>
    </row>
    <row r="6" spans="1:30" ht="9" customHeight="1" thickBot="1">
      <c r="A6" s="59"/>
      <c r="B6" s="437"/>
      <c r="C6" s="437"/>
      <c r="D6" s="437"/>
      <c r="E6" s="437"/>
      <c r="F6" s="437"/>
      <c r="G6" s="437"/>
      <c r="H6" s="437"/>
      <c r="I6" s="437"/>
      <c r="J6" s="437"/>
      <c r="K6" s="437"/>
      <c r="L6" s="437"/>
      <c r="M6" s="437"/>
      <c r="N6" s="437"/>
      <c r="O6" s="437"/>
      <c r="P6" s="437"/>
      <c r="Q6" s="437"/>
      <c r="R6" s="437"/>
      <c r="S6" s="437"/>
      <c r="T6" s="437"/>
      <c r="U6" s="437"/>
      <c r="V6" s="437"/>
      <c r="W6" s="437"/>
      <c r="X6" s="437"/>
      <c r="Y6" s="437"/>
      <c r="Z6" s="438"/>
      <c r="AA6" s="437"/>
      <c r="AB6" s="437"/>
      <c r="AC6" s="439"/>
      <c r="AD6" s="61"/>
    </row>
    <row r="7" spans="1:30">
      <c r="A7" s="661" t="s">
        <v>7</v>
      </c>
      <c r="B7" s="662"/>
      <c r="C7" s="815" t="s">
        <v>30</v>
      </c>
      <c r="D7" s="855" t="s">
        <v>8</v>
      </c>
      <c r="E7" s="856"/>
      <c r="F7" s="856"/>
      <c r="G7" s="856"/>
      <c r="H7" s="857"/>
      <c r="I7" s="676">
        <v>44624</v>
      </c>
      <c r="J7" s="677"/>
      <c r="K7" s="661" t="s">
        <v>9</v>
      </c>
      <c r="L7" s="662"/>
      <c r="M7" s="682" t="s">
        <v>10</v>
      </c>
      <c r="N7" s="683"/>
      <c r="O7" s="687"/>
      <c r="P7" s="688"/>
      <c r="Q7" s="437"/>
      <c r="R7" s="437"/>
      <c r="S7" s="437"/>
      <c r="T7" s="437"/>
      <c r="U7" s="437"/>
      <c r="V7" s="437"/>
      <c r="W7" s="437"/>
      <c r="X7" s="437"/>
      <c r="Y7" s="437"/>
      <c r="Z7" s="438"/>
      <c r="AA7" s="437"/>
      <c r="AB7" s="437"/>
      <c r="AC7" s="439"/>
      <c r="AD7" s="61"/>
    </row>
    <row r="8" spans="1:30">
      <c r="A8" s="663"/>
      <c r="B8" s="664"/>
      <c r="C8" s="816"/>
      <c r="D8" s="858"/>
      <c r="E8" s="859"/>
      <c r="F8" s="859"/>
      <c r="G8" s="859"/>
      <c r="H8" s="860"/>
      <c r="I8" s="678"/>
      <c r="J8" s="679"/>
      <c r="K8" s="663"/>
      <c r="L8" s="664"/>
      <c r="M8" s="689" t="s">
        <v>12</v>
      </c>
      <c r="N8" s="690"/>
      <c r="O8" s="691"/>
      <c r="P8" s="692"/>
      <c r="Q8" s="437"/>
      <c r="R8" s="437"/>
      <c r="S8" s="437"/>
      <c r="T8" s="437"/>
      <c r="U8" s="437"/>
      <c r="V8" s="437"/>
      <c r="W8" s="437"/>
      <c r="X8" s="437"/>
      <c r="Y8" s="437"/>
      <c r="Z8" s="438"/>
      <c r="AA8" s="437"/>
      <c r="AB8" s="437"/>
      <c r="AC8" s="439"/>
      <c r="AD8" s="61"/>
    </row>
    <row r="9" spans="1:30" ht="15.75" thickBot="1">
      <c r="A9" s="665"/>
      <c r="B9" s="666"/>
      <c r="C9" s="817"/>
      <c r="D9" s="861"/>
      <c r="E9" s="862"/>
      <c r="F9" s="862"/>
      <c r="G9" s="862"/>
      <c r="H9" s="863"/>
      <c r="I9" s="680"/>
      <c r="J9" s="681"/>
      <c r="K9" s="665"/>
      <c r="L9" s="666"/>
      <c r="M9" s="693" t="s">
        <v>13</v>
      </c>
      <c r="N9" s="694"/>
      <c r="O9" s="695" t="s">
        <v>11</v>
      </c>
      <c r="P9" s="696"/>
      <c r="Q9" s="437"/>
      <c r="R9" s="437"/>
      <c r="S9" s="437"/>
      <c r="T9" s="437"/>
      <c r="U9" s="437"/>
      <c r="V9" s="437"/>
      <c r="W9" s="437"/>
      <c r="X9" s="437"/>
      <c r="Y9" s="437"/>
      <c r="Z9" s="438"/>
      <c r="AA9" s="437"/>
      <c r="AB9" s="437"/>
      <c r="AC9" s="439"/>
      <c r="AD9" s="61"/>
    </row>
    <row r="10" spans="1:30" ht="15" customHeight="1" thickBot="1">
      <c r="A10" s="161"/>
      <c r="B10" s="440"/>
      <c r="C10" s="440"/>
      <c r="D10" s="566"/>
      <c r="E10" s="566"/>
      <c r="F10" s="566"/>
      <c r="G10" s="566"/>
      <c r="H10" s="566"/>
      <c r="I10" s="442"/>
      <c r="J10" s="442"/>
      <c r="K10" s="566"/>
      <c r="L10" s="566"/>
      <c r="M10" s="443"/>
      <c r="N10" s="443"/>
      <c r="O10" s="444"/>
      <c r="P10" s="444"/>
      <c r="Q10" s="440"/>
      <c r="R10" s="440"/>
      <c r="S10" s="440"/>
      <c r="T10" s="440"/>
      <c r="U10" s="440"/>
      <c r="V10" s="440"/>
      <c r="W10" s="440"/>
      <c r="X10" s="440"/>
      <c r="Y10" s="440"/>
      <c r="Z10" s="445"/>
      <c r="AA10" s="440"/>
      <c r="AB10" s="440"/>
      <c r="AC10" s="446"/>
      <c r="AD10" s="162"/>
    </row>
    <row r="11" spans="1:30" ht="15" customHeight="1">
      <c r="A11" s="661" t="s">
        <v>14</v>
      </c>
      <c r="B11" s="662"/>
      <c r="C11" s="667" t="s">
        <v>15</v>
      </c>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9"/>
    </row>
    <row r="12" spans="1:30" ht="15" customHeight="1">
      <c r="A12" s="663"/>
      <c r="B12" s="664"/>
      <c r="C12" s="652"/>
      <c r="D12" s="653"/>
      <c r="E12" s="653"/>
      <c r="F12" s="653"/>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4"/>
    </row>
    <row r="13" spans="1:30" ht="15" customHeight="1" thickBot="1">
      <c r="A13" s="665"/>
      <c r="B13" s="666"/>
      <c r="C13" s="655"/>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7"/>
    </row>
    <row r="14" spans="1:30" ht="9" customHeight="1" thickBot="1">
      <c r="A14" s="67"/>
      <c r="B14" s="68"/>
      <c r="C14" s="447"/>
      <c r="D14" s="447"/>
      <c r="E14" s="447"/>
      <c r="F14" s="447"/>
      <c r="G14" s="447"/>
      <c r="H14" s="447"/>
      <c r="I14" s="447"/>
      <c r="J14" s="447"/>
      <c r="K14" s="447"/>
      <c r="L14" s="447"/>
      <c r="M14" s="448"/>
      <c r="N14" s="448"/>
      <c r="O14" s="448"/>
      <c r="P14" s="448"/>
      <c r="Q14" s="448"/>
      <c r="R14" s="449"/>
      <c r="S14" s="449"/>
      <c r="T14" s="449"/>
      <c r="U14" s="449"/>
      <c r="V14" s="449"/>
      <c r="W14" s="449"/>
      <c r="X14" s="449"/>
      <c r="Y14" s="566"/>
      <c r="Z14" s="566"/>
      <c r="AA14" s="566"/>
      <c r="AB14" s="566"/>
      <c r="AC14" s="566"/>
      <c r="AD14" s="567"/>
    </row>
    <row r="15" spans="1:30" ht="39" customHeight="1" thickBot="1">
      <c r="A15" s="697" t="s">
        <v>16</v>
      </c>
      <c r="B15" s="698"/>
      <c r="C15" s="684" t="s">
        <v>17</v>
      </c>
      <c r="D15" s="685"/>
      <c r="E15" s="685"/>
      <c r="F15" s="685"/>
      <c r="G15" s="685"/>
      <c r="H15" s="685"/>
      <c r="I15" s="685"/>
      <c r="J15" s="685"/>
      <c r="K15" s="686"/>
      <c r="L15" s="699" t="s">
        <v>18</v>
      </c>
      <c r="M15" s="700"/>
      <c r="N15" s="700"/>
      <c r="O15" s="700"/>
      <c r="P15" s="700"/>
      <c r="Q15" s="701"/>
      <c r="R15" s="702" t="s">
        <v>19</v>
      </c>
      <c r="S15" s="703"/>
      <c r="T15" s="703"/>
      <c r="U15" s="703"/>
      <c r="V15" s="703"/>
      <c r="W15" s="703"/>
      <c r="X15" s="704"/>
      <c r="Y15" s="699" t="s">
        <v>20</v>
      </c>
      <c r="Z15" s="701"/>
      <c r="AA15" s="684" t="s">
        <v>21</v>
      </c>
      <c r="AB15" s="685"/>
      <c r="AC15" s="685"/>
      <c r="AD15" s="686"/>
    </row>
    <row r="16" spans="1:30" ht="9" customHeight="1" thickBot="1">
      <c r="A16" s="59"/>
      <c r="B16" s="437"/>
      <c r="C16" s="707"/>
      <c r="D16" s="707"/>
      <c r="E16" s="707"/>
      <c r="F16" s="707"/>
      <c r="G16" s="707"/>
      <c r="H16" s="707"/>
      <c r="I16" s="707"/>
      <c r="J16" s="707"/>
      <c r="K16" s="707"/>
      <c r="L16" s="707"/>
      <c r="M16" s="707"/>
      <c r="N16" s="707"/>
      <c r="O16" s="707"/>
      <c r="P16" s="707"/>
      <c r="Q16" s="707"/>
      <c r="R16" s="707"/>
      <c r="S16" s="707"/>
      <c r="T16" s="707"/>
      <c r="U16" s="707"/>
      <c r="V16" s="707"/>
      <c r="W16" s="707"/>
      <c r="X16" s="707"/>
      <c r="Y16" s="707"/>
      <c r="Z16" s="707"/>
      <c r="AA16" s="707"/>
      <c r="AB16" s="707"/>
      <c r="AC16" s="73"/>
      <c r="AD16" s="74"/>
    </row>
    <row r="17" spans="1:41" s="76" customFormat="1" ht="37.5" customHeight="1" thickBot="1">
      <c r="A17" s="697" t="s">
        <v>22</v>
      </c>
      <c r="B17" s="698"/>
      <c r="C17" s="708" t="s">
        <v>95</v>
      </c>
      <c r="D17" s="709"/>
      <c r="E17" s="709"/>
      <c r="F17" s="709"/>
      <c r="G17" s="709"/>
      <c r="H17" s="709"/>
      <c r="I17" s="709"/>
      <c r="J17" s="709"/>
      <c r="K17" s="709"/>
      <c r="L17" s="709"/>
      <c r="M17" s="709"/>
      <c r="N17" s="709"/>
      <c r="O17" s="709"/>
      <c r="P17" s="709"/>
      <c r="Q17" s="710"/>
      <c r="R17" s="699" t="s">
        <v>24</v>
      </c>
      <c r="S17" s="700"/>
      <c r="T17" s="700"/>
      <c r="U17" s="700"/>
      <c r="V17" s="701"/>
      <c r="W17" s="864">
        <v>0.2</v>
      </c>
      <c r="X17" s="865"/>
      <c r="Y17" s="700" t="s">
        <v>25</v>
      </c>
      <c r="Z17" s="700"/>
      <c r="AA17" s="700"/>
      <c r="AB17" s="701"/>
      <c r="AC17" s="713">
        <v>0.25</v>
      </c>
      <c r="AD17" s="714"/>
      <c r="AF17" s="503"/>
      <c r="AG17" s="503"/>
      <c r="AH17" s="503"/>
      <c r="AI17" s="503"/>
      <c r="AJ17" s="503"/>
      <c r="AK17" s="503"/>
      <c r="AL17" s="503"/>
      <c r="AM17" s="503"/>
      <c r="AN17" s="503"/>
    </row>
    <row r="18" spans="1:41" ht="16.5" hidden="1" customHeight="1" thickBot="1">
      <c r="A18" s="77"/>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79"/>
    </row>
    <row r="19" spans="1:41" ht="32.1" hidden="1" customHeight="1" thickBot="1">
      <c r="A19" s="699" t="s">
        <v>26</v>
      </c>
      <c r="B19" s="700"/>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1"/>
      <c r="AE19" s="83"/>
      <c r="AF19" s="1093"/>
    </row>
    <row r="20" spans="1:41" ht="32.1" customHeight="1" thickBot="1">
      <c r="A20" s="82"/>
      <c r="B20" s="439"/>
      <c r="C20" s="715" t="s">
        <v>27</v>
      </c>
      <c r="D20" s="716"/>
      <c r="E20" s="716"/>
      <c r="F20" s="716"/>
      <c r="G20" s="716"/>
      <c r="H20" s="716"/>
      <c r="I20" s="716"/>
      <c r="J20" s="716"/>
      <c r="K20" s="716"/>
      <c r="L20" s="716"/>
      <c r="M20" s="716"/>
      <c r="N20" s="716"/>
      <c r="O20" s="716"/>
      <c r="P20" s="717"/>
      <c r="Q20" s="807" t="s">
        <v>28</v>
      </c>
      <c r="R20" s="808"/>
      <c r="S20" s="808"/>
      <c r="T20" s="808"/>
      <c r="U20" s="808"/>
      <c r="V20" s="808"/>
      <c r="W20" s="808"/>
      <c r="X20" s="808"/>
      <c r="Y20" s="808"/>
      <c r="Z20" s="808"/>
      <c r="AA20" s="808"/>
      <c r="AB20" s="808"/>
      <c r="AC20" s="808"/>
      <c r="AD20" s="809"/>
      <c r="AE20" s="83"/>
      <c r="AF20" s="1093"/>
    </row>
    <row r="21" spans="1:41" ht="32.1" customHeight="1" thickBot="1">
      <c r="A21" s="389"/>
      <c r="B21" s="56"/>
      <c r="C21" s="569" t="s">
        <v>29</v>
      </c>
      <c r="D21" s="570" t="s">
        <v>30</v>
      </c>
      <c r="E21" s="570" t="s">
        <v>31</v>
      </c>
      <c r="F21" s="570" t="s">
        <v>32</v>
      </c>
      <c r="G21" s="570" t="s">
        <v>33</v>
      </c>
      <c r="H21" s="570" t="s">
        <v>34</v>
      </c>
      <c r="I21" s="570" t="s">
        <v>35</v>
      </c>
      <c r="J21" s="570" t="s">
        <v>36</v>
      </c>
      <c r="K21" s="570" t="s">
        <v>37</v>
      </c>
      <c r="L21" s="570" t="s">
        <v>38</v>
      </c>
      <c r="M21" s="570" t="s">
        <v>39</v>
      </c>
      <c r="N21" s="570" t="s">
        <v>40</v>
      </c>
      <c r="O21" s="570" t="s">
        <v>41</v>
      </c>
      <c r="P21" s="571" t="s">
        <v>42</v>
      </c>
      <c r="Q21" s="569" t="s">
        <v>29</v>
      </c>
      <c r="R21" s="570" t="s">
        <v>30</v>
      </c>
      <c r="S21" s="570" t="s">
        <v>31</v>
      </c>
      <c r="T21" s="570" t="s">
        <v>32</v>
      </c>
      <c r="U21" s="570" t="s">
        <v>33</v>
      </c>
      <c r="V21" s="570" t="s">
        <v>34</v>
      </c>
      <c r="W21" s="570" t="s">
        <v>35</v>
      </c>
      <c r="X21" s="570" t="s">
        <v>36</v>
      </c>
      <c r="Y21" s="570" t="s">
        <v>37</v>
      </c>
      <c r="Z21" s="570" t="s">
        <v>38</v>
      </c>
      <c r="AA21" s="570" t="s">
        <v>39</v>
      </c>
      <c r="AB21" s="570" t="s">
        <v>40</v>
      </c>
      <c r="AC21" s="570" t="s">
        <v>41</v>
      </c>
      <c r="AD21" s="571" t="s">
        <v>42</v>
      </c>
      <c r="AE21" s="3"/>
      <c r="AF21" s="1094"/>
    </row>
    <row r="22" spans="1:41" ht="32.1" customHeight="1">
      <c r="A22" s="718" t="s">
        <v>43</v>
      </c>
      <c r="B22" s="782"/>
      <c r="C22" s="167">
        <v>0</v>
      </c>
      <c r="D22" s="166">
        <v>0</v>
      </c>
      <c r="E22" s="166">
        <v>0</v>
      </c>
      <c r="F22" s="166">
        <v>0</v>
      </c>
      <c r="G22" s="166">
        <v>0</v>
      </c>
      <c r="H22" s="166">
        <v>0</v>
      </c>
      <c r="I22" s="166">
        <v>0</v>
      </c>
      <c r="J22" s="166">
        <v>0</v>
      </c>
      <c r="K22" s="166">
        <v>0</v>
      </c>
      <c r="L22" s="166">
        <v>0</v>
      </c>
      <c r="M22" s="166">
        <v>0</v>
      </c>
      <c r="N22" s="166">
        <v>0</v>
      </c>
      <c r="O22" s="166">
        <f>SUM(C22:N22)</f>
        <v>0</v>
      </c>
      <c r="P22" s="390"/>
      <c r="Q22" s="376">
        <v>1452847000</v>
      </c>
      <c r="R22" s="166">
        <v>0</v>
      </c>
      <c r="S22" s="377">
        <v>0</v>
      </c>
      <c r="T22" s="377">
        <f>(5500000*9%)+(150000000*67%)</f>
        <v>100995000</v>
      </c>
      <c r="U22" s="377">
        <f>(471340694*5%)+8000000</f>
        <v>31567034.700000003</v>
      </c>
      <c r="V22" s="377">
        <f>(58000000*14%)+(5117000*29%)+(71651306*19%)</f>
        <v>23217678.140000001</v>
      </c>
      <c r="W22" s="377">
        <v>0</v>
      </c>
      <c r="X22" s="166">
        <v>0</v>
      </c>
      <c r="Y22" s="377">
        <v>0</v>
      </c>
      <c r="Z22" s="166">
        <v>0</v>
      </c>
      <c r="AA22" s="166">
        <v>0</v>
      </c>
      <c r="AB22" s="166">
        <v>0</v>
      </c>
      <c r="AC22" s="377">
        <f>SUM(Q22:AB22)</f>
        <v>1608626712.8400002</v>
      </c>
      <c r="AD22" s="170"/>
      <c r="AE22" s="3"/>
      <c r="AF22" s="1094"/>
      <c r="AG22" s="1095"/>
    </row>
    <row r="23" spans="1:41" ht="32.1" customHeight="1">
      <c r="A23" s="705" t="s">
        <v>44</v>
      </c>
      <c r="B23" s="732"/>
      <c r="C23" s="164">
        <v>0</v>
      </c>
      <c r="D23" s="163">
        <v>0</v>
      </c>
      <c r="E23" s="163">
        <v>0</v>
      </c>
      <c r="F23" s="163">
        <v>0</v>
      </c>
      <c r="G23" s="163">
        <v>0</v>
      </c>
      <c r="H23" s="163">
        <v>0</v>
      </c>
      <c r="I23" s="163">
        <v>0</v>
      </c>
      <c r="J23" s="163">
        <v>0</v>
      </c>
      <c r="K23" s="163">
        <v>0</v>
      </c>
      <c r="L23" s="163">
        <v>0</v>
      </c>
      <c r="M23" s="163">
        <v>0</v>
      </c>
      <c r="N23" s="163">
        <v>0</v>
      </c>
      <c r="O23" s="166">
        <f>SUM(C23:N23)</f>
        <v>0</v>
      </c>
      <c r="P23" s="168" t="str">
        <f>IFERROR(O23/(SUMIF(C23:N23,"&gt;0",C22:N22))," ")</f>
        <v xml:space="preserve"> </v>
      </c>
      <c r="Q23" s="376">
        <v>1451347000</v>
      </c>
      <c r="R23" s="166">
        <v>0</v>
      </c>
      <c r="S23" s="166">
        <v>0</v>
      </c>
      <c r="T23" s="166">
        <v>0</v>
      </c>
      <c r="U23" s="166">
        <v>0</v>
      </c>
      <c r="V23" s="166">
        <v>0</v>
      </c>
      <c r="W23" s="166">
        <v>0</v>
      </c>
      <c r="X23" s="166">
        <v>0</v>
      </c>
      <c r="Y23" s="166">
        <v>0</v>
      </c>
      <c r="Z23" s="166">
        <v>0</v>
      </c>
      <c r="AA23" s="166">
        <v>0</v>
      </c>
      <c r="AB23" s="166">
        <v>0</v>
      </c>
      <c r="AC23" s="378">
        <f>SUM(Q23:AB23)</f>
        <v>1451347000</v>
      </c>
      <c r="AD23" s="168">
        <f>IFERROR(AC23/(SUMIF(Q23:AB23,"&gt;0",Q22:AB22))," ")</f>
        <v>0.99896754441451852</v>
      </c>
      <c r="AE23" s="3"/>
      <c r="AF23" s="1094"/>
    </row>
    <row r="24" spans="1:41" ht="32.1" customHeight="1">
      <c r="A24" s="705" t="s">
        <v>45</v>
      </c>
      <c r="B24" s="732"/>
      <c r="C24" s="164">
        <v>0</v>
      </c>
      <c r="D24" s="220">
        <f>4533333</f>
        <v>4533333</v>
      </c>
      <c r="E24" s="220">
        <v>3795913.4249999998</v>
      </c>
      <c r="F24" s="220">
        <v>6507926.4249999998</v>
      </c>
      <c r="G24" s="163">
        <v>7591826.8499999996</v>
      </c>
      <c r="H24" s="163">
        <v>0</v>
      </c>
      <c r="I24" s="163">
        <v>0</v>
      </c>
      <c r="J24" s="163">
        <v>0</v>
      </c>
      <c r="K24" s="163">
        <v>0</v>
      </c>
      <c r="L24" s="163">
        <v>0</v>
      </c>
      <c r="M24" s="163">
        <v>0</v>
      </c>
      <c r="N24" s="163">
        <v>0</v>
      </c>
      <c r="O24" s="574">
        <f>SUM(C24:N24)</f>
        <v>22428999.699999999</v>
      </c>
      <c r="P24" s="391"/>
      <c r="Q24" s="376">
        <v>0</v>
      </c>
      <c r="R24" s="377">
        <v>47124065.236666664</v>
      </c>
      <c r="S24" s="377">
        <v>135175398.56999999</v>
      </c>
      <c r="T24" s="377">
        <v>135175398.56999999</v>
      </c>
      <c r="U24" s="378">
        <v>135175398.56999999</v>
      </c>
      <c r="V24" s="378">
        <v>135237273.56999999</v>
      </c>
      <c r="W24" s="378">
        <v>170752273.56999999</v>
      </c>
      <c r="X24" s="378">
        <v>137252273.56999999</v>
      </c>
      <c r="Y24" s="378">
        <v>170752273.56999999</v>
      </c>
      <c r="Z24" s="378">
        <v>137252273.56999999</v>
      </c>
      <c r="AA24" s="378">
        <v>170752273.56999999</v>
      </c>
      <c r="AB24" s="378">
        <f>137252273.57+96725536.9033333</f>
        <v>233977810.4733333</v>
      </c>
      <c r="AC24" s="378">
        <f>SUM(Q24:AB24)</f>
        <v>1608626712.8399997</v>
      </c>
      <c r="AD24" s="168"/>
      <c r="AE24" s="3"/>
      <c r="AF24" s="1094"/>
    </row>
    <row r="25" spans="1:41" ht="32.1" customHeight="1" thickBot="1">
      <c r="A25" s="720" t="s">
        <v>46</v>
      </c>
      <c r="B25" s="806"/>
      <c r="C25" s="538">
        <v>1721301.54</v>
      </c>
      <c r="D25" s="531">
        <v>600398.46</v>
      </c>
      <c r="E25" s="165">
        <v>0</v>
      </c>
      <c r="F25" s="165">
        <v>0</v>
      </c>
      <c r="G25" s="165">
        <v>0</v>
      </c>
      <c r="H25" s="165">
        <v>0</v>
      </c>
      <c r="I25" s="165">
        <v>0</v>
      </c>
      <c r="J25" s="165">
        <v>0</v>
      </c>
      <c r="K25" s="165">
        <v>0</v>
      </c>
      <c r="L25" s="165">
        <v>0</v>
      </c>
      <c r="M25" s="165">
        <v>0</v>
      </c>
      <c r="N25" s="165">
        <v>0</v>
      </c>
      <c r="O25" s="499">
        <f>SUM(C25:N25)</f>
        <v>2321700</v>
      </c>
      <c r="P25" s="169">
        <f>IFERROR(O25/(SUMIF(C25:N25,"&gt;0",C24:N24))," ")</f>
        <v>0.51213974353968705</v>
      </c>
      <c r="Q25" s="529">
        <v>0</v>
      </c>
      <c r="R25" s="499" t="s">
        <v>1108</v>
      </c>
      <c r="S25" s="388">
        <v>0</v>
      </c>
      <c r="T25" s="388">
        <v>0</v>
      </c>
      <c r="U25" s="388">
        <v>0</v>
      </c>
      <c r="V25" s="388">
        <v>0</v>
      </c>
      <c r="W25" s="388">
        <v>0</v>
      </c>
      <c r="X25" s="388">
        <v>0</v>
      </c>
      <c r="Y25" s="388"/>
      <c r="Z25" s="388">
        <v>0</v>
      </c>
      <c r="AA25" s="388">
        <v>0</v>
      </c>
      <c r="AB25" s="388">
        <v>0</v>
      </c>
      <c r="AC25" s="379">
        <f>SUM(Q25:AB25)</f>
        <v>0</v>
      </c>
      <c r="AD25" s="169" t="str">
        <f>IFERROR(AC25/(SUMIF(Q25:AB25,"&gt;0",Q24:AB24))," ")</f>
        <v xml:space="preserve"> </v>
      </c>
      <c r="AE25" s="3"/>
      <c r="AF25" s="1094"/>
    </row>
    <row r="26" spans="1:41" ht="32.1" customHeight="1" thickBot="1">
      <c r="A26" s="59"/>
      <c r="B26" s="437"/>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39"/>
      <c r="AD26" s="162"/>
    </row>
    <row r="27" spans="1:41" ht="33.950000000000003" customHeight="1">
      <c r="A27" s="722" t="s">
        <v>47</v>
      </c>
      <c r="B27" s="723"/>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5"/>
    </row>
    <row r="28" spans="1:41" ht="15" customHeight="1">
      <c r="A28" s="726" t="s">
        <v>48</v>
      </c>
      <c r="B28" s="728" t="s">
        <v>49</v>
      </c>
      <c r="C28" s="729"/>
      <c r="D28" s="732" t="s">
        <v>50</v>
      </c>
      <c r="E28" s="733"/>
      <c r="F28" s="733"/>
      <c r="G28" s="733"/>
      <c r="H28" s="733"/>
      <c r="I28" s="733"/>
      <c r="J28" s="733"/>
      <c r="K28" s="733"/>
      <c r="L28" s="733"/>
      <c r="M28" s="733"/>
      <c r="N28" s="733"/>
      <c r="O28" s="734"/>
      <c r="P28" s="735" t="s">
        <v>41</v>
      </c>
      <c r="Q28" s="735" t="s">
        <v>51</v>
      </c>
      <c r="R28" s="735"/>
      <c r="S28" s="735"/>
      <c r="T28" s="735"/>
      <c r="U28" s="735"/>
      <c r="V28" s="735"/>
      <c r="W28" s="735"/>
      <c r="X28" s="735"/>
      <c r="Y28" s="735"/>
      <c r="Z28" s="735"/>
      <c r="AA28" s="735"/>
      <c r="AB28" s="735"/>
      <c r="AC28" s="735"/>
      <c r="AD28" s="706"/>
    </row>
    <row r="29" spans="1:41" ht="27" customHeight="1">
      <c r="A29" s="727"/>
      <c r="B29" s="730"/>
      <c r="C29" s="731"/>
      <c r="D29" s="565" t="s">
        <v>29</v>
      </c>
      <c r="E29" s="565" t="s">
        <v>30</v>
      </c>
      <c r="F29" s="565" t="s">
        <v>31</v>
      </c>
      <c r="G29" s="565" t="s">
        <v>32</v>
      </c>
      <c r="H29" s="565" t="s">
        <v>33</v>
      </c>
      <c r="I29" s="565" t="s">
        <v>34</v>
      </c>
      <c r="J29" s="565" t="s">
        <v>35</v>
      </c>
      <c r="K29" s="565" t="s">
        <v>36</v>
      </c>
      <c r="L29" s="565" t="s">
        <v>37</v>
      </c>
      <c r="M29" s="565" t="s">
        <v>38</v>
      </c>
      <c r="N29" s="565" t="s">
        <v>39</v>
      </c>
      <c r="O29" s="565" t="s">
        <v>40</v>
      </c>
      <c r="P29" s="734"/>
      <c r="Q29" s="735"/>
      <c r="R29" s="735"/>
      <c r="S29" s="735"/>
      <c r="T29" s="735"/>
      <c r="U29" s="735"/>
      <c r="V29" s="735"/>
      <c r="W29" s="735"/>
      <c r="X29" s="735"/>
      <c r="Y29" s="735"/>
      <c r="Z29" s="735"/>
      <c r="AA29" s="735"/>
      <c r="AB29" s="735"/>
      <c r="AC29" s="735"/>
      <c r="AD29" s="706"/>
    </row>
    <row r="30" spans="1:41" ht="79.5" customHeight="1" thickBot="1">
      <c r="A30" s="568" t="str">
        <f>C17</f>
        <v>Diseñar e implementar una (1) estrategía para el desarrollo de capacidades socioemocionales y técnicas de las mujeres en toda su diversidad para su emprendimiento y empleabilidad.</v>
      </c>
      <c r="B30" s="800"/>
      <c r="C30" s="801"/>
      <c r="D30" s="572"/>
      <c r="E30" s="572"/>
      <c r="F30" s="572"/>
      <c r="G30" s="572"/>
      <c r="H30" s="572"/>
      <c r="I30" s="572"/>
      <c r="J30" s="572"/>
      <c r="K30" s="572"/>
      <c r="L30" s="572"/>
      <c r="M30" s="572"/>
      <c r="N30" s="572"/>
      <c r="O30" s="572"/>
      <c r="P30" s="86">
        <f>SUM(D30:O30)</f>
        <v>0</v>
      </c>
      <c r="Q30" s="738" t="s">
        <v>1105</v>
      </c>
      <c r="R30" s="738"/>
      <c r="S30" s="738"/>
      <c r="T30" s="738"/>
      <c r="U30" s="738"/>
      <c r="V30" s="738"/>
      <c r="W30" s="738"/>
      <c r="X30" s="738"/>
      <c r="Y30" s="738"/>
      <c r="Z30" s="738"/>
      <c r="AA30" s="738"/>
      <c r="AB30" s="738"/>
      <c r="AC30" s="738"/>
      <c r="AD30" s="739"/>
    </row>
    <row r="31" spans="1:41" ht="45" customHeight="1">
      <c r="A31" s="740" t="s">
        <v>53</v>
      </c>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2"/>
    </row>
    <row r="32" spans="1:41" ht="23.1" customHeight="1">
      <c r="A32" s="705" t="s">
        <v>54</v>
      </c>
      <c r="B32" s="735" t="s">
        <v>55</v>
      </c>
      <c r="C32" s="735" t="s">
        <v>49</v>
      </c>
      <c r="D32" s="735" t="s">
        <v>56</v>
      </c>
      <c r="E32" s="735"/>
      <c r="F32" s="735"/>
      <c r="G32" s="735"/>
      <c r="H32" s="735"/>
      <c r="I32" s="735"/>
      <c r="J32" s="735"/>
      <c r="K32" s="735"/>
      <c r="L32" s="735"/>
      <c r="M32" s="735"/>
      <c r="N32" s="735"/>
      <c r="O32" s="735"/>
      <c r="P32" s="735"/>
      <c r="Q32" s="735" t="s">
        <v>57</v>
      </c>
      <c r="R32" s="735"/>
      <c r="S32" s="735"/>
      <c r="T32" s="735"/>
      <c r="U32" s="735"/>
      <c r="V32" s="735"/>
      <c r="W32" s="735"/>
      <c r="X32" s="735"/>
      <c r="Y32" s="735"/>
      <c r="Z32" s="735"/>
      <c r="AA32" s="735"/>
      <c r="AB32" s="735"/>
      <c r="AC32" s="735"/>
      <c r="AD32" s="706"/>
      <c r="AG32" s="1096"/>
      <c r="AH32" s="1096"/>
      <c r="AI32" s="1096"/>
      <c r="AJ32" s="498"/>
      <c r="AK32" s="498"/>
      <c r="AL32" s="498"/>
      <c r="AM32" s="498"/>
      <c r="AN32" s="498"/>
      <c r="AO32" s="87"/>
    </row>
    <row r="33" spans="1:41" ht="23.1" customHeight="1">
      <c r="A33" s="705"/>
      <c r="B33" s="735"/>
      <c r="C33" s="743"/>
      <c r="D33" s="565" t="s">
        <v>29</v>
      </c>
      <c r="E33" s="565" t="s">
        <v>30</v>
      </c>
      <c r="F33" s="565" t="s">
        <v>31</v>
      </c>
      <c r="G33" s="565" t="s">
        <v>32</v>
      </c>
      <c r="H33" s="565" t="s">
        <v>33</v>
      </c>
      <c r="I33" s="565" t="s">
        <v>34</v>
      </c>
      <c r="J33" s="565" t="s">
        <v>35</v>
      </c>
      <c r="K33" s="565" t="s">
        <v>36</v>
      </c>
      <c r="L33" s="565" t="s">
        <v>37</v>
      </c>
      <c r="M33" s="565" t="s">
        <v>38</v>
      </c>
      <c r="N33" s="565" t="s">
        <v>39</v>
      </c>
      <c r="O33" s="565" t="s">
        <v>40</v>
      </c>
      <c r="P33" s="565" t="s">
        <v>41</v>
      </c>
      <c r="Q33" s="730" t="s">
        <v>58</v>
      </c>
      <c r="R33" s="744"/>
      <c r="S33" s="744"/>
      <c r="T33" s="744"/>
      <c r="U33" s="744"/>
      <c r="V33" s="731"/>
      <c r="W33" s="730" t="s">
        <v>59</v>
      </c>
      <c r="X33" s="744"/>
      <c r="Y33" s="744"/>
      <c r="Z33" s="731"/>
      <c r="AA33" s="730" t="s">
        <v>60</v>
      </c>
      <c r="AB33" s="744"/>
      <c r="AC33" s="744"/>
      <c r="AD33" s="749"/>
      <c r="AF33" s="72" t="s">
        <v>1064</v>
      </c>
      <c r="AG33" s="1096" t="s">
        <v>310</v>
      </c>
      <c r="AH33" s="1096"/>
      <c r="AI33" s="1096"/>
      <c r="AJ33" s="498"/>
      <c r="AK33" s="498"/>
      <c r="AL33" s="498"/>
      <c r="AM33" s="498"/>
      <c r="AN33" s="498"/>
      <c r="AO33" s="87"/>
    </row>
    <row r="34" spans="1:41" ht="122.25" customHeight="1">
      <c r="A34" s="786" t="str">
        <f>C17</f>
        <v>Diseñar e implementar una (1) estrategía para el desarrollo de capacidades socioemocionales y técnicas de las mujeres en toda su diversidad para su emprendimiento y empleabilidad.</v>
      </c>
      <c r="B34" s="752">
        <f>B38+B40+B42+B44+B46</f>
        <v>0.25</v>
      </c>
      <c r="C34" s="90" t="s">
        <v>61</v>
      </c>
      <c r="D34" s="218">
        <f>D68</f>
        <v>0</v>
      </c>
      <c r="E34" s="218">
        <f t="shared" ref="E34:O34" si="0">E68</f>
        <v>1.0400000000000003E-2</v>
      </c>
      <c r="F34" s="218">
        <f t="shared" si="0"/>
        <v>2.0000000000000004E-2</v>
      </c>
      <c r="G34" s="218">
        <f t="shared" si="0"/>
        <v>2.0000000000000004E-2</v>
      </c>
      <c r="H34" s="218">
        <f t="shared" si="0"/>
        <v>2.0000000000000004E-2</v>
      </c>
      <c r="I34" s="218">
        <f t="shared" si="0"/>
        <v>2.0000000000000004E-2</v>
      </c>
      <c r="J34" s="218">
        <f t="shared" si="0"/>
        <v>2.0000000000000004E-2</v>
      </c>
      <c r="K34" s="218">
        <f t="shared" si="0"/>
        <v>2.0000000000000004E-2</v>
      </c>
      <c r="L34" s="218">
        <f t="shared" si="0"/>
        <v>2.0000000000000004E-2</v>
      </c>
      <c r="M34" s="218">
        <f t="shared" si="0"/>
        <v>2.0000000000000004E-2</v>
      </c>
      <c r="N34" s="218">
        <f t="shared" si="0"/>
        <v>2.0000000000000004E-2</v>
      </c>
      <c r="O34" s="218">
        <f t="shared" si="0"/>
        <v>9.6000000000000026E-3</v>
      </c>
      <c r="P34" s="218">
        <f>SUM(D34:O34)</f>
        <v>0.20000000000000007</v>
      </c>
      <c r="Q34" s="843" t="s">
        <v>1079</v>
      </c>
      <c r="R34" s="844"/>
      <c r="S34" s="844"/>
      <c r="T34" s="844"/>
      <c r="U34" s="844"/>
      <c r="V34" s="845"/>
      <c r="W34" s="843"/>
      <c r="X34" s="844"/>
      <c r="Y34" s="844"/>
      <c r="Z34" s="845"/>
      <c r="AA34" s="849" t="s">
        <v>1080</v>
      </c>
      <c r="AB34" s="850"/>
      <c r="AC34" s="850"/>
      <c r="AD34" s="851"/>
      <c r="AF34" s="72" t="s">
        <v>1086</v>
      </c>
      <c r="AG34" s="72" t="s">
        <v>1118</v>
      </c>
      <c r="AH34" s="1096"/>
      <c r="AI34" s="1096"/>
      <c r="AJ34" s="498"/>
      <c r="AK34" s="498"/>
      <c r="AL34" s="498"/>
      <c r="AM34" s="498"/>
      <c r="AN34" s="498"/>
      <c r="AO34" s="87"/>
    </row>
    <row r="35" spans="1:41" ht="122.25" customHeight="1" thickBot="1">
      <c r="A35" s="787"/>
      <c r="B35" s="788"/>
      <c r="C35" s="403" t="s">
        <v>65</v>
      </c>
      <c r="D35" s="483">
        <f t="shared" ref="D35:O35" si="1">D65</f>
        <v>0</v>
      </c>
      <c r="E35" s="483">
        <f t="shared" si="1"/>
        <v>1.0480000000000003E-2</v>
      </c>
      <c r="F35" s="483">
        <f t="shared" si="1"/>
        <v>0</v>
      </c>
      <c r="G35" s="483">
        <f t="shared" si="1"/>
        <v>0</v>
      </c>
      <c r="H35" s="483">
        <f t="shared" si="1"/>
        <v>0</v>
      </c>
      <c r="I35" s="483">
        <f t="shared" si="1"/>
        <v>0</v>
      </c>
      <c r="J35" s="483">
        <f t="shared" si="1"/>
        <v>0</v>
      </c>
      <c r="K35" s="483">
        <f t="shared" si="1"/>
        <v>0</v>
      </c>
      <c r="L35" s="483">
        <f t="shared" si="1"/>
        <v>0</v>
      </c>
      <c r="M35" s="483">
        <f t="shared" si="1"/>
        <v>0</v>
      </c>
      <c r="N35" s="483">
        <f t="shared" si="1"/>
        <v>0</v>
      </c>
      <c r="O35" s="483">
        <f t="shared" si="1"/>
        <v>0</v>
      </c>
      <c r="P35" s="482">
        <f>SUM(D35:O35)</f>
        <v>1.0480000000000003E-2</v>
      </c>
      <c r="Q35" s="846"/>
      <c r="R35" s="847"/>
      <c r="S35" s="847"/>
      <c r="T35" s="847"/>
      <c r="U35" s="847"/>
      <c r="V35" s="848"/>
      <c r="W35" s="846"/>
      <c r="X35" s="847"/>
      <c r="Y35" s="847"/>
      <c r="Z35" s="848"/>
      <c r="AA35" s="852"/>
      <c r="AB35" s="853"/>
      <c r="AC35" s="853"/>
      <c r="AD35" s="854"/>
      <c r="AE35" s="49"/>
      <c r="AF35" s="1096">
        <f>LEN(AF34)</f>
        <v>300</v>
      </c>
      <c r="AG35" s="1096">
        <f>LEN(AG34)</f>
        <v>288</v>
      </c>
      <c r="AH35" s="1096"/>
      <c r="AI35" s="1096"/>
      <c r="AJ35" s="498"/>
      <c r="AK35" s="498"/>
      <c r="AL35" s="498"/>
      <c r="AM35" s="498"/>
      <c r="AN35" s="498"/>
      <c r="AO35" s="87"/>
    </row>
    <row r="36" spans="1:41" ht="32.25" customHeight="1">
      <c r="A36" s="718" t="s">
        <v>66</v>
      </c>
      <c r="B36" s="779" t="s">
        <v>67</v>
      </c>
      <c r="C36" s="781" t="s">
        <v>68</v>
      </c>
      <c r="D36" s="781"/>
      <c r="E36" s="781"/>
      <c r="F36" s="781"/>
      <c r="G36" s="781"/>
      <c r="H36" s="781"/>
      <c r="I36" s="781"/>
      <c r="J36" s="781"/>
      <c r="K36" s="781"/>
      <c r="L36" s="781"/>
      <c r="M36" s="781"/>
      <c r="N36" s="781"/>
      <c r="O36" s="781"/>
      <c r="P36" s="781"/>
      <c r="Q36" s="782" t="s">
        <v>69</v>
      </c>
      <c r="R36" s="783"/>
      <c r="S36" s="783"/>
      <c r="T36" s="783"/>
      <c r="U36" s="783"/>
      <c r="V36" s="783"/>
      <c r="W36" s="783"/>
      <c r="X36" s="783"/>
      <c r="Y36" s="783"/>
      <c r="Z36" s="783"/>
      <c r="AA36" s="783"/>
      <c r="AB36" s="783"/>
      <c r="AC36" s="783"/>
      <c r="AD36" s="784"/>
      <c r="AG36" s="1096"/>
      <c r="AH36" s="1096"/>
      <c r="AI36" s="1096"/>
      <c r="AJ36" s="498"/>
      <c r="AK36" s="498"/>
      <c r="AL36" s="498"/>
      <c r="AM36" s="498"/>
      <c r="AN36" s="498"/>
      <c r="AO36" s="87"/>
    </row>
    <row r="37" spans="1:41" ht="32.25" customHeight="1" thickBot="1">
      <c r="A37" s="804"/>
      <c r="B37" s="840"/>
      <c r="C37" s="215" t="s">
        <v>70</v>
      </c>
      <c r="D37" s="215" t="s">
        <v>71</v>
      </c>
      <c r="E37" s="215" t="s">
        <v>72</v>
      </c>
      <c r="F37" s="215" t="s">
        <v>73</v>
      </c>
      <c r="G37" s="215" t="s">
        <v>74</v>
      </c>
      <c r="H37" s="215" t="s">
        <v>75</v>
      </c>
      <c r="I37" s="215" t="s">
        <v>76</v>
      </c>
      <c r="J37" s="215" t="s">
        <v>77</v>
      </c>
      <c r="K37" s="215" t="s">
        <v>78</v>
      </c>
      <c r="L37" s="215" t="s">
        <v>79</v>
      </c>
      <c r="M37" s="215" t="s">
        <v>80</v>
      </c>
      <c r="N37" s="215" t="s">
        <v>81</v>
      </c>
      <c r="O37" s="215" t="s">
        <v>82</v>
      </c>
      <c r="P37" s="215" t="s">
        <v>83</v>
      </c>
      <c r="Q37" s="728" t="s">
        <v>84</v>
      </c>
      <c r="R37" s="841"/>
      <c r="S37" s="841"/>
      <c r="T37" s="841"/>
      <c r="U37" s="841"/>
      <c r="V37" s="841"/>
      <c r="W37" s="841"/>
      <c r="X37" s="841"/>
      <c r="Y37" s="841"/>
      <c r="Z37" s="841"/>
      <c r="AA37" s="841"/>
      <c r="AB37" s="841"/>
      <c r="AC37" s="841"/>
      <c r="AD37" s="842"/>
      <c r="AG37" s="1097"/>
      <c r="AH37" s="1097"/>
      <c r="AI37" s="1097"/>
      <c r="AJ37" s="1090"/>
      <c r="AK37" s="1090"/>
      <c r="AL37" s="1090"/>
      <c r="AM37" s="1090"/>
      <c r="AN37" s="1090"/>
      <c r="AO37" s="94"/>
    </row>
    <row r="38" spans="1:41" ht="54" customHeight="1">
      <c r="A38" s="833" t="s">
        <v>96</v>
      </c>
      <c r="B38" s="834">
        <v>7.0000000000000007E-2</v>
      </c>
      <c r="C38" s="216" t="s">
        <v>61</v>
      </c>
      <c r="D38" s="217">
        <v>0</v>
      </c>
      <c r="E38" s="217">
        <v>0.05</v>
      </c>
      <c r="F38" s="217">
        <v>0.1</v>
      </c>
      <c r="G38" s="217">
        <v>0.1</v>
      </c>
      <c r="H38" s="217">
        <v>0.1</v>
      </c>
      <c r="I38" s="217">
        <v>0.1</v>
      </c>
      <c r="J38" s="217">
        <v>0.1</v>
      </c>
      <c r="K38" s="217">
        <v>0.1</v>
      </c>
      <c r="L38" s="217">
        <v>0.1</v>
      </c>
      <c r="M38" s="217">
        <v>0.1</v>
      </c>
      <c r="N38" s="217">
        <v>0.1</v>
      </c>
      <c r="O38" s="217">
        <v>0.05</v>
      </c>
      <c r="P38" s="370">
        <f t="shared" ref="P38:P45" si="2">SUM(D38:O38)</f>
        <v>0.99999999999999989</v>
      </c>
      <c r="Q38" s="827" t="s">
        <v>1081</v>
      </c>
      <c r="R38" s="827"/>
      <c r="S38" s="827"/>
      <c r="T38" s="827"/>
      <c r="U38" s="827"/>
      <c r="V38" s="827"/>
      <c r="W38" s="827"/>
      <c r="X38" s="827"/>
      <c r="Y38" s="827"/>
      <c r="Z38" s="827"/>
      <c r="AA38" s="827"/>
      <c r="AB38" s="827"/>
      <c r="AC38" s="827"/>
      <c r="AD38" s="828"/>
      <c r="AE38" s="97"/>
      <c r="AG38" s="159"/>
      <c r="AH38" s="159"/>
      <c r="AI38" s="159"/>
      <c r="AJ38" s="1091"/>
      <c r="AK38" s="1091"/>
      <c r="AL38" s="1091"/>
      <c r="AM38" s="1091"/>
      <c r="AN38" s="1091"/>
      <c r="AO38" s="98"/>
    </row>
    <row r="39" spans="1:41" ht="54" customHeight="1">
      <c r="A39" s="745"/>
      <c r="B39" s="835"/>
      <c r="C39" s="99" t="s">
        <v>65</v>
      </c>
      <c r="D39" s="100">
        <v>0</v>
      </c>
      <c r="E39" s="100">
        <v>0.04</v>
      </c>
      <c r="F39" s="100"/>
      <c r="G39" s="100"/>
      <c r="H39" s="100"/>
      <c r="I39" s="100"/>
      <c r="J39" s="100"/>
      <c r="K39" s="100"/>
      <c r="L39" s="100"/>
      <c r="M39" s="100"/>
      <c r="N39" s="100"/>
      <c r="O39" s="100"/>
      <c r="P39" s="371">
        <f t="shared" si="2"/>
        <v>0.04</v>
      </c>
      <c r="Q39" s="827"/>
      <c r="R39" s="827"/>
      <c r="S39" s="827"/>
      <c r="T39" s="827"/>
      <c r="U39" s="827"/>
      <c r="V39" s="827"/>
      <c r="W39" s="827"/>
      <c r="X39" s="827"/>
      <c r="Y39" s="827"/>
      <c r="Z39" s="827"/>
      <c r="AA39" s="827"/>
      <c r="AB39" s="827"/>
      <c r="AC39" s="827"/>
      <c r="AD39" s="828"/>
      <c r="AE39" s="97"/>
    </row>
    <row r="40" spans="1:41" ht="63.75" customHeight="1">
      <c r="A40" s="745" t="s">
        <v>97</v>
      </c>
      <c r="B40" s="836">
        <v>0.05</v>
      </c>
      <c r="C40" s="102" t="s">
        <v>61</v>
      </c>
      <c r="D40" s="103">
        <v>0</v>
      </c>
      <c r="E40" s="103">
        <v>0.1</v>
      </c>
      <c r="F40" s="103">
        <v>0.1</v>
      </c>
      <c r="G40" s="103">
        <v>0.1</v>
      </c>
      <c r="H40" s="103">
        <v>0.1</v>
      </c>
      <c r="I40" s="103">
        <v>0.1</v>
      </c>
      <c r="J40" s="103">
        <v>0.1</v>
      </c>
      <c r="K40" s="103">
        <v>0.1</v>
      </c>
      <c r="L40" s="103">
        <v>0.1</v>
      </c>
      <c r="M40" s="103">
        <v>0.1</v>
      </c>
      <c r="N40" s="103">
        <v>0.1</v>
      </c>
      <c r="O40" s="103">
        <v>0</v>
      </c>
      <c r="P40" s="371">
        <f t="shared" si="2"/>
        <v>0.99999999999999989</v>
      </c>
      <c r="Q40" s="827" t="s">
        <v>1082</v>
      </c>
      <c r="R40" s="827"/>
      <c r="S40" s="827"/>
      <c r="T40" s="827"/>
      <c r="U40" s="827"/>
      <c r="V40" s="827"/>
      <c r="W40" s="827"/>
      <c r="X40" s="827"/>
      <c r="Y40" s="827"/>
      <c r="Z40" s="827"/>
      <c r="AA40" s="827"/>
      <c r="AB40" s="827"/>
      <c r="AC40" s="827"/>
      <c r="AD40" s="828"/>
      <c r="AE40" s="97"/>
    </row>
    <row r="41" spans="1:41" ht="63.75" customHeight="1">
      <c r="A41" s="745"/>
      <c r="B41" s="835"/>
      <c r="C41" s="99" t="s">
        <v>65</v>
      </c>
      <c r="D41" s="100">
        <v>0</v>
      </c>
      <c r="E41" s="100">
        <v>0.1</v>
      </c>
      <c r="F41" s="100"/>
      <c r="G41" s="100"/>
      <c r="H41" s="100"/>
      <c r="I41" s="100"/>
      <c r="J41" s="100"/>
      <c r="K41" s="100"/>
      <c r="L41" s="100"/>
      <c r="M41" s="100"/>
      <c r="N41" s="100"/>
      <c r="O41" s="100"/>
      <c r="P41" s="371">
        <f t="shared" si="2"/>
        <v>0.1</v>
      </c>
      <c r="Q41" s="827"/>
      <c r="R41" s="827"/>
      <c r="S41" s="827"/>
      <c r="T41" s="827"/>
      <c r="U41" s="827"/>
      <c r="V41" s="827"/>
      <c r="W41" s="827"/>
      <c r="X41" s="827"/>
      <c r="Y41" s="827"/>
      <c r="Z41" s="827"/>
      <c r="AA41" s="827"/>
      <c r="AB41" s="827"/>
      <c r="AC41" s="827"/>
      <c r="AD41" s="828"/>
      <c r="AE41" s="97"/>
    </row>
    <row r="42" spans="1:41" ht="53.25" customHeight="1">
      <c r="A42" s="745" t="s">
        <v>98</v>
      </c>
      <c r="B42" s="836">
        <v>0.05</v>
      </c>
      <c r="C42" s="102" t="s">
        <v>61</v>
      </c>
      <c r="D42" s="103">
        <v>0</v>
      </c>
      <c r="E42" s="103">
        <v>0.05</v>
      </c>
      <c r="F42" s="103">
        <v>0.1</v>
      </c>
      <c r="G42" s="103">
        <v>0.1</v>
      </c>
      <c r="H42" s="103">
        <v>0.1</v>
      </c>
      <c r="I42" s="103">
        <v>0.1</v>
      </c>
      <c r="J42" s="103">
        <v>0.1</v>
      </c>
      <c r="K42" s="103">
        <v>0.1</v>
      </c>
      <c r="L42" s="103">
        <v>0.1</v>
      </c>
      <c r="M42" s="103">
        <v>0.1</v>
      </c>
      <c r="N42" s="103">
        <v>0.1</v>
      </c>
      <c r="O42" s="103">
        <v>0.05</v>
      </c>
      <c r="P42" s="371">
        <f>SUM(D42:O42)</f>
        <v>0.99999999999999989</v>
      </c>
      <c r="Q42" s="827" t="s">
        <v>1083</v>
      </c>
      <c r="R42" s="827"/>
      <c r="S42" s="827"/>
      <c r="T42" s="827"/>
      <c r="U42" s="827"/>
      <c r="V42" s="827"/>
      <c r="W42" s="827"/>
      <c r="X42" s="827"/>
      <c r="Y42" s="827"/>
      <c r="Z42" s="827"/>
      <c r="AA42" s="827"/>
      <c r="AB42" s="827"/>
      <c r="AC42" s="827"/>
      <c r="AD42" s="828"/>
      <c r="AE42" s="97"/>
    </row>
    <row r="43" spans="1:41" ht="53.25" customHeight="1">
      <c r="A43" s="745"/>
      <c r="B43" s="835"/>
      <c r="C43" s="99" t="s">
        <v>65</v>
      </c>
      <c r="D43" s="100">
        <v>0</v>
      </c>
      <c r="E43" s="100">
        <v>0.05</v>
      </c>
      <c r="F43" s="100"/>
      <c r="G43" s="100"/>
      <c r="H43" s="100"/>
      <c r="I43" s="100"/>
      <c r="J43" s="100"/>
      <c r="K43" s="100"/>
      <c r="L43" s="100"/>
      <c r="M43" s="100"/>
      <c r="N43" s="100"/>
      <c r="O43" s="100"/>
      <c r="P43" s="371">
        <f>SUM(D43:O43)</f>
        <v>0.05</v>
      </c>
      <c r="Q43" s="827"/>
      <c r="R43" s="827"/>
      <c r="S43" s="827"/>
      <c r="T43" s="827"/>
      <c r="U43" s="827"/>
      <c r="V43" s="827"/>
      <c r="W43" s="827"/>
      <c r="X43" s="827"/>
      <c r="Y43" s="827"/>
      <c r="Z43" s="827"/>
      <c r="AA43" s="827"/>
      <c r="AB43" s="827"/>
      <c r="AC43" s="827"/>
      <c r="AD43" s="828"/>
      <c r="AE43" s="97"/>
      <c r="AF43" s="72" t="s">
        <v>1064</v>
      </c>
      <c r="AG43" s="72" t="s">
        <v>1116</v>
      </c>
    </row>
    <row r="44" spans="1:41" ht="40.5" customHeight="1">
      <c r="A44" s="745" t="s">
        <v>99</v>
      </c>
      <c r="B44" s="836">
        <v>0.04</v>
      </c>
      <c r="C44" s="102" t="s">
        <v>61</v>
      </c>
      <c r="D44" s="103">
        <v>0</v>
      </c>
      <c r="E44" s="103">
        <v>0</v>
      </c>
      <c r="F44" s="103">
        <v>0.1</v>
      </c>
      <c r="G44" s="103">
        <v>0.1</v>
      </c>
      <c r="H44" s="103">
        <v>0.1</v>
      </c>
      <c r="I44" s="103">
        <v>0.1</v>
      </c>
      <c r="J44" s="103">
        <v>0.1</v>
      </c>
      <c r="K44" s="103">
        <v>0.1</v>
      </c>
      <c r="L44" s="103">
        <v>0.1</v>
      </c>
      <c r="M44" s="103">
        <v>0.1</v>
      </c>
      <c r="N44" s="103">
        <v>0.1</v>
      </c>
      <c r="O44" s="103">
        <v>0.1</v>
      </c>
      <c r="P44" s="371">
        <f t="shared" si="2"/>
        <v>0.99999999999999989</v>
      </c>
      <c r="Q44" s="827" t="s">
        <v>1084</v>
      </c>
      <c r="R44" s="827"/>
      <c r="S44" s="827"/>
      <c r="T44" s="827"/>
      <c r="U44" s="827"/>
      <c r="V44" s="827"/>
      <c r="W44" s="827"/>
      <c r="X44" s="827"/>
      <c r="Y44" s="827"/>
      <c r="Z44" s="827"/>
      <c r="AA44" s="827"/>
      <c r="AB44" s="827"/>
      <c r="AC44" s="827"/>
      <c r="AD44" s="828"/>
      <c r="AE44" s="97"/>
      <c r="AF44" s="72" t="s">
        <v>514</v>
      </c>
      <c r="AG44" s="72" t="s">
        <v>1115</v>
      </c>
    </row>
    <row r="45" spans="1:41" ht="40.5" customHeight="1">
      <c r="A45" s="745"/>
      <c r="B45" s="835"/>
      <c r="C45" s="99" t="s">
        <v>65</v>
      </c>
      <c r="D45" s="100">
        <v>0</v>
      </c>
      <c r="E45" s="100">
        <v>0.02</v>
      </c>
      <c r="F45" s="100"/>
      <c r="G45" s="100"/>
      <c r="H45" s="100"/>
      <c r="I45" s="100"/>
      <c r="J45" s="100"/>
      <c r="K45" s="100"/>
      <c r="L45" s="100"/>
      <c r="M45" s="100"/>
      <c r="N45" s="100"/>
      <c r="O45" s="100"/>
      <c r="P45" s="371">
        <f t="shared" si="2"/>
        <v>0.02</v>
      </c>
      <c r="Q45" s="827"/>
      <c r="R45" s="827"/>
      <c r="S45" s="827"/>
      <c r="T45" s="827"/>
      <c r="U45" s="827"/>
      <c r="V45" s="827"/>
      <c r="W45" s="827"/>
      <c r="X45" s="827"/>
      <c r="Y45" s="827"/>
      <c r="Z45" s="827"/>
      <c r="AA45" s="827"/>
      <c r="AB45" s="827"/>
      <c r="AC45" s="827"/>
      <c r="AD45" s="828"/>
      <c r="AE45" s="97"/>
      <c r="AF45" s="1096">
        <f>LEN(AF44)</f>
        <v>1</v>
      </c>
      <c r="AG45" s="1096">
        <f>LEN(AG44)</f>
        <v>135</v>
      </c>
    </row>
    <row r="46" spans="1:41" ht="92.25" customHeight="1">
      <c r="A46" s="745" t="s">
        <v>100</v>
      </c>
      <c r="B46" s="836">
        <v>0.04</v>
      </c>
      <c r="C46" s="102" t="s">
        <v>61</v>
      </c>
      <c r="D46" s="103">
        <v>0</v>
      </c>
      <c r="E46" s="103">
        <v>0.05</v>
      </c>
      <c r="F46" s="103">
        <v>0.1</v>
      </c>
      <c r="G46" s="103">
        <v>0.1</v>
      </c>
      <c r="H46" s="103">
        <v>0.1</v>
      </c>
      <c r="I46" s="103">
        <v>0.1</v>
      </c>
      <c r="J46" s="103">
        <v>0.1</v>
      </c>
      <c r="K46" s="103">
        <v>0.1</v>
      </c>
      <c r="L46" s="103">
        <v>0.1</v>
      </c>
      <c r="M46" s="103">
        <v>0.1</v>
      </c>
      <c r="N46" s="103">
        <v>0.1</v>
      </c>
      <c r="O46" s="103">
        <v>0.05</v>
      </c>
      <c r="P46" s="371">
        <f>SUM(D46:O46)</f>
        <v>0.99999999999999989</v>
      </c>
      <c r="Q46" s="827" t="s">
        <v>1085</v>
      </c>
      <c r="R46" s="827"/>
      <c r="S46" s="827"/>
      <c r="T46" s="827"/>
      <c r="U46" s="827"/>
      <c r="V46" s="827"/>
      <c r="W46" s="827"/>
      <c r="X46" s="827"/>
      <c r="Y46" s="827"/>
      <c r="Z46" s="827"/>
      <c r="AA46" s="827"/>
      <c r="AB46" s="827"/>
      <c r="AC46" s="827"/>
      <c r="AD46" s="828"/>
      <c r="AE46" s="97"/>
      <c r="AF46" s="72" t="s">
        <v>1119</v>
      </c>
      <c r="AG46" s="72" t="s">
        <v>1120</v>
      </c>
    </row>
    <row r="47" spans="1:41" ht="92.25" customHeight="1" thickBot="1">
      <c r="A47" s="762"/>
      <c r="B47" s="867"/>
      <c r="C47" s="91" t="s">
        <v>65</v>
      </c>
      <c r="D47" s="105">
        <v>0</v>
      </c>
      <c r="E47" s="105">
        <v>0.05</v>
      </c>
      <c r="F47" s="105"/>
      <c r="G47" s="105"/>
      <c r="H47" s="105"/>
      <c r="I47" s="105"/>
      <c r="J47" s="105"/>
      <c r="K47" s="105"/>
      <c r="L47" s="105"/>
      <c r="M47" s="105"/>
      <c r="N47" s="105"/>
      <c r="O47" s="105"/>
      <c r="P47" s="372">
        <f>SUM(D47:O47)</f>
        <v>0.05</v>
      </c>
      <c r="Q47" s="829"/>
      <c r="R47" s="829"/>
      <c r="S47" s="829"/>
      <c r="T47" s="829"/>
      <c r="U47" s="829"/>
      <c r="V47" s="829"/>
      <c r="W47" s="829"/>
      <c r="X47" s="829"/>
      <c r="Y47" s="829"/>
      <c r="Z47" s="829"/>
      <c r="AA47" s="829"/>
      <c r="AB47" s="829"/>
      <c r="AC47" s="829"/>
      <c r="AD47" s="830"/>
      <c r="AE47" s="97"/>
      <c r="AF47" s="72" t="s">
        <v>1087</v>
      </c>
      <c r="AG47" s="72" t="s">
        <v>1122</v>
      </c>
    </row>
    <row r="48" spans="1:41">
      <c r="A48" s="50" t="s">
        <v>91</v>
      </c>
      <c r="AF48" s="1096">
        <f>LEN(AF47)</f>
        <v>300</v>
      </c>
      <c r="AG48" s="1097">
        <f>LEN(AG47)</f>
        <v>263</v>
      </c>
    </row>
    <row r="49" spans="1:51">
      <c r="AF49" s="1096"/>
      <c r="AG49" s="1096"/>
    </row>
    <row r="50" spans="1:51">
      <c r="AG50" s="72" t="s">
        <v>1120</v>
      </c>
    </row>
    <row r="52" spans="1:51" s="204" customFormat="1" ht="195">
      <c r="A52" s="866" t="s">
        <v>101</v>
      </c>
      <c r="B52" s="866" t="s">
        <v>67</v>
      </c>
      <c r="C52" s="837" t="s">
        <v>68</v>
      </c>
      <c r="D52" s="838"/>
      <c r="E52" s="838"/>
      <c r="F52" s="838"/>
      <c r="G52" s="838"/>
      <c r="H52" s="838"/>
      <c r="I52" s="838"/>
      <c r="J52" s="838"/>
      <c r="K52" s="838"/>
      <c r="L52" s="838"/>
      <c r="M52" s="838"/>
      <c r="N52" s="838"/>
      <c r="O52" s="838"/>
      <c r="P52" s="839"/>
      <c r="Q52" s="202"/>
      <c r="R52" s="202"/>
      <c r="S52" s="202"/>
      <c r="T52" s="202"/>
      <c r="U52" s="202"/>
      <c r="V52" s="202"/>
      <c r="W52" s="202"/>
      <c r="X52" s="202"/>
      <c r="Y52" s="202"/>
      <c r="Z52" s="202"/>
      <c r="AA52" s="202"/>
      <c r="AB52" s="202"/>
      <c r="AC52" s="202"/>
      <c r="AD52" s="202"/>
      <c r="AE52" s="202"/>
      <c r="AF52" s="1098"/>
      <c r="AG52" s="72" t="s">
        <v>1121</v>
      </c>
      <c r="AH52" s="1098"/>
      <c r="AI52" s="1098"/>
      <c r="AJ52" s="1092"/>
      <c r="AK52" s="1092"/>
      <c r="AL52" s="1092"/>
      <c r="AM52" s="1092"/>
      <c r="AN52" s="1092"/>
      <c r="AO52" s="202"/>
      <c r="AP52" s="202"/>
      <c r="AQ52" s="203"/>
      <c r="AR52" s="203"/>
      <c r="AS52" s="203"/>
      <c r="AT52" s="203"/>
      <c r="AU52" s="203"/>
      <c r="AV52" s="203"/>
      <c r="AW52" s="203"/>
      <c r="AX52" s="203"/>
      <c r="AY52" s="203"/>
    </row>
    <row r="53" spans="1:51" s="204" customFormat="1" ht="21.75" customHeight="1">
      <c r="A53" s="832"/>
      <c r="B53" s="832"/>
      <c r="C53" s="205" t="s">
        <v>70</v>
      </c>
      <c r="D53" s="205" t="s">
        <v>71</v>
      </c>
      <c r="E53" s="205" t="s">
        <v>72</v>
      </c>
      <c r="F53" s="205" t="s">
        <v>73</v>
      </c>
      <c r="G53" s="205" t="s">
        <v>74</v>
      </c>
      <c r="H53" s="205" t="s">
        <v>75</v>
      </c>
      <c r="I53" s="205" t="s">
        <v>76</v>
      </c>
      <c r="J53" s="205" t="s">
        <v>77</v>
      </c>
      <c r="K53" s="205" t="s">
        <v>78</v>
      </c>
      <c r="L53" s="205" t="s">
        <v>79</v>
      </c>
      <c r="M53" s="205" t="s">
        <v>80</v>
      </c>
      <c r="N53" s="205" t="s">
        <v>81</v>
      </c>
      <c r="O53" s="205" t="s">
        <v>82</v>
      </c>
      <c r="P53" s="205" t="s">
        <v>83</v>
      </c>
      <c r="Q53" s="202"/>
      <c r="R53" s="202"/>
      <c r="S53" s="202"/>
      <c r="T53" s="202"/>
      <c r="U53" s="202"/>
      <c r="V53" s="202"/>
      <c r="W53" s="202"/>
      <c r="X53" s="202"/>
      <c r="Y53" s="202"/>
      <c r="Z53" s="202"/>
      <c r="AA53" s="202"/>
      <c r="AB53" s="202"/>
      <c r="AC53" s="202"/>
      <c r="AD53" s="202"/>
      <c r="AE53" s="202"/>
      <c r="AF53" s="1098"/>
      <c r="AG53" s="1097">
        <f>LEN(AG52)</f>
        <v>196</v>
      </c>
      <c r="AH53" s="1098"/>
      <c r="AI53" s="1098"/>
      <c r="AJ53" s="1092"/>
      <c r="AK53" s="1092"/>
      <c r="AL53" s="1092"/>
      <c r="AM53" s="1092"/>
      <c r="AN53" s="1092"/>
      <c r="AO53" s="202"/>
      <c r="AP53" s="202"/>
      <c r="AQ53" s="203"/>
      <c r="AR53" s="203"/>
      <c r="AS53" s="203"/>
      <c r="AT53" s="203"/>
      <c r="AU53" s="203"/>
      <c r="AV53" s="203"/>
      <c r="AW53" s="203"/>
      <c r="AX53" s="203"/>
      <c r="AY53" s="203"/>
    </row>
    <row r="54" spans="1:51" s="204" customFormat="1" ht="12.75" customHeight="1">
      <c r="A54" s="831" t="str">
        <f>A38</f>
        <v>8. Implementar la ruta de divulgación y orientación para la formación y oferta de empleo y emprendimiento de mujeres diseñada en el marco de la estrategia de emprendimiento y empleabilidad.</v>
      </c>
      <c r="B54" s="831">
        <f>B38</f>
        <v>7.0000000000000007E-2</v>
      </c>
      <c r="C54" s="206" t="s">
        <v>61</v>
      </c>
      <c r="D54" s="373">
        <f>D38*$B$38/$P$38</f>
        <v>0</v>
      </c>
      <c r="E54" s="207">
        <f t="shared" ref="E54:O54" si="3">E38*$B$38/$P$38</f>
        <v>3.5000000000000009E-3</v>
      </c>
      <c r="F54" s="207">
        <f t="shared" si="3"/>
        <v>7.0000000000000019E-3</v>
      </c>
      <c r="G54" s="207">
        <f t="shared" si="3"/>
        <v>7.0000000000000019E-3</v>
      </c>
      <c r="H54" s="207">
        <f t="shared" si="3"/>
        <v>7.0000000000000019E-3</v>
      </c>
      <c r="I54" s="207">
        <f t="shared" si="3"/>
        <v>7.0000000000000019E-3</v>
      </c>
      <c r="J54" s="207">
        <f t="shared" si="3"/>
        <v>7.0000000000000019E-3</v>
      </c>
      <c r="K54" s="207">
        <f t="shared" si="3"/>
        <v>7.0000000000000019E-3</v>
      </c>
      <c r="L54" s="207">
        <f t="shared" si="3"/>
        <v>7.0000000000000019E-3</v>
      </c>
      <c r="M54" s="207">
        <f t="shared" si="3"/>
        <v>7.0000000000000019E-3</v>
      </c>
      <c r="N54" s="207">
        <f t="shared" si="3"/>
        <v>7.0000000000000019E-3</v>
      </c>
      <c r="O54" s="207">
        <f t="shared" si="3"/>
        <v>3.5000000000000009E-3</v>
      </c>
      <c r="P54" s="369">
        <f t="shared" ref="P54:P57" si="4">SUM(D54:O54)</f>
        <v>7.0000000000000007E-2</v>
      </c>
      <c r="Q54" s="207"/>
      <c r="R54" s="207"/>
      <c r="S54" s="207"/>
      <c r="T54" s="207"/>
      <c r="U54" s="207"/>
      <c r="V54" s="207"/>
      <c r="W54" s="207"/>
      <c r="X54" s="207"/>
      <c r="Y54" s="207"/>
      <c r="Z54" s="207"/>
      <c r="AA54" s="207"/>
      <c r="AB54" s="207"/>
      <c r="AC54" s="207"/>
      <c r="AD54" s="207"/>
      <c r="AE54" s="207"/>
      <c r="AF54" s="1099"/>
      <c r="AG54" s="72" t="s">
        <v>1120</v>
      </c>
      <c r="AH54" s="1099"/>
      <c r="AI54" s="1099"/>
      <c r="AJ54" s="207"/>
      <c r="AK54" s="207"/>
      <c r="AL54" s="207"/>
      <c r="AM54" s="207"/>
      <c r="AN54" s="207"/>
      <c r="AO54" s="207"/>
      <c r="AP54" s="207"/>
      <c r="AQ54" s="203"/>
      <c r="AR54" s="203"/>
      <c r="AS54" s="203"/>
      <c r="AT54" s="203"/>
      <c r="AU54" s="203"/>
      <c r="AV54" s="203"/>
      <c r="AW54" s="203"/>
      <c r="AX54" s="203"/>
      <c r="AY54" s="203"/>
    </row>
    <row r="55" spans="1:51" s="204" customFormat="1" ht="12.75" customHeight="1">
      <c r="A55" s="832"/>
      <c r="B55" s="832"/>
      <c r="C55" s="208" t="s">
        <v>65</v>
      </c>
      <c r="D55" s="209">
        <f>D38*$B$38/$P$38</f>
        <v>0</v>
      </c>
      <c r="E55" s="209">
        <f t="shared" ref="E55:O55" si="5">E39*$B$38/$P$38</f>
        <v>2.8000000000000008E-3</v>
      </c>
      <c r="F55" s="209">
        <f t="shared" si="5"/>
        <v>0</v>
      </c>
      <c r="G55" s="209">
        <f t="shared" si="5"/>
        <v>0</v>
      </c>
      <c r="H55" s="209">
        <f t="shared" si="5"/>
        <v>0</v>
      </c>
      <c r="I55" s="209">
        <f t="shared" si="5"/>
        <v>0</v>
      </c>
      <c r="J55" s="209">
        <f t="shared" si="5"/>
        <v>0</v>
      </c>
      <c r="K55" s="209">
        <f t="shared" si="5"/>
        <v>0</v>
      </c>
      <c r="L55" s="209">
        <f t="shared" si="5"/>
        <v>0</v>
      </c>
      <c r="M55" s="209">
        <f t="shared" si="5"/>
        <v>0</v>
      </c>
      <c r="N55" s="209">
        <f t="shared" si="5"/>
        <v>0</v>
      </c>
      <c r="O55" s="209">
        <f t="shared" si="5"/>
        <v>0</v>
      </c>
      <c r="P55" s="210">
        <f t="shared" si="4"/>
        <v>2.8000000000000008E-3</v>
      </c>
      <c r="Q55" s="207"/>
      <c r="R55" s="207"/>
      <c r="S55" s="207"/>
      <c r="T55" s="207"/>
      <c r="U55" s="207"/>
      <c r="V55" s="207"/>
      <c r="W55" s="207"/>
      <c r="X55" s="207"/>
      <c r="Y55" s="207"/>
      <c r="Z55" s="207"/>
      <c r="AA55" s="207"/>
      <c r="AB55" s="207"/>
      <c r="AC55" s="207"/>
      <c r="AD55" s="207"/>
      <c r="AE55" s="207"/>
      <c r="AF55" s="1099"/>
      <c r="AG55" s="72"/>
      <c r="AH55" s="1099"/>
      <c r="AI55" s="1099"/>
      <c r="AJ55" s="207"/>
      <c r="AK55" s="207"/>
      <c r="AL55" s="207"/>
      <c r="AM55" s="207"/>
      <c r="AN55" s="207"/>
      <c r="AO55" s="207"/>
      <c r="AP55" s="207"/>
      <c r="AQ55" s="203"/>
      <c r="AR55" s="203"/>
      <c r="AS55" s="203"/>
      <c r="AT55" s="203"/>
      <c r="AU55" s="203"/>
      <c r="AV55" s="203"/>
      <c r="AW55" s="203"/>
      <c r="AX55" s="203"/>
      <c r="AY55" s="203"/>
    </row>
    <row r="56" spans="1:51" s="204" customFormat="1" ht="270">
      <c r="A56" s="831"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831">
        <f>B40</f>
        <v>0.05</v>
      </c>
      <c r="C56" s="206" t="s">
        <v>61</v>
      </c>
      <c r="D56" s="207">
        <f>D40*$B$40/$P$40</f>
        <v>0</v>
      </c>
      <c r="E56" s="207">
        <f t="shared" ref="E56:O56" si="6">E40*$B$40/$P$40</f>
        <v>5.0000000000000018E-3</v>
      </c>
      <c r="F56" s="207">
        <f t="shared" si="6"/>
        <v>5.0000000000000018E-3</v>
      </c>
      <c r="G56" s="207">
        <f t="shared" si="6"/>
        <v>5.0000000000000018E-3</v>
      </c>
      <c r="H56" s="207">
        <f t="shared" si="6"/>
        <v>5.0000000000000018E-3</v>
      </c>
      <c r="I56" s="207">
        <f t="shared" si="6"/>
        <v>5.0000000000000018E-3</v>
      </c>
      <c r="J56" s="207">
        <f t="shared" si="6"/>
        <v>5.0000000000000018E-3</v>
      </c>
      <c r="K56" s="207">
        <f t="shared" si="6"/>
        <v>5.0000000000000018E-3</v>
      </c>
      <c r="L56" s="207">
        <f t="shared" si="6"/>
        <v>5.0000000000000018E-3</v>
      </c>
      <c r="M56" s="207">
        <f t="shared" si="6"/>
        <v>5.0000000000000018E-3</v>
      </c>
      <c r="N56" s="207">
        <f t="shared" si="6"/>
        <v>5.0000000000000018E-3</v>
      </c>
      <c r="O56" s="207">
        <f t="shared" si="6"/>
        <v>0</v>
      </c>
      <c r="P56" s="369">
        <f t="shared" si="4"/>
        <v>5.0000000000000024E-2</v>
      </c>
      <c r="Q56" s="207"/>
      <c r="R56" s="207"/>
      <c r="S56" s="207"/>
      <c r="T56" s="207"/>
      <c r="U56" s="207"/>
      <c r="V56" s="207"/>
      <c r="W56" s="207"/>
      <c r="X56" s="207"/>
      <c r="Y56" s="207"/>
      <c r="Z56" s="207"/>
      <c r="AA56" s="207"/>
      <c r="AB56" s="207"/>
      <c r="AC56" s="207"/>
      <c r="AD56" s="207"/>
      <c r="AE56" s="207"/>
      <c r="AF56" s="1099"/>
      <c r="AG56" s="72" t="s">
        <v>1123</v>
      </c>
      <c r="AH56" s="1099"/>
      <c r="AI56" s="1099"/>
      <c r="AJ56" s="207"/>
      <c r="AK56" s="207"/>
      <c r="AL56" s="207"/>
      <c r="AM56" s="207"/>
      <c r="AN56" s="207"/>
      <c r="AO56" s="207"/>
      <c r="AP56" s="207"/>
      <c r="AQ56" s="203"/>
      <c r="AR56" s="203"/>
      <c r="AS56" s="203"/>
      <c r="AT56" s="203"/>
      <c r="AU56" s="203"/>
      <c r="AV56" s="203"/>
      <c r="AW56" s="203"/>
      <c r="AX56" s="203"/>
      <c r="AY56" s="203"/>
    </row>
    <row r="57" spans="1:51" s="204" customFormat="1">
      <c r="A57" s="832"/>
      <c r="B57" s="832"/>
      <c r="C57" s="208" t="s">
        <v>65</v>
      </c>
      <c r="D57" s="209">
        <f t="shared" ref="D57" si="7">D41*$B$40/$P$40</f>
        <v>0</v>
      </c>
      <c r="E57" s="209">
        <f t="shared" ref="E57:O57" si="8">E41*$B$40/$P$40</f>
        <v>5.0000000000000018E-3</v>
      </c>
      <c r="F57" s="209">
        <f t="shared" si="8"/>
        <v>0</v>
      </c>
      <c r="G57" s="209">
        <f t="shared" si="8"/>
        <v>0</v>
      </c>
      <c r="H57" s="209">
        <f t="shared" si="8"/>
        <v>0</v>
      </c>
      <c r="I57" s="209">
        <f t="shared" si="8"/>
        <v>0</v>
      </c>
      <c r="J57" s="209">
        <f t="shared" si="8"/>
        <v>0</v>
      </c>
      <c r="K57" s="209">
        <f t="shared" si="8"/>
        <v>0</v>
      </c>
      <c r="L57" s="209">
        <f t="shared" si="8"/>
        <v>0</v>
      </c>
      <c r="M57" s="209">
        <f t="shared" si="8"/>
        <v>0</v>
      </c>
      <c r="N57" s="209">
        <f t="shared" si="8"/>
        <v>0</v>
      </c>
      <c r="O57" s="209">
        <f t="shared" si="8"/>
        <v>0</v>
      </c>
      <c r="P57" s="210">
        <f t="shared" si="4"/>
        <v>5.0000000000000018E-3</v>
      </c>
      <c r="Q57" s="207"/>
      <c r="R57" s="207"/>
      <c r="S57" s="207"/>
      <c r="T57" s="207"/>
      <c r="U57" s="207"/>
      <c r="V57" s="207"/>
      <c r="W57" s="207"/>
      <c r="X57" s="207"/>
      <c r="Y57" s="207"/>
      <c r="Z57" s="207"/>
      <c r="AA57" s="207"/>
      <c r="AB57" s="207"/>
      <c r="AC57" s="207"/>
      <c r="AD57" s="207"/>
      <c r="AE57" s="207"/>
      <c r="AF57" s="1099"/>
      <c r="AG57" s="1097">
        <f>LEN(AG56)</f>
        <v>280</v>
      </c>
      <c r="AH57" s="1099"/>
      <c r="AI57" s="1099"/>
      <c r="AJ57" s="207"/>
      <c r="AK57" s="207"/>
      <c r="AL57" s="207"/>
      <c r="AM57" s="207"/>
      <c r="AN57" s="207"/>
      <c r="AO57" s="207"/>
      <c r="AP57" s="207"/>
      <c r="AQ57" s="203"/>
      <c r="AR57" s="203"/>
      <c r="AS57" s="203"/>
      <c r="AT57" s="203"/>
      <c r="AU57" s="203"/>
      <c r="AV57" s="203"/>
      <c r="AW57" s="203"/>
      <c r="AX57" s="203"/>
      <c r="AY57" s="203"/>
    </row>
    <row r="58" spans="1:51" s="204" customFormat="1" ht="12.75" customHeight="1">
      <c r="A58" s="831" t="str">
        <f>A42</f>
        <v>10. Promover acciones que contribuyan a la generación de ingresos y empleo para las mujeres, conforme a la oferta de las diferentes entidades del distrito.</v>
      </c>
      <c r="B58" s="831">
        <f>B42</f>
        <v>0.05</v>
      </c>
      <c r="C58" s="206" t="s">
        <v>61</v>
      </c>
      <c r="D58" s="207">
        <f>D42*$B$42/$P$42</f>
        <v>0</v>
      </c>
      <c r="E58" s="207">
        <f t="shared" ref="E58:O58" si="9">E42*$B$42/$P$42</f>
        <v>2.5000000000000009E-3</v>
      </c>
      <c r="F58" s="207">
        <f t="shared" si="9"/>
        <v>5.0000000000000018E-3</v>
      </c>
      <c r="G58" s="207">
        <f t="shared" si="9"/>
        <v>5.0000000000000018E-3</v>
      </c>
      <c r="H58" s="207">
        <f t="shared" si="9"/>
        <v>5.0000000000000018E-3</v>
      </c>
      <c r="I58" s="207">
        <f t="shared" si="9"/>
        <v>5.0000000000000018E-3</v>
      </c>
      <c r="J58" s="207">
        <f t="shared" si="9"/>
        <v>5.0000000000000018E-3</v>
      </c>
      <c r="K58" s="207">
        <f t="shared" si="9"/>
        <v>5.0000000000000018E-3</v>
      </c>
      <c r="L58" s="207">
        <f t="shared" si="9"/>
        <v>5.0000000000000018E-3</v>
      </c>
      <c r="M58" s="207">
        <f t="shared" si="9"/>
        <v>5.0000000000000018E-3</v>
      </c>
      <c r="N58" s="207">
        <f t="shared" si="9"/>
        <v>5.0000000000000018E-3</v>
      </c>
      <c r="O58" s="207">
        <f t="shared" si="9"/>
        <v>2.5000000000000009E-3</v>
      </c>
      <c r="P58" s="369">
        <f t="shared" ref="P58:P61" si="10">SUM(D58:O58)</f>
        <v>5.0000000000000024E-2</v>
      </c>
      <c r="Q58" s="207"/>
      <c r="R58" s="207"/>
      <c r="S58" s="207"/>
      <c r="T58" s="207"/>
      <c r="U58" s="207"/>
      <c r="V58" s="207"/>
      <c r="W58" s="207"/>
      <c r="X58" s="207"/>
      <c r="Y58" s="207"/>
      <c r="Z58" s="207"/>
      <c r="AA58" s="207"/>
      <c r="AB58" s="207"/>
      <c r="AC58" s="207"/>
      <c r="AD58" s="207"/>
      <c r="AE58" s="207"/>
      <c r="AF58" s="1099"/>
      <c r="AG58" s="1099"/>
      <c r="AH58" s="1099"/>
      <c r="AI58" s="1099"/>
      <c r="AJ58" s="207"/>
      <c r="AK58" s="207"/>
      <c r="AL58" s="207"/>
      <c r="AM58" s="207"/>
      <c r="AN58" s="207"/>
      <c r="AO58" s="207"/>
      <c r="AP58" s="207"/>
      <c r="AQ58" s="203"/>
      <c r="AR58" s="203"/>
      <c r="AS58" s="203"/>
      <c r="AT58" s="203"/>
      <c r="AU58" s="203"/>
      <c r="AV58" s="203"/>
      <c r="AW58" s="203"/>
      <c r="AX58" s="203"/>
      <c r="AY58" s="203"/>
    </row>
    <row r="59" spans="1:51" s="204" customFormat="1" ht="12.75" customHeight="1">
      <c r="A59" s="832"/>
      <c r="B59" s="832"/>
      <c r="C59" s="208" t="s">
        <v>65</v>
      </c>
      <c r="D59" s="209">
        <f>D43*$B$42/$P$42</f>
        <v>0</v>
      </c>
      <c r="E59" s="209">
        <f t="shared" ref="E59:O59" si="11">E43*$B$42/$P$42</f>
        <v>2.5000000000000009E-3</v>
      </c>
      <c r="F59" s="209">
        <f t="shared" si="11"/>
        <v>0</v>
      </c>
      <c r="G59" s="209">
        <f t="shared" si="11"/>
        <v>0</v>
      </c>
      <c r="H59" s="209">
        <f t="shared" si="11"/>
        <v>0</v>
      </c>
      <c r="I59" s="209">
        <f t="shared" si="11"/>
        <v>0</v>
      </c>
      <c r="J59" s="209">
        <f t="shared" si="11"/>
        <v>0</v>
      </c>
      <c r="K59" s="209">
        <f t="shared" si="11"/>
        <v>0</v>
      </c>
      <c r="L59" s="209">
        <f t="shared" si="11"/>
        <v>0</v>
      </c>
      <c r="M59" s="209">
        <f t="shared" si="11"/>
        <v>0</v>
      </c>
      <c r="N59" s="209">
        <f t="shared" si="11"/>
        <v>0</v>
      </c>
      <c r="O59" s="209">
        <f t="shared" si="11"/>
        <v>0</v>
      </c>
      <c r="P59" s="210">
        <f t="shared" si="10"/>
        <v>2.5000000000000009E-3</v>
      </c>
      <c r="Q59" s="207"/>
      <c r="R59" s="207"/>
      <c r="S59" s="207"/>
      <c r="T59" s="207"/>
      <c r="U59" s="207"/>
      <c r="V59" s="207"/>
      <c r="W59" s="207"/>
      <c r="X59" s="207"/>
      <c r="Y59" s="207"/>
      <c r="Z59" s="207"/>
      <c r="AA59" s="207"/>
      <c r="AB59" s="207"/>
      <c r="AC59" s="207"/>
      <c r="AD59" s="207"/>
      <c r="AE59" s="207"/>
      <c r="AF59" s="1099"/>
      <c r="AG59" s="72" t="s">
        <v>1120</v>
      </c>
      <c r="AH59" s="1099"/>
      <c r="AI59" s="1099"/>
      <c r="AJ59" s="207"/>
      <c r="AK59" s="207"/>
      <c r="AL59" s="207"/>
      <c r="AM59" s="207"/>
      <c r="AN59" s="207"/>
      <c r="AO59" s="207"/>
      <c r="AP59" s="207"/>
      <c r="AQ59" s="203"/>
      <c r="AR59" s="203"/>
      <c r="AS59" s="203"/>
      <c r="AT59" s="203"/>
      <c r="AU59" s="203"/>
      <c r="AV59" s="203"/>
      <c r="AW59" s="203"/>
      <c r="AX59" s="203"/>
      <c r="AY59" s="203"/>
    </row>
    <row r="60" spans="1:51" s="204" customFormat="1" ht="120">
      <c r="A60" s="831" t="str">
        <f>A44</f>
        <v>11. Diseñar dos (2) programas que promuevan la autonomía económica de mujeres, en especial cuidadoras.</v>
      </c>
      <c r="B60" s="831">
        <f>B44</f>
        <v>0.04</v>
      </c>
      <c r="C60" s="206" t="s">
        <v>61</v>
      </c>
      <c r="D60" s="207">
        <f>D44*$B$44/$P$44</f>
        <v>0</v>
      </c>
      <c r="E60" s="207">
        <f t="shared" ref="E60:O60" si="12">E44*$B$44/$P$44</f>
        <v>0</v>
      </c>
      <c r="F60" s="207">
        <f t="shared" si="12"/>
        <v>4.000000000000001E-3</v>
      </c>
      <c r="G60" s="207">
        <f t="shared" si="12"/>
        <v>4.000000000000001E-3</v>
      </c>
      <c r="H60" s="207">
        <f t="shared" si="12"/>
        <v>4.000000000000001E-3</v>
      </c>
      <c r="I60" s="207">
        <f t="shared" si="12"/>
        <v>4.000000000000001E-3</v>
      </c>
      <c r="J60" s="207">
        <f t="shared" si="12"/>
        <v>4.000000000000001E-3</v>
      </c>
      <c r="K60" s="207">
        <f t="shared" si="12"/>
        <v>4.000000000000001E-3</v>
      </c>
      <c r="L60" s="207">
        <f t="shared" si="12"/>
        <v>4.000000000000001E-3</v>
      </c>
      <c r="M60" s="207">
        <f t="shared" si="12"/>
        <v>4.000000000000001E-3</v>
      </c>
      <c r="N60" s="207">
        <f t="shared" si="12"/>
        <v>4.000000000000001E-3</v>
      </c>
      <c r="O60" s="207">
        <f t="shared" si="12"/>
        <v>4.000000000000001E-3</v>
      </c>
      <c r="P60" s="369">
        <f t="shared" si="10"/>
        <v>4.0000000000000015E-2</v>
      </c>
      <c r="Q60" s="207"/>
      <c r="R60" s="207"/>
      <c r="S60" s="207"/>
      <c r="T60" s="207"/>
      <c r="U60" s="207"/>
      <c r="V60" s="207"/>
      <c r="W60" s="207"/>
      <c r="X60" s="207"/>
      <c r="Y60" s="207"/>
      <c r="Z60" s="207"/>
      <c r="AA60" s="207"/>
      <c r="AB60" s="207"/>
      <c r="AC60" s="207"/>
      <c r="AD60" s="207"/>
      <c r="AE60" s="207"/>
      <c r="AF60" s="1099"/>
      <c r="AG60" s="72" t="s">
        <v>1124</v>
      </c>
      <c r="AH60" s="1099"/>
      <c r="AI60" s="1099"/>
      <c r="AJ60" s="207"/>
      <c r="AK60" s="207"/>
      <c r="AL60" s="207"/>
      <c r="AM60" s="207"/>
      <c r="AN60" s="207"/>
      <c r="AO60" s="207"/>
      <c r="AP60" s="207"/>
      <c r="AQ60" s="203"/>
      <c r="AR60" s="203"/>
      <c r="AS60" s="203"/>
      <c r="AT60" s="203"/>
      <c r="AU60" s="203"/>
      <c r="AV60" s="203"/>
      <c r="AW60" s="203"/>
      <c r="AX60" s="203"/>
      <c r="AY60" s="203"/>
    </row>
    <row r="61" spans="1:51" s="204" customFormat="1" ht="12.75" customHeight="1">
      <c r="A61" s="832"/>
      <c r="B61" s="832"/>
      <c r="C61" s="208" t="s">
        <v>65</v>
      </c>
      <c r="D61" s="209">
        <f>D45*$B$44/$P$44</f>
        <v>0</v>
      </c>
      <c r="E61" s="209">
        <f t="shared" ref="E61:O61" si="13">E45*$B$44/$P$44</f>
        <v>8.0000000000000015E-4</v>
      </c>
      <c r="F61" s="209">
        <f t="shared" si="13"/>
        <v>0</v>
      </c>
      <c r="G61" s="209">
        <f t="shared" si="13"/>
        <v>0</v>
      </c>
      <c r="H61" s="209">
        <f t="shared" si="13"/>
        <v>0</v>
      </c>
      <c r="I61" s="209">
        <f t="shared" si="13"/>
        <v>0</v>
      </c>
      <c r="J61" s="209">
        <f t="shared" si="13"/>
        <v>0</v>
      </c>
      <c r="K61" s="209">
        <f t="shared" si="13"/>
        <v>0</v>
      </c>
      <c r="L61" s="209">
        <f t="shared" si="13"/>
        <v>0</v>
      </c>
      <c r="M61" s="209">
        <f t="shared" si="13"/>
        <v>0</v>
      </c>
      <c r="N61" s="209">
        <f t="shared" si="13"/>
        <v>0</v>
      </c>
      <c r="O61" s="209">
        <f t="shared" si="13"/>
        <v>0</v>
      </c>
      <c r="P61" s="210">
        <f t="shared" si="10"/>
        <v>8.0000000000000015E-4</v>
      </c>
      <c r="Q61" s="207"/>
      <c r="R61" s="207"/>
      <c r="S61" s="207"/>
      <c r="T61" s="207"/>
      <c r="U61" s="207"/>
      <c r="V61" s="207"/>
      <c r="W61" s="207"/>
      <c r="X61" s="207"/>
      <c r="Y61" s="207"/>
      <c r="Z61" s="207"/>
      <c r="AA61" s="207"/>
      <c r="AB61" s="207"/>
      <c r="AC61" s="207"/>
      <c r="AD61" s="207"/>
      <c r="AE61" s="207"/>
      <c r="AF61" s="1099"/>
      <c r="AG61" s="1097">
        <f>LEN(AG60)</f>
        <v>135</v>
      </c>
      <c r="AH61" s="1099"/>
      <c r="AI61" s="1099"/>
      <c r="AJ61" s="207"/>
      <c r="AK61" s="207"/>
      <c r="AL61" s="207"/>
      <c r="AM61" s="207"/>
      <c r="AN61" s="207"/>
      <c r="AO61" s="207"/>
      <c r="AP61" s="207"/>
      <c r="AQ61" s="203"/>
      <c r="AR61" s="203"/>
      <c r="AS61" s="203"/>
      <c r="AT61" s="203"/>
      <c r="AU61" s="203"/>
      <c r="AV61" s="203"/>
      <c r="AW61" s="203"/>
      <c r="AX61" s="203"/>
      <c r="AY61" s="203"/>
    </row>
    <row r="62" spans="1:51" s="204" customFormat="1" ht="12.75" customHeight="1">
      <c r="A62" s="831" t="str">
        <f>+A46</f>
        <v xml:space="preserve">12. Generar y desarrollar alianzas estratégicas que contribuyan a la implementación de la estrategia de emprendimiento y empleabilidad. </v>
      </c>
      <c r="B62" s="831">
        <f>B46</f>
        <v>0.04</v>
      </c>
      <c r="C62" s="206" t="s">
        <v>61</v>
      </c>
      <c r="D62" s="207">
        <f>D46*$B$46/$P$46</f>
        <v>0</v>
      </c>
      <c r="E62" s="207">
        <f t="shared" ref="E62:O62" si="14">E46*$B$46/$P$46</f>
        <v>2.0000000000000005E-3</v>
      </c>
      <c r="F62" s="207">
        <f t="shared" si="14"/>
        <v>4.000000000000001E-3</v>
      </c>
      <c r="G62" s="207">
        <f t="shared" si="14"/>
        <v>4.000000000000001E-3</v>
      </c>
      <c r="H62" s="207">
        <f t="shared" si="14"/>
        <v>4.000000000000001E-3</v>
      </c>
      <c r="I62" s="207">
        <f t="shared" si="14"/>
        <v>4.000000000000001E-3</v>
      </c>
      <c r="J62" s="207">
        <f t="shared" si="14"/>
        <v>4.000000000000001E-3</v>
      </c>
      <c r="K62" s="207">
        <f t="shared" si="14"/>
        <v>4.000000000000001E-3</v>
      </c>
      <c r="L62" s="207">
        <f t="shared" si="14"/>
        <v>4.000000000000001E-3</v>
      </c>
      <c r="M62" s="207">
        <f t="shared" si="14"/>
        <v>4.000000000000001E-3</v>
      </c>
      <c r="N62" s="207">
        <f t="shared" si="14"/>
        <v>4.000000000000001E-3</v>
      </c>
      <c r="O62" s="207">
        <f t="shared" si="14"/>
        <v>2.0000000000000005E-3</v>
      </c>
      <c r="P62" s="369">
        <f t="shared" ref="P62:P63" si="15">SUM(D62:O62)</f>
        <v>4.0000000000000008E-2</v>
      </c>
      <c r="Q62" s="207"/>
      <c r="R62" s="207"/>
      <c r="S62" s="207"/>
      <c r="T62" s="207"/>
      <c r="U62" s="207"/>
      <c r="V62" s="207"/>
      <c r="W62" s="207"/>
      <c r="X62" s="207"/>
      <c r="Y62" s="207"/>
      <c r="Z62" s="207"/>
      <c r="AA62" s="207"/>
      <c r="AB62" s="207"/>
      <c r="AC62" s="207"/>
      <c r="AD62" s="207"/>
      <c r="AE62" s="207"/>
      <c r="AF62" s="1099"/>
      <c r="AG62" s="1099"/>
      <c r="AH62" s="1099"/>
      <c r="AI62" s="1099"/>
      <c r="AJ62" s="207"/>
      <c r="AK62" s="207"/>
      <c r="AL62" s="207"/>
      <c r="AM62" s="207"/>
      <c r="AN62" s="207"/>
      <c r="AO62" s="207"/>
      <c r="AP62" s="207"/>
      <c r="AQ62" s="203"/>
      <c r="AR62" s="203"/>
      <c r="AS62" s="203"/>
      <c r="AT62" s="203"/>
      <c r="AU62" s="203"/>
      <c r="AV62" s="203"/>
      <c r="AW62" s="203"/>
      <c r="AX62" s="203"/>
      <c r="AY62" s="203"/>
    </row>
    <row r="63" spans="1:51" s="204" customFormat="1" ht="12.75" customHeight="1">
      <c r="A63" s="832"/>
      <c r="B63" s="832"/>
      <c r="C63" s="208" t="s">
        <v>65</v>
      </c>
      <c r="D63" s="209">
        <f>D47*$B$46/$P$46</f>
        <v>0</v>
      </c>
      <c r="E63" s="209">
        <f t="shared" ref="E63:O63" si="16">E47*$B$46/$P$46</f>
        <v>2.0000000000000005E-3</v>
      </c>
      <c r="F63" s="209">
        <f t="shared" si="16"/>
        <v>0</v>
      </c>
      <c r="G63" s="209">
        <f t="shared" si="16"/>
        <v>0</v>
      </c>
      <c r="H63" s="209">
        <f t="shared" si="16"/>
        <v>0</v>
      </c>
      <c r="I63" s="209">
        <f t="shared" si="16"/>
        <v>0</v>
      </c>
      <c r="J63" s="209">
        <f t="shared" si="16"/>
        <v>0</v>
      </c>
      <c r="K63" s="209">
        <f t="shared" si="16"/>
        <v>0</v>
      </c>
      <c r="L63" s="209">
        <f t="shared" si="16"/>
        <v>0</v>
      </c>
      <c r="M63" s="209">
        <f t="shared" si="16"/>
        <v>0</v>
      </c>
      <c r="N63" s="209">
        <f t="shared" si="16"/>
        <v>0</v>
      </c>
      <c r="O63" s="209">
        <f t="shared" si="16"/>
        <v>0</v>
      </c>
      <c r="P63" s="210">
        <f t="shared" si="15"/>
        <v>2.0000000000000005E-3</v>
      </c>
      <c r="Q63" s="207"/>
      <c r="R63" s="207"/>
      <c r="S63" s="207"/>
      <c r="T63" s="207"/>
      <c r="U63" s="207"/>
      <c r="V63" s="207"/>
      <c r="W63" s="207"/>
      <c r="X63" s="207"/>
      <c r="Y63" s="207"/>
      <c r="Z63" s="207"/>
      <c r="AA63" s="207"/>
      <c r="AB63" s="207"/>
      <c r="AC63" s="207"/>
      <c r="AD63" s="207"/>
      <c r="AE63" s="207"/>
      <c r="AF63" s="1099"/>
      <c r="AG63" s="1099"/>
      <c r="AH63" s="1099"/>
      <c r="AI63" s="1099"/>
      <c r="AJ63" s="207"/>
      <c r="AK63" s="207"/>
      <c r="AL63" s="207"/>
      <c r="AM63" s="207"/>
      <c r="AN63" s="207"/>
      <c r="AO63" s="207"/>
      <c r="AP63" s="207"/>
      <c r="AQ63" s="203"/>
      <c r="AR63" s="203"/>
      <c r="AS63" s="203"/>
      <c r="AT63" s="203"/>
      <c r="AU63" s="203"/>
      <c r="AV63" s="203"/>
      <c r="AW63" s="203"/>
      <c r="AX63" s="203"/>
      <c r="AY63" s="203"/>
    </row>
    <row r="64" spans="1:51" s="204" customFormat="1" ht="15.75" customHeight="1">
      <c r="A64" s="207"/>
      <c r="B64" s="207"/>
      <c r="C64" s="211"/>
      <c r="D64" s="212">
        <f>D55+D57+D59+D61+D63</f>
        <v>0</v>
      </c>
      <c r="E64" s="212">
        <f t="shared" ref="E64:O64" si="17">E55+E57+E59+E61+E63</f>
        <v>1.3100000000000004E-2</v>
      </c>
      <c r="F64" s="212">
        <f t="shared" si="17"/>
        <v>0</v>
      </c>
      <c r="G64" s="212">
        <f t="shared" si="17"/>
        <v>0</v>
      </c>
      <c r="H64" s="212">
        <f t="shared" si="17"/>
        <v>0</v>
      </c>
      <c r="I64" s="212">
        <f t="shared" si="17"/>
        <v>0</v>
      </c>
      <c r="J64" s="212">
        <f t="shared" si="17"/>
        <v>0</v>
      </c>
      <c r="K64" s="212">
        <f t="shared" si="17"/>
        <v>0</v>
      </c>
      <c r="L64" s="212">
        <f t="shared" si="17"/>
        <v>0</v>
      </c>
      <c r="M64" s="212">
        <f t="shared" si="17"/>
        <v>0</v>
      </c>
      <c r="N64" s="212">
        <f t="shared" si="17"/>
        <v>0</v>
      </c>
      <c r="O64" s="212">
        <f t="shared" si="17"/>
        <v>0</v>
      </c>
      <c r="P64" s="212">
        <f>P55+P57+P59+P61+P63</f>
        <v>1.3100000000000004E-2</v>
      </c>
      <c r="Q64" s="207"/>
      <c r="R64" s="207"/>
      <c r="S64" s="207"/>
      <c r="T64" s="207"/>
      <c r="U64" s="207"/>
      <c r="V64" s="207"/>
      <c r="W64" s="207"/>
      <c r="X64" s="207"/>
      <c r="Y64" s="207"/>
      <c r="Z64" s="207"/>
      <c r="AA64" s="207"/>
      <c r="AB64" s="207"/>
      <c r="AC64" s="207"/>
      <c r="AD64" s="207"/>
      <c r="AE64" s="207"/>
      <c r="AF64" s="1099"/>
      <c r="AG64" s="1099"/>
      <c r="AH64" s="1099"/>
      <c r="AI64" s="1099"/>
      <c r="AJ64" s="207"/>
      <c r="AK64" s="207"/>
      <c r="AL64" s="207"/>
      <c r="AM64" s="207"/>
      <c r="AN64" s="207"/>
      <c r="AO64" s="207"/>
      <c r="AP64" s="207"/>
      <c r="AQ64" s="203"/>
      <c r="AR64" s="203"/>
      <c r="AS64" s="203"/>
      <c r="AT64" s="203"/>
      <c r="AU64" s="203"/>
      <c r="AV64" s="203"/>
      <c r="AW64" s="203"/>
      <c r="AX64" s="203"/>
      <c r="AY64" s="203"/>
    </row>
    <row r="65" spans="1:51" s="426" customFormat="1" ht="15.75" customHeight="1">
      <c r="A65" s="214"/>
      <c r="B65" s="214"/>
      <c r="C65" s="423" t="s">
        <v>65</v>
      </c>
      <c r="D65" s="424">
        <f>D64*$W$17/$B$34</f>
        <v>0</v>
      </c>
      <c r="E65" s="424">
        <f t="shared" ref="E65:O65" si="18">E64*$W$17/$B$34</f>
        <v>1.0480000000000003E-2</v>
      </c>
      <c r="F65" s="424">
        <f t="shared" si="18"/>
        <v>0</v>
      </c>
      <c r="G65" s="424">
        <f t="shared" si="18"/>
        <v>0</v>
      </c>
      <c r="H65" s="424">
        <f t="shared" si="18"/>
        <v>0</v>
      </c>
      <c r="I65" s="424">
        <f t="shared" si="18"/>
        <v>0</v>
      </c>
      <c r="J65" s="424">
        <f t="shared" si="18"/>
        <v>0</v>
      </c>
      <c r="K65" s="424">
        <f t="shared" si="18"/>
        <v>0</v>
      </c>
      <c r="L65" s="424">
        <f t="shared" si="18"/>
        <v>0</v>
      </c>
      <c r="M65" s="424">
        <f t="shared" si="18"/>
        <v>0</v>
      </c>
      <c r="N65" s="424">
        <f t="shared" si="18"/>
        <v>0</v>
      </c>
      <c r="O65" s="424">
        <f t="shared" si="18"/>
        <v>0</v>
      </c>
      <c r="P65" s="425">
        <f>SUM(D65:O65)</f>
        <v>1.0480000000000003E-2</v>
      </c>
      <c r="Q65" s="213"/>
      <c r="R65" s="214"/>
      <c r="S65" s="214"/>
      <c r="T65" s="214"/>
      <c r="U65" s="214"/>
      <c r="V65" s="214"/>
      <c r="W65" s="214"/>
      <c r="X65" s="214"/>
      <c r="Y65" s="214"/>
      <c r="Z65" s="214"/>
      <c r="AA65" s="214"/>
      <c r="AB65" s="214"/>
      <c r="AC65" s="214"/>
      <c r="AD65" s="214"/>
      <c r="AE65" s="214"/>
      <c r="AF65" s="1098"/>
      <c r="AG65" s="1098"/>
      <c r="AH65" s="1098"/>
      <c r="AI65" s="1098"/>
      <c r="AJ65" s="1092"/>
      <c r="AK65" s="1092"/>
      <c r="AL65" s="1092"/>
      <c r="AM65" s="1092"/>
      <c r="AN65" s="1092"/>
      <c r="AO65" s="214"/>
      <c r="AP65" s="214"/>
      <c r="AQ65" s="214"/>
      <c r="AR65" s="214"/>
      <c r="AS65" s="214"/>
      <c r="AT65" s="214"/>
      <c r="AU65" s="214"/>
      <c r="AV65" s="214"/>
      <c r="AW65" s="214"/>
      <c r="AX65" s="214"/>
      <c r="AY65" s="214"/>
    </row>
    <row r="66" spans="1:51" s="426" customFormat="1" ht="13.5" customHeight="1">
      <c r="A66" s="213"/>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4"/>
      <c r="AE66" s="214"/>
      <c r="AF66" s="1098"/>
      <c r="AG66" s="1098"/>
      <c r="AH66" s="1098"/>
      <c r="AI66" s="1098"/>
      <c r="AJ66" s="1092"/>
      <c r="AK66" s="1092"/>
      <c r="AL66" s="1092"/>
      <c r="AM66" s="1092"/>
      <c r="AN66" s="1092"/>
      <c r="AO66" s="214"/>
      <c r="AP66" s="214"/>
      <c r="AQ66" s="214"/>
      <c r="AR66" s="214"/>
      <c r="AS66" s="214"/>
      <c r="AT66" s="214"/>
      <c r="AU66" s="214"/>
      <c r="AV66" s="214"/>
      <c r="AW66" s="214"/>
      <c r="AX66" s="214"/>
      <c r="AY66" s="214"/>
    </row>
    <row r="67" spans="1:51" s="108" customFormat="1">
      <c r="D67" s="427">
        <f>D54+D56+D58+D60+D62</f>
        <v>0</v>
      </c>
      <c r="E67" s="427">
        <f t="shared" ref="E67:O67" si="19">E54+E56+E58+E60+E62</f>
        <v>1.3000000000000003E-2</v>
      </c>
      <c r="F67" s="427">
        <f t="shared" si="19"/>
        <v>2.5000000000000005E-2</v>
      </c>
      <c r="G67" s="427">
        <f t="shared" si="19"/>
        <v>2.5000000000000005E-2</v>
      </c>
      <c r="H67" s="427">
        <f t="shared" si="19"/>
        <v>2.5000000000000005E-2</v>
      </c>
      <c r="I67" s="427">
        <f t="shared" si="19"/>
        <v>2.5000000000000005E-2</v>
      </c>
      <c r="J67" s="427">
        <f t="shared" si="19"/>
        <v>2.5000000000000005E-2</v>
      </c>
      <c r="K67" s="427">
        <f t="shared" si="19"/>
        <v>2.5000000000000005E-2</v>
      </c>
      <c r="L67" s="427">
        <f t="shared" si="19"/>
        <v>2.5000000000000005E-2</v>
      </c>
      <c r="M67" s="427">
        <f t="shared" si="19"/>
        <v>2.5000000000000005E-2</v>
      </c>
      <c r="N67" s="427">
        <f t="shared" si="19"/>
        <v>2.5000000000000005E-2</v>
      </c>
      <c r="O67" s="427">
        <f t="shared" si="19"/>
        <v>1.2000000000000002E-2</v>
      </c>
      <c r="P67" s="427">
        <f>SUM(D67:O67)</f>
        <v>0.25</v>
      </c>
      <c r="AF67" s="1100"/>
      <c r="AG67" s="1100"/>
      <c r="AH67" s="1100"/>
      <c r="AI67" s="1100"/>
      <c r="AJ67" s="114"/>
      <c r="AK67" s="114"/>
      <c r="AL67" s="114"/>
      <c r="AM67" s="114"/>
      <c r="AN67" s="114"/>
    </row>
    <row r="68" spans="1:51" s="426" customFormat="1" ht="15.75" customHeight="1">
      <c r="A68" s="214"/>
      <c r="B68" s="214"/>
      <c r="C68" s="423" t="s">
        <v>61</v>
      </c>
      <c r="D68" s="424">
        <f>D67*$W$17/$B$34</f>
        <v>0</v>
      </c>
      <c r="E68" s="424">
        <f t="shared" ref="E68:O68" si="20">E67*$W$17/$B$34</f>
        <v>1.0400000000000003E-2</v>
      </c>
      <c r="F68" s="424">
        <f t="shared" si="20"/>
        <v>2.0000000000000004E-2</v>
      </c>
      <c r="G68" s="424">
        <f t="shared" si="20"/>
        <v>2.0000000000000004E-2</v>
      </c>
      <c r="H68" s="424">
        <f t="shared" si="20"/>
        <v>2.0000000000000004E-2</v>
      </c>
      <c r="I68" s="424">
        <f t="shared" si="20"/>
        <v>2.0000000000000004E-2</v>
      </c>
      <c r="J68" s="424">
        <f t="shared" si="20"/>
        <v>2.0000000000000004E-2</v>
      </c>
      <c r="K68" s="424">
        <f t="shared" si="20"/>
        <v>2.0000000000000004E-2</v>
      </c>
      <c r="L68" s="424">
        <f t="shared" si="20"/>
        <v>2.0000000000000004E-2</v>
      </c>
      <c r="M68" s="424">
        <f t="shared" si="20"/>
        <v>2.0000000000000004E-2</v>
      </c>
      <c r="N68" s="424">
        <f t="shared" si="20"/>
        <v>2.0000000000000004E-2</v>
      </c>
      <c r="O68" s="424">
        <f t="shared" si="20"/>
        <v>9.6000000000000026E-3</v>
      </c>
      <c r="P68" s="425">
        <f>SUM(D68:O68)</f>
        <v>0.20000000000000007</v>
      </c>
      <c r="Q68" s="213"/>
      <c r="R68" s="214"/>
      <c r="S68" s="214"/>
      <c r="T68" s="214"/>
      <c r="U68" s="214"/>
      <c r="V68" s="214"/>
      <c r="W68" s="214"/>
      <c r="X68" s="214"/>
      <c r="Y68" s="214"/>
      <c r="Z68" s="214"/>
      <c r="AA68" s="214"/>
      <c r="AB68" s="214"/>
      <c r="AC68" s="214"/>
      <c r="AD68" s="214"/>
      <c r="AE68" s="214"/>
      <c r="AF68" s="1098"/>
      <c r="AG68" s="1098"/>
      <c r="AH68" s="1098"/>
      <c r="AI68" s="1098"/>
      <c r="AJ68" s="1092"/>
      <c r="AK68" s="1092"/>
      <c r="AL68" s="1092"/>
      <c r="AM68" s="1092"/>
      <c r="AN68" s="1092"/>
      <c r="AO68" s="214"/>
      <c r="AP68" s="214"/>
      <c r="AQ68" s="214"/>
      <c r="AR68" s="214"/>
      <c r="AS68" s="214"/>
      <c r="AT68" s="214"/>
      <c r="AU68" s="214"/>
      <c r="AV68" s="214"/>
      <c r="AW68" s="214"/>
      <c r="AX68" s="214"/>
      <c r="AY68" s="214"/>
    </row>
  </sheetData>
  <mergeCells count="96">
    <mergeCell ref="A58:A59"/>
    <mergeCell ref="B58:B59"/>
    <mergeCell ref="A52:A53"/>
    <mergeCell ref="B52:B53"/>
    <mergeCell ref="A46:A47"/>
    <mergeCell ref="B46:B47"/>
    <mergeCell ref="A42:A43"/>
    <mergeCell ref="B42:B43"/>
    <mergeCell ref="A54:A55"/>
    <mergeCell ref="B54:B55"/>
    <mergeCell ref="A56:A57"/>
    <mergeCell ref="B56:B57"/>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Q46:AD47"/>
    <mergeCell ref="Q42:AD43"/>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s>
  <dataValidations count="3">
    <dataValidation type="textLength" operator="lessThanOrEqual" allowBlank="1" showInputMessage="1" showErrorMessage="1" errorTitle="Máximo 2.000 caracteres" error="Máximo 2.000 caracteres" sqref="W34 AA34 Q34 Q38:AD47"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D38D317C-C352-42BC-BA6C-7A0245C01227}">
      <formula1>2000</formula1>
    </dataValidation>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D19E3A7A-625A-4028-A70C-DF4B4E8F8D3F}">
      <formula1>$C$21:$N$21</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Y65"/>
  <sheetViews>
    <sheetView showGridLines="0" tabSelected="1" view="pageBreakPreview" topLeftCell="T36" zoomScale="70" zoomScaleNormal="75" zoomScaleSheetLayoutView="70" workbookViewId="0">
      <selection activeCell="AG39" sqref="AG39"/>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637"/>
      <c r="B1" s="640" t="s">
        <v>0</v>
      </c>
      <c r="C1" s="641"/>
      <c r="D1" s="641"/>
      <c r="E1" s="641"/>
      <c r="F1" s="641"/>
      <c r="G1" s="641"/>
      <c r="H1" s="641"/>
      <c r="I1" s="641"/>
      <c r="J1" s="641"/>
      <c r="K1" s="641"/>
      <c r="L1" s="641"/>
      <c r="M1" s="641"/>
      <c r="N1" s="641"/>
      <c r="O1" s="641"/>
      <c r="P1" s="641"/>
      <c r="Q1" s="641"/>
      <c r="R1" s="641"/>
      <c r="S1" s="641"/>
      <c r="T1" s="641"/>
      <c r="U1" s="641"/>
      <c r="V1" s="641"/>
      <c r="W1" s="641"/>
      <c r="X1" s="641"/>
      <c r="Y1" s="641"/>
      <c r="Z1" s="641"/>
      <c r="AA1" s="642"/>
      <c r="AB1" s="821" t="s">
        <v>1</v>
      </c>
      <c r="AC1" s="822"/>
      <c r="AD1" s="823"/>
    </row>
    <row r="2" spans="1:30" ht="30.75" customHeight="1">
      <c r="A2" s="638"/>
      <c r="B2" s="646" t="s">
        <v>2</v>
      </c>
      <c r="C2" s="647"/>
      <c r="D2" s="647"/>
      <c r="E2" s="647"/>
      <c r="F2" s="647"/>
      <c r="G2" s="647"/>
      <c r="H2" s="647"/>
      <c r="I2" s="647"/>
      <c r="J2" s="647"/>
      <c r="K2" s="647"/>
      <c r="L2" s="647"/>
      <c r="M2" s="647"/>
      <c r="N2" s="647"/>
      <c r="O2" s="647"/>
      <c r="P2" s="647"/>
      <c r="Q2" s="647"/>
      <c r="R2" s="647"/>
      <c r="S2" s="647"/>
      <c r="T2" s="647"/>
      <c r="U2" s="647"/>
      <c r="V2" s="647"/>
      <c r="W2" s="647"/>
      <c r="X2" s="647"/>
      <c r="Y2" s="647"/>
      <c r="Z2" s="647"/>
      <c r="AA2" s="648"/>
      <c r="AB2" s="824" t="s">
        <v>3</v>
      </c>
      <c r="AC2" s="825"/>
      <c r="AD2" s="826"/>
    </row>
    <row r="3" spans="1:30" ht="24" customHeight="1">
      <c r="A3" s="638"/>
      <c r="B3" s="652" t="s">
        <v>4</v>
      </c>
      <c r="C3" s="653"/>
      <c r="D3" s="653"/>
      <c r="E3" s="653"/>
      <c r="F3" s="653"/>
      <c r="G3" s="653"/>
      <c r="H3" s="653"/>
      <c r="I3" s="653"/>
      <c r="J3" s="653"/>
      <c r="K3" s="653"/>
      <c r="L3" s="653"/>
      <c r="M3" s="653"/>
      <c r="N3" s="653"/>
      <c r="O3" s="653"/>
      <c r="P3" s="653"/>
      <c r="Q3" s="653"/>
      <c r="R3" s="653"/>
      <c r="S3" s="653"/>
      <c r="T3" s="653"/>
      <c r="U3" s="653"/>
      <c r="V3" s="653"/>
      <c r="W3" s="653"/>
      <c r="X3" s="653"/>
      <c r="Y3" s="653"/>
      <c r="Z3" s="653"/>
      <c r="AA3" s="654"/>
      <c r="AB3" s="824" t="s">
        <v>5</v>
      </c>
      <c r="AC3" s="825"/>
      <c r="AD3" s="826"/>
    </row>
    <row r="4" spans="1:30" ht="21.95" customHeight="1" thickBot="1">
      <c r="A4" s="639"/>
      <c r="B4" s="655"/>
      <c r="C4" s="656"/>
      <c r="D4" s="656"/>
      <c r="E4" s="656"/>
      <c r="F4" s="656"/>
      <c r="G4" s="656"/>
      <c r="H4" s="656"/>
      <c r="I4" s="656"/>
      <c r="J4" s="656"/>
      <c r="K4" s="656"/>
      <c r="L4" s="656"/>
      <c r="M4" s="656"/>
      <c r="N4" s="656"/>
      <c r="O4" s="656"/>
      <c r="P4" s="656"/>
      <c r="Q4" s="656"/>
      <c r="R4" s="656"/>
      <c r="S4" s="656"/>
      <c r="T4" s="656"/>
      <c r="U4" s="656"/>
      <c r="V4" s="656"/>
      <c r="W4" s="656"/>
      <c r="X4" s="656"/>
      <c r="Y4" s="656"/>
      <c r="Z4" s="656"/>
      <c r="AA4" s="657"/>
      <c r="AB4" s="818" t="s">
        <v>6</v>
      </c>
      <c r="AC4" s="819"/>
      <c r="AD4" s="820"/>
    </row>
    <row r="5" spans="1:30" ht="9" customHeight="1" thickBot="1">
      <c r="A5" s="51"/>
      <c r="B5" s="52"/>
      <c r="C5" s="53"/>
      <c r="D5" s="437"/>
      <c r="E5" s="437"/>
      <c r="F5" s="437"/>
      <c r="G5" s="437"/>
      <c r="H5" s="437"/>
      <c r="I5" s="437"/>
      <c r="J5" s="437"/>
      <c r="K5" s="437"/>
      <c r="L5" s="437"/>
      <c r="M5" s="437"/>
      <c r="N5" s="437"/>
      <c r="O5" s="437"/>
      <c r="P5" s="437"/>
      <c r="Q5" s="437"/>
      <c r="R5" s="437"/>
      <c r="S5" s="437"/>
      <c r="T5" s="437"/>
      <c r="U5" s="437"/>
      <c r="V5" s="437"/>
      <c r="W5" s="437"/>
      <c r="X5" s="437"/>
      <c r="Y5" s="437"/>
      <c r="Z5" s="438"/>
      <c r="AA5" s="437"/>
      <c r="AB5" s="56"/>
      <c r="AC5" s="57"/>
      <c r="AD5" s="58"/>
    </row>
    <row r="6" spans="1:30" ht="9" customHeight="1" thickBot="1">
      <c r="A6" s="59"/>
      <c r="B6" s="437"/>
      <c r="C6" s="437"/>
      <c r="D6" s="437"/>
      <c r="E6" s="437"/>
      <c r="F6" s="437"/>
      <c r="G6" s="437"/>
      <c r="H6" s="437"/>
      <c r="I6" s="437"/>
      <c r="J6" s="437"/>
      <c r="K6" s="437"/>
      <c r="L6" s="437"/>
      <c r="M6" s="437"/>
      <c r="N6" s="437"/>
      <c r="O6" s="437"/>
      <c r="P6" s="437"/>
      <c r="Q6" s="437"/>
      <c r="R6" s="437"/>
      <c r="S6" s="437"/>
      <c r="T6" s="437"/>
      <c r="U6" s="437"/>
      <c r="V6" s="437"/>
      <c r="W6" s="437"/>
      <c r="X6" s="437"/>
      <c r="Y6" s="437"/>
      <c r="Z6" s="438"/>
      <c r="AA6" s="437"/>
      <c r="AB6" s="437"/>
      <c r="AC6" s="439"/>
      <c r="AD6" s="61"/>
    </row>
    <row r="7" spans="1:30">
      <c r="A7" s="661" t="s">
        <v>7</v>
      </c>
      <c r="B7" s="662"/>
      <c r="C7" s="815" t="s">
        <v>30</v>
      </c>
      <c r="D7" s="661" t="s">
        <v>8</v>
      </c>
      <c r="E7" s="673"/>
      <c r="F7" s="673"/>
      <c r="G7" s="673"/>
      <c r="H7" s="662"/>
      <c r="I7" s="676">
        <v>44624</v>
      </c>
      <c r="J7" s="677"/>
      <c r="K7" s="661" t="s">
        <v>9</v>
      </c>
      <c r="L7" s="662"/>
      <c r="M7" s="682" t="s">
        <v>10</v>
      </c>
      <c r="N7" s="683"/>
      <c r="O7" s="687"/>
      <c r="P7" s="688"/>
      <c r="Q7" s="437"/>
      <c r="R7" s="437"/>
      <c r="S7" s="437"/>
      <c r="T7" s="437"/>
      <c r="U7" s="437"/>
      <c r="V7" s="437"/>
      <c r="W7" s="437"/>
      <c r="X7" s="437"/>
      <c r="Y7" s="437"/>
      <c r="Z7" s="438"/>
      <c r="AA7" s="437"/>
      <c r="AB7" s="437"/>
      <c r="AC7" s="439"/>
      <c r="AD7" s="61"/>
    </row>
    <row r="8" spans="1:30">
      <c r="A8" s="663"/>
      <c r="B8" s="664"/>
      <c r="C8" s="816"/>
      <c r="D8" s="663"/>
      <c r="E8" s="674"/>
      <c r="F8" s="674"/>
      <c r="G8" s="674"/>
      <c r="H8" s="664"/>
      <c r="I8" s="678"/>
      <c r="J8" s="679"/>
      <c r="K8" s="663"/>
      <c r="L8" s="664"/>
      <c r="M8" s="689" t="s">
        <v>12</v>
      </c>
      <c r="N8" s="690"/>
      <c r="O8" s="691"/>
      <c r="P8" s="692"/>
      <c r="Q8" s="437"/>
      <c r="R8" s="437"/>
      <c r="S8" s="437"/>
      <c r="T8" s="437"/>
      <c r="U8" s="437"/>
      <c r="V8" s="437"/>
      <c r="W8" s="437"/>
      <c r="X8" s="437"/>
      <c r="Y8" s="437"/>
      <c r="Z8" s="438"/>
      <c r="AA8" s="437"/>
      <c r="AB8" s="437"/>
      <c r="AC8" s="439"/>
      <c r="AD8" s="61"/>
    </row>
    <row r="9" spans="1:30" ht="15.75" thickBot="1">
      <c r="A9" s="665"/>
      <c r="B9" s="666"/>
      <c r="C9" s="817"/>
      <c r="D9" s="665"/>
      <c r="E9" s="675"/>
      <c r="F9" s="675"/>
      <c r="G9" s="675"/>
      <c r="H9" s="666"/>
      <c r="I9" s="680"/>
      <c r="J9" s="681"/>
      <c r="K9" s="665"/>
      <c r="L9" s="666"/>
      <c r="M9" s="693" t="s">
        <v>13</v>
      </c>
      <c r="N9" s="694"/>
      <c r="O9" s="695" t="s">
        <v>11</v>
      </c>
      <c r="P9" s="696"/>
      <c r="Q9" s="437"/>
      <c r="R9" s="437"/>
      <c r="S9" s="437"/>
      <c r="T9" s="437"/>
      <c r="U9" s="437"/>
      <c r="V9" s="437"/>
      <c r="W9" s="437"/>
      <c r="X9" s="437"/>
      <c r="Y9" s="437"/>
      <c r="Z9" s="438"/>
      <c r="AA9" s="437"/>
      <c r="AB9" s="437"/>
      <c r="AC9" s="439"/>
      <c r="AD9" s="61"/>
    </row>
    <row r="10" spans="1:30" ht="15" customHeight="1" thickBot="1">
      <c r="A10" s="161"/>
      <c r="B10" s="440"/>
      <c r="C10" s="440"/>
      <c r="D10" s="566"/>
      <c r="E10" s="566"/>
      <c r="F10" s="566"/>
      <c r="G10" s="566"/>
      <c r="H10" s="566"/>
      <c r="I10" s="442"/>
      <c r="J10" s="442"/>
      <c r="K10" s="566"/>
      <c r="L10" s="566"/>
      <c r="M10" s="443"/>
      <c r="N10" s="443"/>
      <c r="O10" s="444"/>
      <c r="P10" s="444"/>
      <c r="Q10" s="440"/>
      <c r="R10" s="440"/>
      <c r="S10" s="440"/>
      <c r="T10" s="440"/>
      <c r="U10" s="440"/>
      <c r="V10" s="440"/>
      <c r="W10" s="440"/>
      <c r="X10" s="440"/>
      <c r="Y10" s="440"/>
      <c r="Z10" s="445"/>
      <c r="AA10" s="440"/>
      <c r="AB10" s="440"/>
      <c r="AC10" s="446"/>
      <c r="AD10" s="162"/>
    </row>
    <row r="11" spans="1:30" ht="15" customHeight="1">
      <c r="A11" s="661" t="s">
        <v>14</v>
      </c>
      <c r="B11" s="662"/>
      <c r="C11" s="667" t="s">
        <v>15</v>
      </c>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9"/>
    </row>
    <row r="12" spans="1:30" ht="15" customHeight="1">
      <c r="A12" s="663"/>
      <c r="B12" s="664"/>
      <c r="C12" s="652"/>
      <c r="D12" s="653"/>
      <c r="E12" s="653"/>
      <c r="F12" s="653"/>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4"/>
    </row>
    <row r="13" spans="1:30" ht="15" customHeight="1" thickBot="1">
      <c r="A13" s="665"/>
      <c r="B13" s="666"/>
      <c r="C13" s="655"/>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7"/>
    </row>
    <row r="14" spans="1:30" ht="9" customHeight="1" thickBot="1">
      <c r="A14" s="67"/>
      <c r="B14" s="68"/>
      <c r="C14" s="447"/>
      <c r="D14" s="447"/>
      <c r="E14" s="447"/>
      <c r="F14" s="447"/>
      <c r="G14" s="447"/>
      <c r="H14" s="447"/>
      <c r="I14" s="447"/>
      <c r="J14" s="447"/>
      <c r="K14" s="447"/>
      <c r="L14" s="447"/>
      <c r="M14" s="448"/>
      <c r="N14" s="448"/>
      <c r="O14" s="448"/>
      <c r="P14" s="448"/>
      <c r="Q14" s="448"/>
      <c r="R14" s="449"/>
      <c r="S14" s="449"/>
      <c r="T14" s="449"/>
      <c r="U14" s="449"/>
      <c r="V14" s="449"/>
      <c r="W14" s="449"/>
      <c r="X14" s="449"/>
      <c r="Y14" s="566"/>
      <c r="Z14" s="566"/>
      <c r="AA14" s="566"/>
      <c r="AB14" s="566"/>
      <c r="AC14" s="566"/>
      <c r="AD14" s="567"/>
    </row>
    <row r="15" spans="1:30" ht="39" customHeight="1" thickBot="1">
      <c r="A15" s="697" t="s">
        <v>16</v>
      </c>
      <c r="B15" s="698"/>
      <c r="C15" s="684" t="s">
        <v>17</v>
      </c>
      <c r="D15" s="685"/>
      <c r="E15" s="685"/>
      <c r="F15" s="685"/>
      <c r="G15" s="685"/>
      <c r="H15" s="685"/>
      <c r="I15" s="685"/>
      <c r="J15" s="685"/>
      <c r="K15" s="686"/>
      <c r="L15" s="699" t="s">
        <v>18</v>
      </c>
      <c r="M15" s="700"/>
      <c r="N15" s="700"/>
      <c r="O15" s="700"/>
      <c r="P15" s="700"/>
      <c r="Q15" s="701"/>
      <c r="R15" s="702" t="s">
        <v>19</v>
      </c>
      <c r="S15" s="703"/>
      <c r="T15" s="703"/>
      <c r="U15" s="703"/>
      <c r="V15" s="703"/>
      <c r="W15" s="703"/>
      <c r="X15" s="704"/>
      <c r="Y15" s="699" t="s">
        <v>20</v>
      </c>
      <c r="Z15" s="701"/>
      <c r="AA15" s="684" t="s">
        <v>21</v>
      </c>
      <c r="AB15" s="685"/>
      <c r="AC15" s="685"/>
      <c r="AD15" s="686"/>
    </row>
    <row r="16" spans="1:30" ht="9" customHeight="1" thickBot="1">
      <c r="A16" s="59"/>
      <c r="B16" s="437"/>
      <c r="C16" s="707"/>
      <c r="D16" s="707"/>
      <c r="E16" s="707"/>
      <c r="F16" s="707"/>
      <c r="G16" s="707"/>
      <c r="H16" s="707"/>
      <c r="I16" s="707"/>
      <c r="J16" s="707"/>
      <c r="K16" s="707"/>
      <c r="L16" s="707"/>
      <c r="M16" s="707"/>
      <c r="N16" s="707"/>
      <c r="O16" s="707"/>
      <c r="P16" s="707"/>
      <c r="Q16" s="707"/>
      <c r="R16" s="707"/>
      <c r="S16" s="707"/>
      <c r="T16" s="707"/>
      <c r="U16" s="707"/>
      <c r="V16" s="707"/>
      <c r="W16" s="707"/>
      <c r="X16" s="707"/>
      <c r="Y16" s="707"/>
      <c r="Z16" s="707"/>
      <c r="AA16" s="707"/>
      <c r="AB16" s="707"/>
      <c r="AC16" s="73"/>
      <c r="AD16" s="74"/>
    </row>
    <row r="17" spans="1:41" s="76" customFormat="1" ht="37.5" customHeight="1" thickBot="1">
      <c r="A17" s="697" t="s">
        <v>22</v>
      </c>
      <c r="B17" s="698"/>
      <c r="C17" s="810" t="s">
        <v>102</v>
      </c>
      <c r="D17" s="811"/>
      <c r="E17" s="811"/>
      <c r="F17" s="811"/>
      <c r="G17" s="811"/>
      <c r="H17" s="811"/>
      <c r="I17" s="811"/>
      <c r="J17" s="811"/>
      <c r="K17" s="811"/>
      <c r="L17" s="811"/>
      <c r="M17" s="811"/>
      <c r="N17" s="811"/>
      <c r="O17" s="811"/>
      <c r="P17" s="811"/>
      <c r="Q17" s="812"/>
      <c r="R17" s="699" t="s">
        <v>24</v>
      </c>
      <c r="S17" s="700"/>
      <c r="T17" s="700"/>
      <c r="U17" s="700"/>
      <c r="V17" s="701"/>
      <c r="W17" s="813">
        <v>1</v>
      </c>
      <c r="X17" s="814"/>
      <c r="Y17" s="700" t="s">
        <v>25</v>
      </c>
      <c r="Z17" s="700"/>
      <c r="AA17" s="700"/>
      <c r="AB17" s="701"/>
      <c r="AC17" s="713">
        <v>0.35</v>
      </c>
      <c r="AD17" s="714"/>
    </row>
    <row r="18" spans="1:41" ht="16.5" customHeight="1" thickBot="1">
      <c r="A18" s="77"/>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79"/>
    </row>
    <row r="19" spans="1:41" ht="32.1" customHeight="1" thickBot="1">
      <c r="A19" s="699" t="s">
        <v>26</v>
      </c>
      <c r="B19" s="700"/>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1"/>
      <c r="AE19" s="83"/>
      <c r="AF19" s="83"/>
    </row>
    <row r="20" spans="1:41" ht="32.1" customHeight="1" thickBot="1">
      <c r="A20" s="82"/>
      <c r="B20" s="439"/>
      <c r="C20" s="699" t="s">
        <v>27</v>
      </c>
      <c r="D20" s="700"/>
      <c r="E20" s="700"/>
      <c r="F20" s="700"/>
      <c r="G20" s="700"/>
      <c r="H20" s="700"/>
      <c r="I20" s="700"/>
      <c r="J20" s="700"/>
      <c r="K20" s="700"/>
      <c r="L20" s="700"/>
      <c r="M20" s="700"/>
      <c r="N20" s="700"/>
      <c r="O20" s="700"/>
      <c r="P20" s="701"/>
      <c r="Q20" s="807" t="s">
        <v>28</v>
      </c>
      <c r="R20" s="808"/>
      <c r="S20" s="808"/>
      <c r="T20" s="808"/>
      <c r="U20" s="808"/>
      <c r="V20" s="808"/>
      <c r="W20" s="808"/>
      <c r="X20" s="808"/>
      <c r="Y20" s="808"/>
      <c r="Z20" s="808"/>
      <c r="AA20" s="808"/>
      <c r="AB20" s="808"/>
      <c r="AC20" s="808"/>
      <c r="AD20" s="809"/>
      <c r="AE20" s="83"/>
      <c r="AF20" s="83"/>
    </row>
    <row r="21" spans="1:41" ht="32.1" customHeight="1" thickBot="1">
      <c r="A21" s="59"/>
      <c r="B21" s="437"/>
      <c r="C21" s="569" t="s">
        <v>29</v>
      </c>
      <c r="D21" s="570" t="s">
        <v>30</v>
      </c>
      <c r="E21" s="570" t="s">
        <v>31</v>
      </c>
      <c r="F21" s="570" t="s">
        <v>32</v>
      </c>
      <c r="G21" s="570" t="s">
        <v>33</v>
      </c>
      <c r="H21" s="570" t="s">
        <v>34</v>
      </c>
      <c r="I21" s="570" t="s">
        <v>35</v>
      </c>
      <c r="J21" s="570" t="s">
        <v>36</v>
      </c>
      <c r="K21" s="570" t="s">
        <v>37</v>
      </c>
      <c r="L21" s="570" t="s">
        <v>38</v>
      </c>
      <c r="M21" s="570" t="s">
        <v>39</v>
      </c>
      <c r="N21" s="570" t="s">
        <v>40</v>
      </c>
      <c r="O21" s="570" t="s">
        <v>41</v>
      </c>
      <c r="P21" s="571" t="s">
        <v>42</v>
      </c>
      <c r="Q21" s="569" t="s">
        <v>29</v>
      </c>
      <c r="R21" s="570" t="s">
        <v>30</v>
      </c>
      <c r="S21" s="570" t="s">
        <v>31</v>
      </c>
      <c r="T21" s="570" t="s">
        <v>32</v>
      </c>
      <c r="U21" s="570" t="s">
        <v>33</v>
      </c>
      <c r="V21" s="570" t="s">
        <v>34</v>
      </c>
      <c r="W21" s="570" t="s">
        <v>35</v>
      </c>
      <c r="X21" s="570" t="s">
        <v>36</v>
      </c>
      <c r="Y21" s="570" t="s">
        <v>37</v>
      </c>
      <c r="Z21" s="570" t="s">
        <v>38</v>
      </c>
      <c r="AA21" s="570" t="s">
        <v>39</v>
      </c>
      <c r="AB21" s="570" t="s">
        <v>40</v>
      </c>
      <c r="AC21" s="570" t="s">
        <v>41</v>
      </c>
      <c r="AD21" s="571" t="s">
        <v>42</v>
      </c>
      <c r="AE21" s="3"/>
      <c r="AF21" s="3"/>
    </row>
    <row r="22" spans="1:41" ht="32.1" customHeight="1">
      <c r="A22" s="718" t="s">
        <v>43</v>
      </c>
      <c r="B22" s="782"/>
      <c r="C22" s="167">
        <v>0</v>
      </c>
      <c r="D22" s="166">
        <v>0</v>
      </c>
      <c r="E22" s="166">
        <v>0</v>
      </c>
      <c r="F22" s="166">
        <v>0</v>
      </c>
      <c r="G22" s="166">
        <v>0</v>
      </c>
      <c r="H22" s="166">
        <v>0</v>
      </c>
      <c r="I22" s="166">
        <v>0</v>
      </c>
      <c r="J22" s="166">
        <v>0</v>
      </c>
      <c r="K22" s="166">
        <v>0</v>
      </c>
      <c r="L22" s="166">
        <v>0</v>
      </c>
      <c r="M22" s="166">
        <v>0</v>
      </c>
      <c r="N22" s="166">
        <v>0</v>
      </c>
      <c r="O22" s="166">
        <f>SUM(C22:N22)</f>
        <v>0</v>
      </c>
      <c r="P22" s="390"/>
      <c r="Q22" s="219">
        <v>1230000000</v>
      </c>
      <c r="R22" s="166">
        <v>0</v>
      </c>
      <c r="S22" s="166">
        <v>0</v>
      </c>
      <c r="T22" s="166">
        <v>0</v>
      </c>
      <c r="U22" s="166">
        <v>0</v>
      </c>
      <c r="V22" s="166">
        <v>0</v>
      </c>
      <c r="W22" s="166">
        <v>0</v>
      </c>
      <c r="X22" s="166">
        <v>0</v>
      </c>
      <c r="Y22" s="166">
        <v>0</v>
      </c>
      <c r="Z22" s="166">
        <v>0</v>
      </c>
      <c r="AA22" s="166">
        <v>0</v>
      </c>
      <c r="AB22" s="166">
        <v>0</v>
      </c>
      <c r="AC22" s="377">
        <f>SUM(Q22:AB22)</f>
        <v>1230000000</v>
      </c>
      <c r="AD22" s="170"/>
      <c r="AE22" s="3"/>
      <c r="AF22" s="3"/>
    </row>
    <row r="23" spans="1:41" ht="32.1" customHeight="1">
      <c r="A23" s="705" t="s">
        <v>44</v>
      </c>
      <c r="B23" s="732"/>
      <c r="C23" s="167">
        <v>0</v>
      </c>
      <c r="D23" s="166">
        <v>0</v>
      </c>
      <c r="E23" s="166">
        <v>0</v>
      </c>
      <c r="F23" s="166">
        <v>0</v>
      </c>
      <c r="G23" s="166">
        <v>0</v>
      </c>
      <c r="H23" s="166">
        <v>0</v>
      </c>
      <c r="I23" s="166">
        <v>0</v>
      </c>
      <c r="J23" s="166">
        <v>0</v>
      </c>
      <c r="K23" s="166">
        <v>0</v>
      </c>
      <c r="L23" s="166">
        <v>0</v>
      </c>
      <c r="M23" s="166">
        <v>0</v>
      </c>
      <c r="N23" s="166">
        <v>0</v>
      </c>
      <c r="O23" s="163">
        <f>SUM(C23:N23)</f>
        <v>0</v>
      </c>
      <c r="P23" s="168" t="str">
        <f>IFERROR(O23/(SUMIF(C23:N23,"&gt;0",C22:N22))," ")</f>
        <v xml:space="preserve"> </v>
      </c>
      <c r="Q23" s="219">
        <v>1230000000</v>
      </c>
      <c r="R23" s="166">
        <v>0</v>
      </c>
      <c r="S23" s="166">
        <v>0</v>
      </c>
      <c r="T23" s="166">
        <v>0</v>
      </c>
      <c r="U23" s="166">
        <v>0</v>
      </c>
      <c r="V23" s="166">
        <v>0</v>
      </c>
      <c r="W23" s="166">
        <v>0</v>
      </c>
      <c r="X23" s="166">
        <v>0</v>
      </c>
      <c r="Y23" s="166">
        <v>0</v>
      </c>
      <c r="Z23" s="166">
        <v>0</v>
      </c>
      <c r="AA23" s="166">
        <v>0</v>
      </c>
      <c r="AB23" s="166">
        <v>0</v>
      </c>
      <c r="AC23" s="166">
        <v>0</v>
      </c>
      <c r="AD23" s="168">
        <f>IFERROR(AC23/(SUMIF(Q23:AB23,"&gt;0",Q22:AB22))," ")</f>
        <v>0</v>
      </c>
      <c r="AE23" s="3"/>
      <c r="AF23" s="3"/>
    </row>
    <row r="24" spans="1:41" ht="32.1" customHeight="1">
      <c r="A24" s="705" t="s">
        <v>45</v>
      </c>
      <c r="B24" s="732"/>
      <c r="C24" s="167">
        <v>0</v>
      </c>
      <c r="D24" s="166">
        <v>0</v>
      </c>
      <c r="E24" s="166">
        <v>0</v>
      </c>
      <c r="F24" s="166">
        <v>0</v>
      </c>
      <c r="G24" s="166">
        <v>0</v>
      </c>
      <c r="H24" s="166">
        <v>0</v>
      </c>
      <c r="I24" s="166">
        <v>0</v>
      </c>
      <c r="J24" s="166">
        <v>0</v>
      </c>
      <c r="K24" s="166">
        <v>0</v>
      </c>
      <c r="L24" s="166">
        <v>0</v>
      </c>
      <c r="M24" s="166">
        <v>0</v>
      </c>
      <c r="N24" s="166">
        <v>0</v>
      </c>
      <c r="O24" s="163">
        <f>SUM(C24:N24)</f>
        <v>0</v>
      </c>
      <c r="P24" s="391"/>
      <c r="Q24" s="164">
        <v>0</v>
      </c>
      <c r="R24" s="377">
        <v>4666666.666666667</v>
      </c>
      <c r="S24" s="377">
        <v>14000000</v>
      </c>
      <c r="T24" s="377">
        <v>14000000</v>
      </c>
      <c r="U24" s="377">
        <v>14000000</v>
      </c>
      <c r="V24" s="377">
        <v>14000000</v>
      </c>
      <c r="W24" s="377">
        <v>167714285.7142857</v>
      </c>
      <c r="X24" s="377">
        <v>167714285.7142857</v>
      </c>
      <c r="Y24" s="377">
        <v>167714285.7142857</v>
      </c>
      <c r="Z24" s="377">
        <v>167714285.7142857</v>
      </c>
      <c r="AA24" s="377">
        <v>167714285.7142857</v>
      </c>
      <c r="AB24" s="377">
        <f>167714285.714286+163047619.047619</f>
        <v>330761904.76190495</v>
      </c>
      <c r="AC24" s="377">
        <f>SUM(Q24:AB24)</f>
        <v>1230000000.0000002</v>
      </c>
      <c r="AD24" s="168"/>
      <c r="AE24" s="3"/>
      <c r="AF24" s="3"/>
    </row>
    <row r="25" spans="1:41" ht="32.1" customHeight="1" thickBot="1">
      <c r="A25" s="720" t="s">
        <v>46</v>
      </c>
      <c r="B25" s="806"/>
      <c r="C25" s="387">
        <v>0</v>
      </c>
      <c r="D25" s="388">
        <v>0</v>
      </c>
      <c r="E25" s="388">
        <v>0</v>
      </c>
      <c r="F25" s="388">
        <v>0</v>
      </c>
      <c r="G25" s="388">
        <v>0</v>
      </c>
      <c r="H25" s="388">
        <v>0</v>
      </c>
      <c r="I25" s="388">
        <v>0</v>
      </c>
      <c r="J25" s="388">
        <v>0</v>
      </c>
      <c r="K25" s="388">
        <v>0</v>
      </c>
      <c r="L25" s="388">
        <v>0</v>
      </c>
      <c r="M25" s="388">
        <v>0</v>
      </c>
      <c r="N25" s="388">
        <v>0</v>
      </c>
      <c r="O25" s="165">
        <f>SUM(C25:N25)</f>
        <v>0</v>
      </c>
      <c r="P25" s="169" t="str">
        <f>IFERROR(O25/(SUMIF(C25:N25,"&gt;0",C24:N24))," ")</f>
        <v xml:space="preserve"> </v>
      </c>
      <c r="Q25" s="529">
        <v>0</v>
      </c>
      <c r="R25" s="499">
        <v>0</v>
      </c>
      <c r="S25" s="388">
        <v>0</v>
      </c>
      <c r="T25" s="388">
        <v>0</v>
      </c>
      <c r="U25" s="388">
        <v>0</v>
      </c>
      <c r="V25" s="388">
        <v>0</v>
      </c>
      <c r="W25" s="388">
        <v>0</v>
      </c>
      <c r="X25" s="388">
        <v>0</v>
      </c>
      <c r="Y25" s="388">
        <v>0</v>
      </c>
      <c r="Z25" s="388">
        <v>0</v>
      </c>
      <c r="AA25" s="388">
        <v>0</v>
      </c>
      <c r="AB25" s="388">
        <v>0</v>
      </c>
      <c r="AC25" s="388">
        <v>0</v>
      </c>
      <c r="AD25" s="169" t="str">
        <f>IFERROR(AC25/(SUMIF(Q25:AB25,"&gt;0",Q24:AB24))," ")</f>
        <v xml:space="preserve"> </v>
      </c>
      <c r="AE25" s="3"/>
      <c r="AF25" s="3"/>
    </row>
    <row r="26" spans="1:41" ht="32.1" customHeight="1" thickBot="1">
      <c r="A26" s="59"/>
      <c r="B26" s="437"/>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39"/>
      <c r="AD26" s="162"/>
    </row>
    <row r="27" spans="1:41" ht="33.950000000000003" customHeight="1">
      <c r="A27" s="722" t="s">
        <v>47</v>
      </c>
      <c r="B27" s="723"/>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5"/>
    </row>
    <row r="28" spans="1:41" ht="15" customHeight="1">
      <c r="A28" s="726" t="s">
        <v>48</v>
      </c>
      <c r="B28" s="728" t="s">
        <v>49</v>
      </c>
      <c r="C28" s="729"/>
      <c r="D28" s="732" t="s">
        <v>50</v>
      </c>
      <c r="E28" s="733"/>
      <c r="F28" s="733"/>
      <c r="G28" s="733"/>
      <c r="H28" s="733"/>
      <c r="I28" s="733"/>
      <c r="J28" s="733"/>
      <c r="K28" s="733"/>
      <c r="L28" s="733"/>
      <c r="M28" s="733"/>
      <c r="N28" s="733"/>
      <c r="O28" s="734"/>
      <c r="P28" s="735" t="s">
        <v>41</v>
      </c>
      <c r="Q28" s="735" t="s">
        <v>51</v>
      </c>
      <c r="R28" s="735"/>
      <c r="S28" s="735"/>
      <c r="T28" s="735"/>
      <c r="U28" s="735"/>
      <c r="V28" s="735"/>
      <c r="W28" s="735"/>
      <c r="X28" s="735"/>
      <c r="Y28" s="735"/>
      <c r="Z28" s="735"/>
      <c r="AA28" s="735"/>
      <c r="AB28" s="735"/>
      <c r="AC28" s="735"/>
      <c r="AD28" s="706"/>
    </row>
    <row r="29" spans="1:41" ht="27" customHeight="1">
      <c r="A29" s="727"/>
      <c r="B29" s="730"/>
      <c r="C29" s="731"/>
      <c r="D29" s="565" t="s">
        <v>29</v>
      </c>
      <c r="E29" s="565" t="s">
        <v>30</v>
      </c>
      <c r="F29" s="565" t="s">
        <v>31</v>
      </c>
      <c r="G29" s="565" t="s">
        <v>32</v>
      </c>
      <c r="H29" s="565" t="s">
        <v>33</v>
      </c>
      <c r="I29" s="565" t="s">
        <v>34</v>
      </c>
      <c r="J29" s="565" t="s">
        <v>35</v>
      </c>
      <c r="K29" s="565" t="s">
        <v>36</v>
      </c>
      <c r="L29" s="565" t="s">
        <v>37</v>
      </c>
      <c r="M29" s="565" t="s">
        <v>38</v>
      </c>
      <c r="N29" s="565" t="s">
        <v>39</v>
      </c>
      <c r="O29" s="565" t="s">
        <v>40</v>
      </c>
      <c r="P29" s="734"/>
      <c r="Q29" s="735"/>
      <c r="R29" s="735"/>
      <c r="S29" s="735"/>
      <c r="T29" s="735"/>
      <c r="U29" s="735"/>
      <c r="V29" s="735"/>
      <c r="W29" s="735"/>
      <c r="X29" s="735"/>
      <c r="Y29" s="735"/>
      <c r="Z29" s="735"/>
      <c r="AA29" s="735"/>
      <c r="AB29" s="735"/>
      <c r="AC29" s="735"/>
      <c r="AD29" s="706"/>
    </row>
    <row r="30" spans="1:41" ht="96" customHeight="1" thickBot="1">
      <c r="A30" s="568" t="str">
        <f>C17</f>
        <v xml:space="preserve">Diseñar e Implementar 1 programa piloto para promover la autonomía económica de las mujeres cuidadoras en el marco de la estrategia de emprendimiento y empleabilidad de la SDMujer </v>
      </c>
      <c r="B30" s="800"/>
      <c r="C30" s="801"/>
      <c r="D30" s="572"/>
      <c r="E30" s="572"/>
      <c r="F30" s="572"/>
      <c r="G30" s="572"/>
      <c r="H30" s="572"/>
      <c r="I30" s="572"/>
      <c r="J30" s="572"/>
      <c r="K30" s="572"/>
      <c r="L30" s="572"/>
      <c r="M30" s="572"/>
      <c r="N30" s="572"/>
      <c r="O30" s="572"/>
      <c r="P30" s="86">
        <f>SUM(D30:O30)</f>
        <v>0</v>
      </c>
      <c r="Q30" s="802" t="s">
        <v>514</v>
      </c>
      <c r="R30" s="802"/>
      <c r="S30" s="802"/>
      <c r="T30" s="802"/>
      <c r="U30" s="802"/>
      <c r="V30" s="802"/>
      <c r="W30" s="802"/>
      <c r="X30" s="802"/>
      <c r="Y30" s="802"/>
      <c r="Z30" s="802"/>
      <c r="AA30" s="802"/>
      <c r="AB30" s="802"/>
      <c r="AC30" s="802"/>
      <c r="AD30" s="803"/>
    </row>
    <row r="31" spans="1:41" ht="45" customHeight="1">
      <c r="A31" s="740" t="s">
        <v>53</v>
      </c>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2"/>
    </row>
    <row r="32" spans="1:41" ht="23.1" customHeight="1">
      <c r="A32" s="705" t="s">
        <v>54</v>
      </c>
      <c r="B32" s="735" t="s">
        <v>55</v>
      </c>
      <c r="C32" s="735" t="s">
        <v>49</v>
      </c>
      <c r="D32" s="735" t="s">
        <v>56</v>
      </c>
      <c r="E32" s="735"/>
      <c r="F32" s="735"/>
      <c r="G32" s="735"/>
      <c r="H32" s="735"/>
      <c r="I32" s="735"/>
      <c r="J32" s="735"/>
      <c r="K32" s="735"/>
      <c r="L32" s="735"/>
      <c r="M32" s="735"/>
      <c r="N32" s="735"/>
      <c r="O32" s="735"/>
      <c r="P32" s="735"/>
      <c r="Q32" s="735" t="s">
        <v>57</v>
      </c>
      <c r="R32" s="735"/>
      <c r="S32" s="735"/>
      <c r="T32" s="735"/>
      <c r="U32" s="735"/>
      <c r="V32" s="735"/>
      <c r="W32" s="735"/>
      <c r="X32" s="735"/>
      <c r="Y32" s="735"/>
      <c r="Z32" s="735"/>
      <c r="AA32" s="735"/>
      <c r="AB32" s="735"/>
      <c r="AC32" s="735"/>
      <c r="AD32" s="706"/>
      <c r="AG32" s="87"/>
      <c r="AH32" s="87"/>
      <c r="AI32" s="87"/>
      <c r="AJ32" s="87"/>
      <c r="AK32" s="87"/>
      <c r="AL32" s="87"/>
      <c r="AM32" s="87"/>
      <c r="AN32" s="87"/>
      <c r="AO32" s="87"/>
    </row>
    <row r="33" spans="1:41" ht="23.1" customHeight="1">
      <c r="A33" s="705"/>
      <c r="B33" s="735"/>
      <c r="C33" s="743"/>
      <c r="D33" s="565" t="s">
        <v>29</v>
      </c>
      <c r="E33" s="565" t="s">
        <v>30</v>
      </c>
      <c r="F33" s="565" t="s">
        <v>31</v>
      </c>
      <c r="G33" s="565" t="s">
        <v>32</v>
      </c>
      <c r="H33" s="565" t="s">
        <v>33</v>
      </c>
      <c r="I33" s="565" t="s">
        <v>34</v>
      </c>
      <c r="J33" s="565" t="s">
        <v>35</v>
      </c>
      <c r="K33" s="565" t="s">
        <v>36</v>
      </c>
      <c r="L33" s="565" t="s">
        <v>37</v>
      </c>
      <c r="M33" s="565" t="s">
        <v>38</v>
      </c>
      <c r="N33" s="565" t="s">
        <v>39</v>
      </c>
      <c r="O33" s="565" t="s">
        <v>40</v>
      </c>
      <c r="P33" s="565" t="s">
        <v>41</v>
      </c>
      <c r="Q33" s="730" t="s">
        <v>58</v>
      </c>
      <c r="R33" s="744"/>
      <c r="S33" s="744"/>
      <c r="T33" s="744"/>
      <c r="U33" s="744"/>
      <c r="V33" s="731"/>
      <c r="W33" s="730" t="s">
        <v>59</v>
      </c>
      <c r="X33" s="744"/>
      <c r="Y33" s="744"/>
      <c r="Z33" s="731"/>
      <c r="AA33" s="730" t="s">
        <v>60</v>
      </c>
      <c r="AB33" s="744"/>
      <c r="AC33" s="744"/>
      <c r="AD33" s="749"/>
      <c r="AF33" s="1096" t="s">
        <v>1064</v>
      </c>
      <c r="AG33" s="1096" t="s">
        <v>310</v>
      </c>
      <c r="AH33" s="87"/>
      <c r="AI33" s="87"/>
      <c r="AJ33" s="87"/>
      <c r="AK33" s="87"/>
      <c r="AL33" s="87"/>
      <c r="AM33" s="87"/>
      <c r="AN33" s="87"/>
      <c r="AO33" s="87"/>
    </row>
    <row r="34" spans="1:41" ht="78" customHeight="1">
      <c r="A34" s="786" t="s">
        <v>103</v>
      </c>
      <c r="B34" s="752">
        <f>B38+B40+B42+B44</f>
        <v>0.35000000000000003</v>
      </c>
      <c r="C34" s="90" t="s">
        <v>61</v>
      </c>
      <c r="D34" s="180">
        <f>D65</f>
        <v>0</v>
      </c>
      <c r="E34" s="180">
        <f t="shared" ref="E34:O34" si="0">E65</f>
        <v>0.20476190476190476</v>
      </c>
      <c r="F34" s="180">
        <f t="shared" si="0"/>
        <v>0.24557823129251702</v>
      </c>
      <c r="G34" s="180">
        <f t="shared" si="0"/>
        <v>0.24557823129251702</v>
      </c>
      <c r="H34" s="180">
        <f t="shared" si="0"/>
        <v>5.5102040816326539E-2</v>
      </c>
      <c r="I34" s="180">
        <f t="shared" si="0"/>
        <v>5.5102040816326539E-2</v>
      </c>
      <c r="J34" s="180">
        <f t="shared" si="0"/>
        <v>5.5102040816326539E-2</v>
      </c>
      <c r="K34" s="180">
        <f t="shared" si="0"/>
        <v>5.5102040816326539E-2</v>
      </c>
      <c r="L34" s="180">
        <f t="shared" si="0"/>
        <v>5.5102040816326539E-2</v>
      </c>
      <c r="M34" s="180">
        <f t="shared" si="0"/>
        <v>1.428571428571429E-2</v>
      </c>
      <c r="N34" s="180">
        <f t="shared" si="0"/>
        <v>1.428571428571429E-2</v>
      </c>
      <c r="O34" s="180">
        <f t="shared" si="0"/>
        <v>0</v>
      </c>
      <c r="P34" s="193">
        <f>SUM(D34:O34)</f>
        <v>1</v>
      </c>
      <c r="Q34" s="843" t="s">
        <v>1091</v>
      </c>
      <c r="R34" s="844"/>
      <c r="S34" s="844"/>
      <c r="T34" s="844"/>
      <c r="U34" s="844"/>
      <c r="V34" s="845"/>
      <c r="W34" s="843" t="s">
        <v>1093</v>
      </c>
      <c r="X34" s="844"/>
      <c r="Y34" s="844"/>
      <c r="Z34" s="845"/>
      <c r="AA34" s="843" t="s">
        <v>1092</v>
      </c>
      <c r="AB34" s="844"/>
      <c r="AC34" s="844"/>
      <c r="AD34" s="878"/>
      <c r="AF34" s="72" t="s">
        <v>514</v>
      </c>
      <c r="AG34" s="72" t="s">
        <v>1118</v>
      </c>
      <c r="AH34" s="87"/>
      <c r="AI34" s="87"/>
      <c r="AJ34" s="87"/>
      <c r="AK34" s="87"/>
      <c r="AL34" s="87"/>
      <c r="AM34" s="87"/>
      <c r="AN34" s="87"/>
      <c r="AO34" s="87"/>
    </row>
    <row r="35" spans="1:41" ht="78" customHeight="1" thickBot="1">
      <c r="A35" s="787"/>
      <c r="B35" s="788"/>
      <c r="C35" s="478" t="s">
        <v>65</v>
      </c>
      <c r="D35" s="479">
        <f>D62</f>
        <v>0</v>
      </c>
      <c r="E35" s="479">
        <f t="shared" ref="E35:O35" si="1">E62</f>
        <v>0.20285714285714285</v>
      </c>
      <c r="F35" s="479">
        <f t="shared" si="1"/>
        <v>0</v>
      </c>
      <c r="G35" s="479">
        <f t="shared" si="1"/>
        <v>0</v>
      </c>
      <c r="H35" s="479">
        <f t="shared" si="1"/>
        <v>0</v>
      </c>
      <c r="I35" s="479">
        <f t="shared" si="1"/>
        <v>0</v>
      </c>
      <c r="J35" s="479">
        <f t="shared" si="1"/>
        <v>0</v>
      </c>
      <c r="K35" s="479">
        <f t="shared" si="1"/>
        <v>0</v>
      </c>
      <c r="L35" s="479">
        <f t="shared" si="1"/>
        <v>0</v>
      </c>
      <c r="M35" s="479">
        <f t="shared" si="1"/>
        <v>0</v>
      </c>
      <c r="N35" s="479">
        <f t="shared" si="1"/>
        <v>0</v>
      </c>
      <c r="O35" s="479">
        <f t="shared" si="1"/>
        <v>0</v>
      </c>
      <c r="P35" s="402">
        <f>SUM(D35:O35)</f>
        <v>0.20285714285714285</v>
      </c>
      <c r="Q35" s="846"/>
      <c r="R35" s="847"/>
      <c r="S35" s="847"/>
      <c r="T35" s="847"/>
      <c r="U35" s="847"/>
      <c r="V35" s="848"/>
      <c r="W35" s="846"/>
      <c r="X35" s="847"/>
      <c r="Y35" s="847"/>
      <c r="Z35" s="848"/>
      <c r="AA35" s="846"/>
      <c r="AB35" s="847"/>
      <c r="AC35" s="847"/>
      <c r="AD35" s="879"/>
      <c r="AE35" s="49"/>
      <c r="AF35" s="1096"/>
      <c r="AG35" s="1097">
        <f>LEN(AG34)</f>
        <v>288</v>
      </c>
      <c r="AH35" s="87"/>
      <c r="AI35" s="87"/>
      <c r="AJ35" s="87"/>
      <c r="AK35" s="87"/>
      <c r="AL35" s="87"/>
      <c r="AM35" s="87"/>
      <c r="AN35" s="87"/>
      <c r="AO35" s="87"/>
    </row>
    <row r="36" spans="1:41" ht="26.1" customHeight="1">
      <c r="A36" s="718" t="s">
        <v>66</v>
      </c>
      <c r="B36" s="779" t="s">
        <v>67</v>
      </c>
      <c r="C36" s="781" t="s">
        <v>68</v>
      </c>
      <c r="D36" s="781"/>
      <c r="E36" s="781"/>
      <c r="F36" s="781"/>
      <c r="G36" s="781"/>
      <c r="H36" s="781"/>
      <c r="I36" s="781"/>
      <c r="J36" s="781"/>
      <c r="K36" s="781"/>
      <c r="L36" s="781"/>
      <c r="M36" s="781"/>
      <c r="N36" s="781"/>
      <c r="O36" s="781"/>
      <c r="P36" s="781"/>
      <c r="Q36" s="782" t="s">
        <v>69</v>
      </c>
      <c r="R36" s="783"/>
      <c r="S36" s="783"/>
      <c r="T36" s="783"/>
      <c r="U36" s="783"/>
      <c r="V36" s="783"/>
      <c r="W36" s="783"/>
      <c r="X36" s="783"/>
      <c r="Y36" s="783"/>
      <c r="Z36" s="783"/>
      <c r="AA36" s="783"/>
      <c r="AB36" s="783"/>
      <c r="AC36" s="783"/>
      <c r="AD36" s="784"/>
      <c r="AG36" s="87"/>
      <c r="AH36" s="87"/>
      <c r="AI36" s="87"/>
      <c r="AJ36" s="87"/>
      <c r="AK36" s="87"/>
      <c r="AL36" s="87"/>
      <c r="AM36" s="87"/>
      <c r="AN36" s="87"/>
      <c r="AO36" s="87"/>
    </row>
    <row r="37" spans="1:41" ht="26.1" customHeight="1">
      <c r="A37" s="705"/>
      <c r="B37" s="780"/>
      <c r="C37" s="565" t="s">
        <v>70</v>
      </c>
      <c r="D37" s="565" t="s">
        <v>71</v>
      </c>
      <c r="E37" s="565" t="s">
        <v>72</v>
      </c>
      <c r="F37" s="565" t="s">
        <v>73</v>
      </c>
      <c r="G37" s="565" t="s">
        <v>74</v>
      </c>
      <c r="H37" s="565" t="s">
        <v>75</v>
      </c>
      <c r="I37" s="565" t="s">
        <v>76</v>
      </c>
      <c r="J37" s="565" t="s">
        <v>77</v>
      </c>
      <c r="K37" s="565" t="s">
        <v>78</v>
      </c>
      <c r="L37" s="565" t="s">
        <v>79</v>
      </c>
      <c r="M37" s="565" t="s">
        <v>80</v>
      </c>
      <c r="N37" s="565" t="s">
        <v>81</v>
      </c>
      <c r="O37" s="565" t="s">
        <v>82</v>
      </c>
      <c r="P37" s="565" t="s">
        <v>83</v>
      </c>
      <c r="Q37" s="732" t="s">
        <v>84</v>
      </c>
      <c r="R37" s="733"/>
      <c r="S37" s="733"/>
      <c r="T37" s="733"/>
      <c r="U37" s="733"/>
      <c r="V37" s="733"/>
      <c r="W37" s="733"/>
      <c r="X37" s="733"/>
      <c r="Y37" s="733"/>
      <c r="Z37" s="733"/>
      <c r="AA37" s="733"/>
      <c r="AB37" s="733"/>
      <c r="AC37" s="733"/>
      <c r="AD37" s="785"/>
      <c r="AG37" s="94"/>
      <c r="AH37" s="94"/>
      <c r="AI37" s="94"/>
      <c r="AJ37" s="94"/>
      <c r="AK37" s="94"/>
      <c r="AL37" s="94"/>
      <c r="AM37" s="94"/>
      <c r="AN37" s="94"/>
      <c r="AO37" s="94"/>
    </row>
    <row r="38" spans="1:41" ht="46.5" customHeight="1">
      <c r="A38" s="770" t="s">
        <v>104</v>
      </c>
      <c r="B38" s="771">
        <v>0.1</v>
      </c>
      <c r="C38" s="90" t="s">
        <v>61</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2">SUM(D38:O38)</f>
        <v>1</v>
      </c>
      <c r="Q38" s="870" t="s">
        <v>1088</v>
      </c>
      <c r="R38" s="871"/>
      <c r="S38" s="871"/>
      <c r="T38" s="871"/>
      <c r="U38" s="871"/>
      <c r="V38" s="871"/>
      <c r="W38" s="871"/>
      <c r="X38" s="871"/>
      <c r="Y38" s="871"/>
      <c r="Z38" s="871"/>
      <c r="AA38" s="871"/>
      <c r="AB38" s="871"/>
      <c r="AC38" s="871"/>
      <c r="AD38" s="872"/>
      <c r="AE38" s="97"/>
      <c r="AG38" s="98"/>
      <c r="AH38" s="98"/>
      <c r="AI38" s="98"/>
      <c r="AJ38" s="98"/>
      <c r="AK38" s="98"/>
      <c r="AL38" s="98"/>
      <c r="AM38" s="98"/>
      <c r="AN38" s="98"/>
      <c r="AO38" s="98"/>
    </row>
    <row r="39" spans="1:41" ht="46.5" customHeight="1">
      <c r="A39" s="745"/>
      <c r="B39" s="869"/>
      <c r="C39" s="99" t="s">
        <v>65</v>
      </c>
      <c r="D39" s="100">
        <v>0</v>
      </c>
      <c r="E39" s="100">
        <v>0.33</v>
      </c>
      <c r="F39" s="100"/>
      <c r="G39" s="100"/>
      <c r="H39" s="100"/>
      <c r="I39" s="100"/>
      <c r="J39" s="100"/>
      <c r="K39" s="100"/>
      <c r="L39" s="100"/>
      <c r="M39" s="100"/>
      <c r="N39" s="100"/>
      <c r="O39" s="100"/>
      <c r="P39" s="101">
        <f t="shared" si="2"/>
        <v>0.33</v>
      </c>
      <c r="Q39" s="873"/>
      <c r="R39" s="1088"/>
      <c r="S39" s="1088"/>
      <c r="T39" s="1088"/>
      <c r="U39" s="1088"/>
      <c r="V39" s="1088"/>
      <c r="W39" s="1088"/>
      <c r="X39" s="1088"/>
      <c r="Y39" s="1088"/>
      <c r="Z39" s="1088"/>
      <c r="AA39" s="1088"/>
      <c r="AB39" s="1088"/>
      <c r="AC39" s="1088"/>
      <c r="AD39" s="874"/>
      <c r="AE39" s="97"/>
      <c r="AF39" s="50" t="s">
        <v>1064</v>
      </c>
      <c r="AG39" s="72" t="s">
        <v>1120</v>
      </c>
    </row>
    <row r="40" spans="1:41" ht="55.5" customHeight="1">
      <c r="A40" s="770" t="s">
        <v>105</v>
      </c>
      <c r="B40" s="771">
        <v>0.1</v>
      </c>
      <c r="C40" s="90" t="s">
        <v>61</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2"/>
        <v>1</v>
      </c>
      <c r="Q40" s="870" t="s">
        <v>1089</v>
      </c>
      <c r="R40" s="871"/>
      <c r="S40" s="871"/>
      <c r="T40" s="871"/>
      <c r="U40" s="871"/>
      <c r="V40" s="871"/>
      <c r="W40" s="871"/>
      <c r="X40" s="871"/>
      <c r="Y40" s="871"/>
      <c r="Z40" s="871"/>
      <c r="AA40" s="871"/>
      <c r="AB40" s="871"/>
      <c r="AC40" s="871"/>
      <c r="AD40" s="872"/>
      <c r="AE40" s="97"/>
      <c r="AF40" s="50" t="s">
        <v>514</v>
      </c>
      <c r="AG40" s="72" t="s">
        <v>1123</v>
      </c>
      <c r="AH40" s="98"/>
      <c r="AI40" s="98"/>
      <c r="AJ40" s="98"/>
      <c r="AK40" s="98"/>
      <c r="AL40" s="98"/>
      <c r="AM40" s="98"/>
      <c r="AN40" s="98"/>
      <c r="AO40" s="98"/>
    </row>
    <row r="41" spans="1:41" ht="55.5" customHeight="1">
      <c r="A41" s="745"/>
      <c r="B41" s="869"/>
      <c r="C41" s="99" t="s">
        <v>65</v>
      </c>
      <c r="D41" s="100">
        <v>0</v>
      </c>
      <c r="E41" s="100">
        <v>0.33</v>
      </c>
      <c r="F41" s="100"/>
      <c r="G41" s="100"/>
      <c r="H41" s="100"/>
      <c r="I41" s="100"/>
      <c r="J41" s="100"/>
      <c r="K41" s="100"/>
      <c r="L41" s="100"/>
      <c r="M41" s="100"/>
      <c r="N41" s="100"/>
      <c r="O41" s="100"/>
      <c r="P41" s="101">
        <f t="shared" si="2"/>
        <v>0.33</v>
      </c>
      <c r="Q41" s="873"/>
      <c r="R41" s="1088"/>
      <c r="S41" s="1088"/>
      <c r="T41" s="1088"/>
      <c r="U41" s="1088"/>
      <c r="V41" s="1088"/>
      <c r="W41" s="1088"/>
      <c r="X41" s="1088"/>
      <c r="Y41" s="1088"/>
      <c r="Z41" s="1088"/>
      <c r="AA41" s="1088"/>
      <c r="AB41" s="1088"/>
      <c r="AC41" s="1088"/>
      <c r="AD41" s="874"/>
      <c r="AE41" s="97"/>
      <c r="AF41" s="1097">
        <f>LEN(AF40)</f>
        <v>1</v>
      </c>
      <c r="AG41" s="1097">
        <f>LEN(AG40)</f>
        <v>280</v>
      </c>
    </row>
    <row r="42" spans="1:41" ht="67.5" customHeight="1">
      <c r="A42" s="770" t="s">
        <v>106</v>
      </c>
      <c r="B42" s="868">
        <v>0.1</v>
      </c>
      <c r="C42" s="102" t="s">
        <v>61</v>
      </c>
      <c r="D42" s="103">
        <v>0</v>
      </c>
      <c r="E42" s="103">
        <v>0</v>
      </c>
      <c r="F42" s="103">
        <f t="shared" ref="F42:L42" si="3">1/7</f>
        <v>0.14285714285714285</v>
      </c>
      <c r="G42" s="103">
        <f t="shared" si="3"/>
        <v>0.14285714285714285</v>
      </c>
      <c r="H42" s="103">
        <f t="shared" si="3"/>
        <v>0.14285714285714285</v>
      </c>
      <c r="I42" s="103">
        <f t="shared" si="3"/>
        <v>0.14285714285714285</v>
      </c>
      <c r="J42" s="103">
        <f t="shared" si="3"/>
        <v>0.14285714285714285</v>
      </c>
      <c r="K42" s="103">
        <f t="shared" si="3"/>
        <v>0.14285714285714285</v>
      </c>
      <c r="L42" s="103">
        <f t="shared" si="3"/>
        <v>0.14285714285714285</v>
      </c>
      <c r="M42" s="103">
        <v>0</v>
      </c>
      <c r="N42" s="103">
        <v>0</v>
      </c>
      <c r="O42" s="103">
        <v>0</v>
      </c>
      <c r="P42" s="101">
        <f t="shared" si="2"/>
        <v>0.99999999999999978</v>
      </c>
      <c r="Q42" s="870" t="s">
        <v>1090</v>
      </c>
      <c r="R42" s="871"/>
      <c r="S42" s="871"/>
      <c r="T42" s="871"/>
      <c r="U42" s="871"/>
      <c r="V42" s="871"/>
      <c r="W42" s="871"/>
      <c r="X42" s="871"/>
      <c r="Y42" s="871"/>
      <c r="Z42" s="871"/>
      <c r="AA42" s="871"/>
      <c r="AB42" s="871"/>
      <c r="AC42" s="871"/>
      <c r="AD42" s="872"/>
      <c r="AE42" s="97"/>
    </row>
    <row r="43" spans="1:41" ht="67.5" customHeight="1">
      <c r="A43" s="745"/>
      <c r="B43" s="869"/>
      <c r="C43" s="99" t="s">
        <v>65</v>
      </c>
      <c r="D43" s="100">
        <v>0</v>
      </c>
      <c r="E43" s="100">
        <v>0</v>
      </c>
      <c r="F43" s="100"/>
      <c r="G43" s="100"/>
      <c r="H43" s="100"/>
      <c r="I43" s="100"/>
      <c r="J43" s="100"/>
      <c r="K43" s="100"/>
      <c r="L43" s="104"/>
      <c r="M43" s="104"/>
      <c r="N43" s="104"/>
      <c r="O43" s="104"/>
      <c r="P43" s="101">
        <f t="shared" si="2"/>
        <v>0</v>
      </c>
      <c r="Q43" s="873"/>
      <c r="R43" s="1088"/>
      <c r="S43" s="1088"/>
      <c r="T43" s="1088"/>
      <c r="U43" s="1088"/>
      <c r="V43" s="1088"/>
      <c r="W43" s="1088"/>
      <c r="X43" s="1088"/>
      <c r="Y43" s="1088"/>
      <c r="Z43" s="1088"/>
      <c r="AA43" s="1088"/>
      <c r="AB43" s="1088"/>
      <c r="AC43" s="1088"/>
      <c r="AD43" s="874"/>
      <c r="AE43" s="97"/>
    </row>
    <row r="44" spans="1:41" ht="36.75" customHeight="1">
      <c r="A44" s="770" t="s">
        <v>107</v>
      </c>
      <c r="B44" s="868">
        <v>0.05</v>
      </c>
      <c r="C44" s="102" t="s">
        <v>61</v>
      </c>
      <c r="D44" s="103">
        <v>0</v>
      </c>
      <c r="E44" s="103">
        <v>0.1</v>
      </c>
      <c r="F44" s="103">
        <f t="shared" ref="F44:N44" si="4">1/10</f>
        <v>0.1</v>
      </c>
      <c r="G44" s="103">
        <f t="shared" si="4"/>
        <v>0.1</v>
      </c>
      <c r="H44" s="103">
        <f t="shared" si="4"/>
        <v>0.1</v>
      </c>
      <c r="I44" s="103">
        <f t="shared" si="4"/>
        <v>0.1</v>
      </c>
      <c r="J44" s="103">
        <f t="shared" si="4"/>
        <v>0.1</v>
      </c>
      <c r="K44" s="103">
        <f t="shared" si="4"/>
        <v>0.1</v>
      </c>
      <c r="L44" s="103">
        <f t="shared" si="4"/>
        <v>0.1</v>
      </c>
      <c r="M44" s="103">
        <f t="shared" si="4"/>
        <v>0.1</v>
      </c>
      <c r="N44" s="103">
        <f t="shared" si="4"/>
        <v>0.1</v>
      </c>
      <c r="O44" s="103">
        <v>0</v>
      </c>
      <c r="P44" s="101">
        <f t="shared" si="2"/>
        <v>0.99999999999999989</v>
      </c>
      <c r="Q44" s="870" t="s">
        <v>1109</v>
      </c>
      <c r="R44" s="871"/>
      <c r="S44" s="871"/>
      <c r="T44" s="871"/>
      <c r="U44" s="871"/>
      <c r="V44" s="871"/>
      <c r="W44" s="871"/>
      <c r="X44" s="871"/>
      <c r="Y44" s="871"/>
      <c r="Z44" s="871"/>
      <c r="AA44" s="871"/>
      <c r="AB44" s="871"/>
      <c r="AC44" s="871"/>
      <c r="AD44" s="872"/>
      <c r="AE44" s="97"/>
    </row>
    <row r="45" spans="1:41" ht="36.75" customHeight="1" thickBot="1">
      <c r="A45" s="762"/>
      <c r="B45" s="772"/>
      <c r="C45" s="91" t="s">
        <v>65</v>
      </c>
      <c r="D45" s="105">
        <v>0</v>
      </c>
      <c r="E45" s="105">
        <v>0.1</v>
      </c>
      <c r="F45" s="105"/>
      <c r="G45" s="105"/>
      <c r="H45" s="105"/>
      <c r="I45" s="105"/>
      <c r="J45" s="105"/>
      <c r="K45" s="105"/>
      <c r="L45" s="106"/>
      <c r="M45" s="106"/>
      <c r="N45" s="106"/>
      <c r="O45" s="106"/>
      <c r="P45" s="107">
        <f t="shared" si="2"/>
        <v>0.1</v>
      </c>
      <c r="Q45" s="875"/>
      <c r="R45" s="876"/>
      <c r="S45" s="876"/>
      <c r="T45" s="876"/>
      <c r="U45" s="876"/>
      <c r="V45" s="876"/>
      <c r="W45" s="876"/>
      <c r="X45" s="876"/>
      <c r="Y45" s="876"/>
      <c r="Z45" s="876"/>
      <c r="AA45" s="876"/>
      <c r="AB45" s="876"/>
      <c r="AC45" s="876"/>
      <c r="AD45" s="877"/>
      <c r="AE45" s="97"/>
    </row>
    <row r="46" spans="1:41">
      <c r="A46" s="50" t="s">
        <v>91</v>
      </c>
    </row>
    <row r="51" spans="1:51" s="204" customFormat="1" ht="21.75" customHeight="1">
      <c r="A51" s="866" t="s">
        <v>101</v>
      </c>
      <c r="B51" s="866" t="s">
        <v>67</v>
      </c>
      <c r="C51" s="837" t="s">
        <v>68</v>
      </c>
      <c r="D51" s="838"/>
      <c r="E51" s="838"/>
      <c r="F51" s="838"/>
      <c r="G51" s="838"/>
      <c r="H51" s="838"/>
      <c r="I51" s="838"/>
      <c r="J51" s="838"/>
      <c r="K51" s="838"/>
      <c r="L51" s="838"/>
      <c r="M51" s="838"/>
      <c r="N51" s="838"/>
      <c r="O51" s="838"/>
      <c r="P51" s="839"/>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3"/>
      <c r="AR51" s="203"/>
      <c r="AS51" s="203"/>
      <c r="AT51" s="203"/>
      <c r="AU51" s="203"/>
      <c r="AV51" s="203"/>
      <c r="AW51" s="203"/>
      <c r="AX51" s="203"/>
      <c r="AY51" s="203"/>
    </row>
    <row r="52" spans="1:51" s="204" customFormat="1" ht="21.75" customHeight="1">
      <c r="A52" s="832"/>
      <c r="B52" s="832"/>
      <c r="C52" s="205" t="s">
        <v>70</v>
      </c>
      <c r="D52" s="205" t="s">
        <v>71</v>
      </c>
      <c r="E52" s="205" t="s">
        <v>72</v>
      </c>
      <c r="F52" s="205" t="s">
        <v>73</v>
      </c>
      <c r="G52" s="205" t="s">
        <v>74</v>
      </c>
      <c r="H52" s="205" t="s">
        <v>75</v>
      </c>
      <c r="I52" s="205" t="s">
        <v>76</v>
      </c>
      <c r="J52" s="205" t="s">
        <v>77</v>
      </c>
      <c r="K52" s="205" t="s">
        <v>78</v>
      </c>
      <c r="L52" s="205" t="s">
        <v>79</v>
      </c>
      <c r="M52" s="205" t="s">
        <v>80</v>
      </c>
      <c r="N52" s="205" t="s">
        <v>81</v>
      </c>
      <c r="O52" s="205" t="s">
        <v>82</v>
      </c>
      <c r="P52" s="205" t="s">
        <v>83</v>
      </c>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3"/>
      <c r="AR52" s="203"/>
      <c r="AS52" s="203"/>
      <c r="AT52" s="203"/>
      <c r="AU52" s="203"/>
      <c r="AV52" s="203"/>
      <c r="AW52" s="203"/>
      <c r="AX52" s="203"/>
      <c r="AY52" s="203"/>
    </row>
    <row r="53" spans="1:51" s="204" customFormat="1" ht="12.75" customHeight="1">
      <c r="A53" s="831" t="str">
        <f>A38</f>
        <v xml:space="preserve">13. Estructurar los insumos técnicos del programa para el componente de seguimiento y monitoreo </v>
      </c>
      <c r="B53" s="831">
        <f>B38</f>
        <v>0.1</v>
      </c>
      <c r="C53" s="206" t="s">
        <v>61</v>
      </c>
      <c r="D53" s="373">
        <f>D38*$B$38/$P$38</f>
        <v>0</v>
      </c>
      <c r="E53" s="373">
        <f t="shared" ref="E53:O53" si="5">E38*$B$38/$P$38</f>
        <v>3.3333333333333333E-2</v>
      </c>
      <c r="F53" s="373">
        <f t="shared" si="5"/>
        <v>3.3333333333333333E-2</v>
      </c>
      <c r="G53" s="373">
        <f t="shared" si="5"/>
        <v>3.3333333333333333E-2</v>
      </c>
      <c r="H53" s="373">
        <f t="shared" si="5"/>
        <v>0</v>
      </c>
      <c r="I53" s="373">
        <f t="shared" si="5"/>
        <v>0</v>
      </c>
      <c r="J53" s="373">
        <f t="shared" si="5"/>
        <v>0</v>
      </c>
      <c r="K53" s="373">
        <f t="shared" si="5"/>
        <v>0</v>
      </c>
      <c r="L53" s="373">
        <f t="shared" si="5"/>
        <v>0</v>
      </c>
      <c r="M53" s="373">
        <f t="shared" si="5"/>
        <v>0</v>
      </c>
      <c r="N53" s="373">
        <f t="shared" si="5"/>
        <v>0</v>
      </c>
      <c r="O53" s="373">
        <f t="shared" si="5"/>
        <v>0</v>
      </c>
      <c r="P53" s="369">
        <f t="shared" ref="P53:P56" si="6">SUM(D53:O53)</f>
        <v>0.1</v>
      </c>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3"/>
      <c r="AR53" s="203"/>
      <c r="AS53" s="203"/>
      <c r="AT53" s="203"/>
      <c r="AU53" s="203"/>
      <c r="AV53" s="203"/>
      <c r="AW53" s="203"/>
      <c r="AX53" s="203"/>
      <c r="AY53" s="203"/>
    </row>
    <row r="54" spans="1:51" s="204" customFormat="1" ht="12.75" customHeight="1">
      <c r="A54" s="832"/>
      <c r="B54" s="832"/>
      <c r="C54" s="208" t="s">
        <v>65</v>
      </c>
      <c r="D54" s="374">
        <f>D39*$B$38/$P$38</f>
        <v>0</v>
      </c>
      <c r="E54" s="374">
        <f t="shared" ref="E54:O54" si="7">E39*$B$38/$P$38</f>
        <v>3.3000000000000002E-2</v>
      </c>
      <c r="F54" s="374">
        <f t="shared" si="7"/>
        <v>0</v>
      </c>
      <c r="G54" s="374">
        <f t="shared" si="7"/>
        <v>0</v>
      </c>
      <c r="H54" s="374">
        <f t="shared" si="7"/>
        <v>0</v>
      </c>
      <c r="I54" s="374">
        <f t="shared" si="7"/>
        <v>0</v>
      </c>
      <c r="J54" s="374">
        <f t="shared" si="7"/>
        <v>0</v>
      </c>
      <c r="K54" s="374">
        <f t="shared" si="7"/>
        <v>0</v>
      </c>
      <c r="L54" s="374">
        <f t="shared" si="7"/>
        <v>0</v>
      </c>
      <c r="M54" s="374">
        <f t="shared" si="7"/>
        <v>0</v>
      </c>
      <c r="N54" s="374">
        <f t="shared" si="7"/>
        <v>0</v>
      </c>
      <c r="O54" s="374">
        <f t="shared" si="7"/>
        <v>0</v>
      </c>
      <c r="P54" s="210">
        <f t="shared" si="6"/>
        <v>3.3000000000000002E-2</v>
      </c>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3"/>
      <c r="AR54" s="203"/>
      <c r="AS54" s="203"/>
      <c r="AT54" s="203"/>
      <c r="AU54" s="203"/>
      <c r="AV54" s="203"/>
      <c r="AW54" s="203"/>
      <c r="AX54" s="203"/>
      <c r="AY54" s="203"/>
    </row>
    <row r="55" spans="1:51" s="204" customFormat="1" ht="12.75" customHeight="1">
      <c r="A55" s="831" t="str">
        <f>+A40</f>
        <v>14. Diseñar e implementar el proceso de convocatoria con el fin de alcanzar la meta poblacional propuesta en el piloto y levantar una línea base de organizaciones productiva de mujeres cuidadoras asociadas</v>
      </c>
      <c r="B55" s="831">
        <f>B40</f>
        <v>0.1</v>
      </c>
      <c r="C55" s="206" t="s">
        <v>61</v>
      </c>
      <c r="D55" s="373">
        <f>D40*$B$40/$P$40</f>
        <v>0</v>
      </c>
      <c r="E55" s="373">
        <f t="shared" ref="E55:O55" si="8">E40*$B$40/$P$40</f>
        <v>3.3333333333333333E-2</v>
      </c>
      <c r="F55" s="373">
        <f t="shared" si="8"/>
        <v>3.3333333333333333E-2</v>
      </c>
      <c r="G55" s="373">
        <f t="shared" si="8"/>
        <v>3.3333333333333333E-2</v>
      </c>
      <c r="H55" s="373">
        <f t="shared" si="8"/>
        <v>0</v>
      </c>
      <c r="I55" s="373">
        <f t="shared" si="8"/>
        <v>0</v>
      </c>
      <c r="J55" s="373">
        <f t="shared" si="8"/>
        <v>0</v>
      </c>
      <c r="K55" s="373">
        <f t="shared" si="8"/>
        <v>0</v>
      </c>
      <c r="L55" s="373">
        <f t="shared" si="8"/>
        <v>0</v>
      </c>
      <c r="M55" s="373">
        <f t="shared" si="8"/>
        <v>0</v>
      </c>
      <c r="N55" s="373">
        <f t="shared" si="8"/>
        <v>0</v>
      </c>
      <c r="O55" s="373">
        <f t="shared" si="8"/>
        <v>0</v>
      </c>
      <c r="P55" s="369">
        <f t="shared" si="6"/>
        <v>0.1</v>
      </c>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3"/>
      <c r="AR55" s="203"/>
      <c r="AS55" s="203"/>
      <c r="AT55" s="203"/>
      <c r="AU55" s="203"/>
      <c r="AV55" s="203"/>
      <c r="AW55" s="203"/>
      <c r="AX55" s="203"/>
      <c r="AY55" s="203"/>
    </row>
    <row r="56" spans="1:51" s="204" customFormat="1" ht="12.75" customHeight="1">
      <c r="A56" s="832"/>
      <c r="B56" s="832"/>
      <c r="C56" s="208" t="s">
        <v>65</v>
      </c>
      <c r="D56" s="374">
        <f t="shared" ref="D56:O56" si="9">D41*$B$40/$P$40</f>
        <v>0</v>
      </c>
      <c r="E56" s="374">
        <f t="shared" si="9"/>
        <v>3.3000000000000002E-2</v>
      </c>
      <c r="F56" s="374">
        <f t="shared" si="9"/>
        <v>0</v>
      </c>
      <c r="G56" s="374">
        <f t="shared" si="9"/>
        <v>0</v>
      </c>
      <c r="H56" s="374">
        <f t="shared" si="9"/>
        <v>0</v>
      </c>
      <c r="I56" s="374">
        <f t="shared" si="9"/>
        <v>0</v>
      </c>
      <c r="J56" s="374">
        <f t="shared" si="9"/>
        <v>0</v>
      </c>
      <c r="K56" s="374">
        <f t="shared" si="9"/>
        <v>0</v>
      </c>
      <c r="L56" s="374">
        <f t="shared" si="9"/>
        <v>0</v>
      </c>
      <c r="M56" s="374">
        <f t="shared" si="9"/>
        <v>0</v>
      </c>
      <c r="N56" s="374">
        <f t="shared" si="9"/>
        <v>0</v>
      </c>
      <c r="O56" s="374">
        <f t="shared" si="9"/>
        <v>0</v>
      </c>
      <c r="P56" s="210">
        <f t="shared" si="6"/>
        <v>3.3000000000000002E-2</v>
      </c>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3"/>
      <c r="AR56" s="203"/>
      <c r="AS56" s="203"/>
      <c r="AT56" s="203"/>
      <c r="AU56" s="203"/>
      <c r="AV56" s="203"/>
      <c r="AW56" s="203"/>
      <c r="AX56" s="203"/>
      <c r="AY56" s="203"/>
    </row>
    <row r="57" spans="1:51" s="204" customFormat="1" ht="12.75" customHeight="1">
      <c r="A57" s="831" t="str">
        <f>A42</f>
        <v>15. Realizar seguimiento al cumplimiento de las horas de formación y mentoría personalizada y las acciones definidas en los planes de fortalecimiento organizativo de las organizaciones productivas de mujeres cuidadoras asociadas beneficiarias del piloto.</v>
      </c>
      <c r="B57" s="831">
        <f>B42</f>
        <v>0.1</v>
      </c>
      <c r="C57" s="206" t="s">
        <v>61</v>
      </c>
      <c r="D57" s="373">
        <f>D42*$B$42/$P$42</f>
        <v>0</v>
      </c>
      <c r="E57" s="373">
        <f t="shared" ref="E57:O57" si="10">E42*$B$42/$P$42</f>
        <v>0</v>
      </c>
      <c r="F57" s="373">
        <f t="shared" si="10"/>
        <v>1.4285714285714289E-2</v>
      </c>
      <c r="G57" s="373">
        <f t="shared" si="10"/>
        <v>1.4285714285714289E-2</v>
      </c>
      <c r="H57" s="373">
        <f t="shared" si="10"/>
        <v>1.4285714285714289E-2</v>
      </c>
      <c r="I57" s="373">
        <f t="shared" si="10"/>
        <v>1.4285714285714289E-2</v>
      </c>
      <c r="J57" s="373">
        <f t="shared" si="10"/>
        <v>1.4285714285714289E-2</v>
      </c>
      <c r="K57" s="373">
        <f t="shared" si="10"/>
        <v>1.4285714285714289E-2</v>
      </c>
      <c r="L57" s="373">
        <f t="shared" si="10"/>
        <v>1.4285714285714289E-2</v>
      </c>
      <c r="M57" s="373">
        <f t="shared" si="10"/>
        <v>0</v>
      </c>
      <c r="N57" s="373">
        <f t="shared" si="10"/>
        <v>0</v>
      </c>
      <c r="O57" s="373">
        <f t="shared" si="10"/>
        <v>0</v>
      </c>
      <c r="P57" s="369">
        <f t="shared" ref="P57:P60" si="11">SUM(D57:O57)</f>
        <v>0.10000000000000002</v>
      </c>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3"/>
      <c r="AR57" s="203"/>
      <c r="AS57" s="203"/>
      <c r="AT57" s="203"/>
      <c r="AU57" s="203"/>
      <c r="AV57" s="203"/>
      <c r="AW57" s="203"/>
      <c r="AX57" s="203"/>
      <c r="AY57" s="203"/>
    </row>
    <row r="58" spans="1:51" s="204" customFormat="1" ht="12.75" customHeight="1">
      <c r="A58" s="832"/>
      <c r="B58" s="832"/>
      <c r="C58" s="208" t="s">
        <v>65</v>
      </c>
      <c r="D58" s="374">
        <f>D43*$B$42/$P$42</f>
        <v>0</v>
      </c>
      <c r="E58" s="374">
        <f t="shared" ref="E58:O58" si="12">E43*$B$42/$P$42</f>
        <v>0</v>
      </c>
      <c r="F58" s="374">
        <f t="shared" si="12"/>
        <v>0</v>
      </c>
      <c r="G58" s="374">
        <f t="shared" si="12"/>
        <v>0</v>
      </c>
      <c r="H58" s="374">
        <f t="shared" si="12"/>
        <v>0</v>
      </c>
      <c r="I58" s="374">
        <f t="shared" si="12"/>
        <v>0</v>
      </c>
      <c r="J58" s="374">
        <f t="shared" si="12"/>
        <v>0</v>
      </c>
      <c r="K58" s="374">
        <f t="shared" si="12"/>
        <v>0</v>
      </c>
      <c r="L58" s="374">
        <f t="shared" si="12"/>
        <v>0</v>
      </c>
      <c r="M58" s="374">
        <f t="shared" si="12"/>
        <v>0</v>
      </c>
      <c r="N58" s="374">
        <f t="shared" si="12"/>
        <v>0</v>
      </c>
      <c r="O58" s="374">
        <f t="shared" si="12"/>
        <v>0</v>
      </c>
      <c r="P58" s="210">
        <f t="shared" si="11"/>
        <v>0</v>
      </c>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3"/>
      <c r="AR58" s="203"/>
      <c r="AS58" s="203"/>
      <c r="AT58" s="203"/>
      <c r="AU58" s="203"/>
      <c r="AV58" s="203"/>
      <c r="AW58" s="203"/>
      <c r="AX58" s="203"/>
      <c r="AY58" s="203"/>
    </row>
    <row r="59" spans="1:51" s="204" customFormat="1" ht="12.75" customHeight="1">
      <c r="A59" s="831" t="str">
        <f>A44</f>
        <v>16. Supervisar el cumplimiento de los objetivos propuestos en el piloto.</v>
      </c>
      <c r="B59" s="831">
        <f>B44</f>
        <v>0.05</v>
      </c>
      <c r="C59" s="206" t="s">
        <v>61</v>
      </c>
      <c r="D59" s="373">
        <f>D44*$B$44/$P$44</f>
        <v>0</v>
      </c>
      <c r="E59" s="373">
        <f t="shared" ref="E59:O59" si="13">E44*$B$44/$P$44</f>
        <v>5.0000000000000018E-3</v>
      </c>
      <c r="F59" s="373">
        <f t="shared" si="13"/>
        <v>5.0000000000000018E-3</v>
      </c>
      <c r="G59" s="373">
        <f t="shared" si="13"/>
        <v>5.0000000000000018E-3</v>
      </c>
      <c r="H59" s="373">
        <f t="shared" si="13"/>
        <v>5.0000000000000018E-3</v>
      </c>
      <c r="I59" s="373">
        <f t="shared" si="13"/>
        <v>5.0000000000000018E-3</v>
      </c>
      <c r="J59" s="373">
        <f t="shared" si="13"/>
        <v>5.0000000000000018E-3</v>
      </c>
      <c r="K59" s="373">
        <f t="shared" si="13"/>
        <v>5.0000000000000018E-3</v>
      </c>
      <c r="L59" s="373">
        <f t="shared" si="13"/>
        <v>5.0000000000000018E-3</v>
      </c>
      <c r="M59" s="373">
        <f t="shared" si="13"/>
        <v>5.0000000000000018E-3</v>
      </c>
      <c r="N59" s="373">
        <f t="shared" si="13"/>
        <v>5.0000000000000018E-3</v>
      </c>
      <c r="O59" s="373">
        <f t="shared" si="13"/>
        <v>0</v>
      </c>
      <c r="P59" s="369">
        <f t="shared" si="11"/>
        <v>5.0000000000000024E-2</v>
      </c>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3"/>
      <c r="AR59" s="203"/>
      <c r="AS59" s="203"/>
      <c r="AT59" s="203"/>
      <c r="AU59" s="203"/>
      <c r="AV59" s="203"/>
      <c r="AW59" s="203"/>
      <c r="AX59" s="203"/>
      <c r="AY59" s="203"/>
    </row>
    <row r="60" spans="1:51" s="204" customFormat="1" ht="12.75" customHeight="1">
      <c r="A60" s="832"/>
      <c r="B60" s="832"/>
      <c r="C60" s="208" t="s">
        <v>65</v>
      </c>
      <c r="D60" s="374">
        <f>D45*$B$44/$P$44</f>
        <v>0</v>
      </c>
      <c r="E60" s="374">
        <f t="shared" ref="E60:O60" si="14">E45*$B$44/$P$44</f>
        <v>5.0000000000000018E-3</v>
      </c>
      <c r="F60" s="374">
        <f t="shared" si="14"/>
        <v>0</v>
      </c>
      <c r="G60" s="374">
        <f t="shared" si="14"/>
        <v>0</v>
      </c>
      <c r="H60" s="374">
        <f t="shared" si="14"/>
        <v>0</v>
      </c>
      <c r="I60" s="374">
        <f t="shared" si="14"/>
        <v>0</v>
      </c>
      <c r="J60" s="374">
        <f t="shared" si="14"/>
        <v>0</v>
      </c>
      <c r="K60" s="374">
        <f t="shared" si="14"/>
        <v>0</v>
      </c>
      <c r="L60" s="374">
        <f t="shared" si="14"/>
        <v>0</v>
      </c>
      <c r="M60" s="374">
        <f t="shared" si="14"/>
        <v>0</v>
      </c>
      <c r="N60" s="374">
        <f t="shared" si="14"/>
        <v>0</v>
      </c>
      <c r="O60" s="374">
        <f t="shared" si="14"/>
        <v>0</v>
      </c>
      <c r="P60" s="210">
        <f t="shared" si="11"/>
        <v>5.0000000000000018E-3</v>
      </c>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3"/>
      <c r="AR60" s="203"/>
      <c r="AS60" s="203"/>
      <c r="AT60" s="203"/>
      <c r="AU60" s="203"/>
      <c r="AV60" s="203"/>
      <c r="AW60" s="203"/>
      <c r="AX60" s="203"/>
      <c r="AY60" s="203"/>
    </row>
    <row r="61" spans="1:51" s="204" customFormat="1" ht="15.75" customHeight="1">
      <c r="A61" s="207"/>
      <c r="B61" s="207"/>
      <c r="C61" s="211"/>
      <c r="D61" s="212">
        <f>D54+D56+D58+D60</f>
        <v>0</v>
      </c>
      <c r="E61" s="212">
        <f t="shared" ref="E61:O61" si="15">E54+E56+E58+E60</f>
        <v>7.1000000000000008E-2</v>
      </c>
      <c r="F61" s="212">
        <f t="shared" si="15"/>
        <v>0</v>
      </c>
      <c r="G61" s="212">
        <f t="shared" si="15"/>
        <v>0</v>
      </c>
      <c r="H61" s="212">
        <f t="shared" si="15"/>
        <v>0</v>
      </c>
      <c r="I61" s="212">
        <f t="shared" si="15"/>
        <v>0</v>
      </c>
      <c r="J61" s="212">
        <f t="shared" si="15"/>
        <v>0</v>
      </c>
      <c r="K61" s="212">
        <f t="shared" si="15"/>
        <v>0</v>
      </c>
      <c r="L61" s="212">
        <f t="shared" si="15"/>
        <v>0</v>
      </c>
      <c r="M61" s="212">
        <f t="shared" si="15"/>
        <v>0</v>
      </c>
      <c r="N61" s="212">
        <f t="shared" si="15"/>
        <v>0</v>
      </c>
      <c r="O61" s="212">
        <f t="shared" si="15"/>
        <v>0</v>
      </c>
      <c r="P61" s="212">
        <f t="shared" ref="P61" si="16">P53+P55+P57+P59</f>
        <v>0.35000000000000009</v>
      </c>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3"/>
      <c r="AR61" s="203"/>
      <c r="AS61" s="203"/>
      <c r="AT61" s="203"/>
      <c r="AU61" s="203"/>
      <c r="AV61" s="203"/>
      <c r="AW61" s="203"/>
      <c r="AX61" s="203"/>
      <c r="AY61" s="203"/>
    </row>
    <row r="62" spans="1:51" s="426" customFormat="1" ht="15.75" customHeight="1">
      <c r="A62" s="214"/>
      <c r="B62" s="214"/>
      <c r="C62" s="423" t="s">
        <v>65</v>
      </c>
      <c r="D62" s="424">
        <f>D61*$W$17/$B$34</f>
        <v>0</v>
      </c>
      <c r="E62" s="424">
        <f t="shared" ref="E62:O62" si="17">E61*$W$17/$B$34</f>
        <v>0.20285714285714285</v>
      </c>
      <c r="F62" s="424">
        <f t="shared" si="17"/>
        <v>0</v>
      </c>
      <c r="G62" s="424">
        <f t="shared" si="17"/>
        <v>0</v>
      </c>
      <c r="H62" s="424">
        <f t="shared" si="17"/>
        <v>0</v>
      </c>
      <c r="I62" s="424">
        <f t="shared" si="17"/>
        <v>0</v>
      </c>
      <c r="J62" s="424">
        <f t="shared" si="17"/>
        <v>0</v>
      </c>
      <c r="K62" s="424">
        <f t="shared" si="17"/>
        <v>0</v>
      </c>
      <c r="L62" s="424">
        <f t="shared" si="17"/>
        <v>0</v>
      </c>
      <c r="M62" s="424">
        <f t="shared" si="17"/>
        <v>0</v>
      </c>
      <c r="N62" s="424">
        <f t="shared" si="17"/>
        <v>0</v>
      </c>
      <c r="O62" s="424">
        <f t="shared" si="17"/>
        <v>0</v>
      </c>
      <c r="P62" s="425">
        <f>SUM(D62:O62)</f>
        <v>0.20285714285714285</v>
      </c>
      <c r="Q62" s="213"/>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row>
    <row r="63" spans="1:51" s="426" customFormat="1" ht="13.5" customHeight="1">
      <c r="A63" s="213"/>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row>
    <row r="64" spans="1:51" s="108" customFormat="1">
      <c r="D64" s="427">
        <f>+D53+D55+D57+D59</f>
        <v>0</v>
      </c>
      <c r="E64" s="427">
        <f t="shared" ref="E64:O64" si="18">+E53+E55+E57+E59</f>
        <v>7.166666666666667E-2</v>
      </c>
      <c r="F64" s="427">
        <f t="shared" si="18"/>
        <v>8.5952380952380961E-2</v>
      </c>
      <c r="G64" s="427">
        <f t="shared" si="18"/>
        <v>8.5952380952380961E-2</v>
      </c>
      <c r="H64" s="427">
        <f t="shared" si="18"/>
        <v>1.9285714285714291E-2</v>
      </c>
      <c r="I64" s="427">
        <f t="shared" si="18"/>
        <v>1.9285714285714291E-2</v>
      </c>
      <c r="J64" s="427">
        <f t="shared" si="18"/>
        <v>1.9285714285714291E-2</v>
      </c>
      <c r="K64" s="427">
        <f t="shared" si="18"/>
        <v>1.9285714285714291E-2</v>
      </c>
      <c r="L64" s="427">
        <f t="shared" si="18"/>
        <v>1.9285714285714291E-2</v>
      </c>
      <c r="M64" s="427">
        <f t="shared" si="18"/>
        <v>5.0000000000000018E-3</v>
      </c>
      <c r="N64" s="427">
        <f t="shared" si="18"/>
        <v>5.0000000000000018E-3</v>
      </c>
      <c r="O64" s="427">
        <f t="shared" si="18"/>
        <v>0</v>
      </c>
      <c r="P64" s="427">
        <f>SUM(D64:O64)</f>
        <v>0.35000000000000009</v>
      </c>
    </row>
    <row r="65" spans="1:51" s="426" customFormat="1" ht="15.75" customHeight="1">
      <c r="A65" s="214"/>
      <c r="B65" s="214"/>
      <c r="C65" s="423" t="s">
        <v>61</v>
      </c>
      <c r="D65" s="424">
        <f>D64*$W$17/$B$34</f>
        <v>0</v>
      </c>
      <c r="E65" s="424">
        <f t="shared" ref="E65:O65" si="19">E64*$W$17/$B$34</f>
        <v>0.20476190476190476</v>
      </c>
      <c r="F65" s="424">
        <f t="shared" si="19"/>
        <v>0.24557823129251702</v>
      </c>
      <c r="G65" s="424">
        <f t="shared" si="19"/>
        <v>0.24557823129251702</v>
      </c>
      <c r="H65" s="424">
        <f t="shared" si="19"/>
        <v>5.5102040816326539E-2</v>
      </c>
      <c r="I65" s="424">
        <f t="shared" si="19"/>
        <v>5.5102040816326539E-2</v>
      </c>
      <c r="J65" s="424">
        <f t="shared" si="19"/>
        <v>5.5102040816326539E-2</v>
      </c>
      <c r="K65" s="424">
        <f t="shared" si="19"/>
        <v>5.5102040816326539E-2</v>
      </c>
      <c r="L65" s="424">
        <f t="shared" si="19"/>
        <v>5.5102040816326539E-2</v>
      </c>
      <c r="M65" s="424">
        <f t="shared" si="19"/>
        <v>1.428571428571429E-2</v>
      </c>
      <c r="N65" s="424">
        <f t="shared" si="19"/>
        <v>1.428571428571429E-2</v>
      </c>
      <c r="O65" s="424">
        <f t="shared" si="19"/>
        <v>0</v>
      </c>
      <c r="P65" s="425">
        <f>SUM(D65:O65)</f>
        <v>1</v>
      </c>
      <c r="Q65" s="213"/>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row>
  </sheetData>
  <mergeCells count="91">
    <mergeCell ref="A38:A39"/>
    <mergeCell ref="B38:B39"/>
    <mergeCell ref="Q38:AD39"/>
    <mergeCell ref="A40:A41"/>
    <mergeCell ref="B40:B41"/>
    <mergeCell ref="Q40:AD41"/>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42:A43"/>
    <mergeCell ref="B42:B43"/>
    <mergeCell ref="Q42:AD43"/>
    <mergeCell ref="A44:A45"/>
    <mergeCell ref="B44:B45"/>
    <mergeCell ref="Q44:AD45"/>
    <mergeCell ref="C51:P51"/>
    <mergeCell ref="A53:A54"/>
    <mergeCell ref="B53:B54"/>
    <mergeCell ref="A59:A60"/>
    <mergeCell ref="B59:B60"/>
    <mergeCell ref="A55:A56"/>
    <mergeCell ref="B55:B56"/>
    <mergeCell ref="A57:A58"/>
    <mergeCell ref="B57:B58"/>
    <mergeCell ref="A51:A52"/>
    <mergeCell ref="B51:B52"/>
  </mergeCells>
  <dataValidations count="3">
    <dataValidation type="textLength" operator="lessThanOrEqual" allowBlank="1" showInputMessage="1" showErrorMessage="1" errorTitle="Máximo 2.000 caracteres" error="Máximo 2.000 caracteres" sqref="Q38:AD45 AA34 Q34 W34"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1EB3AD2E-3728-44BB-9ECC-F719FF4D6835}">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637"/>
      <c r="B1" s="640" t="s">
        <v>0</v>
      </c>
      <c r="C1" s="641"/>
      <c r="D1" s="641"/>
      <c r="E1" s="641"/>
      <c r="F1" s="641"/>
      <c r="G1" s="641"/>
      <c r="H1" s="641"/>
      <c r="I1" s="641"/>
      <c r="J1" s="641"/>
      <c r="K1" s="641"/>
      <c r="L1" s="641"/>
      <c r="M1" s="641"/>
      <c r="N1" s="641"/>
      <c r="O1" s="641"/>
      <c r="P1" s="641"/>
      <c r="Q1" s="641"/>
      <c r="R1" s="641"/>
      <c r="S1" s="641"/>
      <c r="T1" s="641"/>
      <c r="U1" s="641"/>
      <c r="V1" s="641"/>
      <c r="W1" s="641"/>
      <c r="X1" s="641"/>
      <c r="Y1" s="642"/>
      <c r="Z1" s="643" t="s">
        <v>1</v>
      </c>
      <c r="AA1" s="644"/>
      <c r="AB1" s="645"/>
    </row>
    <row r="2" spans="1:28" ht="30.75" customHeight="1">
      <c r="A2" s="638"/>
      <c r="B2" s="646" t="s">
        <v>2</v>
      </c>
      <c r="C2" s="913"/>
      <c r="D2" s="913"/>
      <c r="E2" s="913"/>
      <c r="F2" s="913"/>
      <c r="G2" s="913"/>
      <c r="H2" s="913"/>
      <c r="I2" s="913"/>
      <c r="J2" s="913"/>
      <c r="K2" s="913"/>
      <c r="L2" s="913"/>
      <c r="M2" s="913"/>
      <c r="N2" s="913"/>
      <c r="O2" s="913"/>
      <c r="P2" s="913"/>
      <c r="Q2" s="913"/>
      <c r="R2" s="913"/>
      <c r="S2" s="913"/>
      <c r="T2" s="913"/>
      <c r="U2" s="913"/>
      <c r="V2" s="913"/>
      <c r="W2" s="913"/>
      <c r="X2" s="913"/>
      <c r="Y2" s="648"/>
      <c r="Z2" s="938" t="s">
        <v>108</v>
      </c>
      <c r="AA2" s="939"/>
      <c r="AB2" s="940"/>
    </row>
    <row r="3" spans="1:28" ht="24" customHeight="1">
      <c r="A3" s="638"/>
      <c r="B3" s="652" t="s">
        <v>4</v>
      </c>
      <c r="C3" s="943"/>
      <c r="D3" s="943"/>
      <c r="E3" s="943"/>
      <c r="F3" s="943"/>
      <c r="G3" s="943"/>
      <c r="H3" s="943"/>
      <c r="I3" s="943"/>
      <c r="J3" s="943"/>
      <c r="K3" s="943"/>
      <c r="L3" s="943"/>
      <c r="M3" s="943"/>
      <c r="N3" s="943"/>
      <c r="O3" s="943"/>
      <c r="P3" s="943"/>
      <c r="Q3" s="943"/>
      <c r="R3" s="943"/>
      <c r="S3" s="943"/>
      <c r="T3" s="943"/>
      <c r="U3" s="943"/>
      <c r="V3" s="943"/>
      <c r="W3" s="943"/>
      <c r="X3" s="943"/>
      <c r="Y3" s="654"/>
      <c r="Z3" s="938" t="s">
        <v>109</v>
      </c>
      <c r="AA3" s="939"/>
      <c r="AB3" s="940"/>
    </row>
    <row r="4" spans="1:28" ht="15.75" customHeight="1" thickBot="1">
      <c r="A4" s="639"/>
      <c r="B4" s="655"/>
      <c r="C4" s="656"/>
      <c r="D4" s="656"/>
      <c r="E4" s="656"/>
      <c r="F4" s="656"/>
      <c r="G4" s="656"/>
      <c r="H4" s="656"/>
      <c r="I4" s="656"/>
      <c r="J4" s="656"/>
      <c r="K4" s="656"/>
      <c r="L4" s="656"/>
      <c r="M4" s="656"/>
      <c r="N4" s="656"/>
      <c r="O4" s="656"/>
      <c r="P4" s="656"/>
      <c r="Q4" s="656"/>
      <c r="R4" s="656"/>
      <c r="S4" s="656"/>
      <c r="T4" s="656"/>
      <c r="U4" s="656"/>
      <c r="V4" s="656"/>
      <c r="W4" s="656"/>
      <c r="X4" s="656"/>
      <c r="Y4" s="657"/>
      <c r="Z4" s="658" t="s">
        <v>6</v>
      </c>
      <c r="AA4" s="659"/>
      <c r="AB4" s="660"/>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661" t="s">
        <v>14</v>
      </c>
      <c r="B7" s="662"/>
      <c r="C7" s="667"/>
      <c r="D7" s="668"/>
      <c r="E7" s="668"/>
      <c r="F7" s="668"/>
      <c r="G7" s="668"/>
      <c r="H7" s="668"/>
      <c r="I7" s="668"/>
      <c r="J7" s="668"/>
      <c r="K7" s="669"/>
      <c r="L7" s="62"/>
      <c r="M7" s="63"/>
      <c r="N7" s="63"/>
      <c r="O7" s="63"/>
      <c r="P7" s="63"/>
      <c r="Q7" s="64"/>
      <c r="R7" s="807" t="s">
        <v>8</v>
      </c>
      <c r="S7" s="808"/>
      <c r="T7" s="809"/>
      <c r="U7" s="884" t="s">
        <v>110</v>
      </c>
      <c r="V7" s="885"/>
      <c r="W7" s="807" t="s">
        <v>9</v>
      </c>
      <c r="X7" s="809"/>
      <c r="Y7" s="682" t="s">
        <v>10</v>
      </c>
      <c r="Z7" s="683"/>
      <c r="AA7" s="687"/>
      <c r="AB7" s="688"/>
    </row>
    <row r="8" spans="1:28" ht="15" customHeight="1">
      <c r="A8" s="663"/>
      <c r="B8" s="664"/>
      <c r="C8" s="652"/>
      <c r="D8" s="943"/>
      <c r="E8" s="943"/>
      <c r="F8" s="943"/>
      <c r="G8" s="943"/>
      <c r="H8" s="943"/>
      <c r="I8" s="943"/>
      <c r="J8" s="943"/>
      <c r="K8" s="654"/>
      <c r="L8" s="62"/>
      <c r="M8" s="63"/>
      <c r="N8" s="63"/>
      <c r="O8" s="63"/>
      <c r="P8" s="63"/>
      <c r="Q8" s="64"/>
      <c r="R8" s="715"/>
      <c r="S8" s="941"/>
      <c r="T8" s="717"/>
      <c r="U8" s="886"/>
      <c r="V8" s="887"/>
      <c r="W8" s="715"/>
      <c r="X8" s="717"/>
      <c r="Y8" s="689" t="s">
        <v>12</v>
      </c>
      <c r="Z8" s="690"/>
      <c r="AA8" s="691"/>
      <c r="AB8" s="692"/>
    </row>
    <row r="9" spans="1:28" ht="15" customHeight="1" thickBot="1">
      <c r="A9" s="665"/>
      <c r="B9" s="666"/>
      <c r="C9" s="655"/>
      <c r="D9" s="656"/>
      <c r="E9" s="656"/>
      <c r="F9" s="656"/>
      <c r="G9" s="656"/>
      <c r="H9" s="656"/>
      <c r="I9" s="656"/>
      <c r="J9" s="656"/>
      <c r="K9" s="657"/>
      <c r="L9" s="62"/>
      <c r="M9" s="63"/>
      <c r="N9" s="63"/>
      <c r="O9" s="63"/>
      <c r="P9" s="63"/>
      <c r="Q9" s="64"/>
      <c r="R9" s="890"/>
      <c r="S9" s="942"/>
      <c r="T9" s="891"/>
      <c r="U9" s="888"/>
      <c r="V9" s="889"/>
      <c r="W9" s="890"/>
      <c r="X9" s="891"/>
      <c r="Y9" s="693" t="s">
        <v>13</v>
      </c>
      <c r="Z9" s="694"/>
      <c r="AA9" s="944"/>
      <c r="AB9" s="945"/>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697" t="s">
        <v>16</v>
      </c>
      <c r="B11" s="698"/>
      <c r="C11" s="892"/>
      <c r="D11" s="893"/>
      <c r="E11" s="893"/>
      <c r="F11" s="893"/>
      <c r="G11" s="893"/>
      <c r="H11" s="893"/>
      <c r="I11" s="893"/>
      <c r="J11" s="893"/>
      <c r="K11" s="894"/>
      <c r="L11" s="72"/>
      <c r="M11" s="699" t="s">
        <v>18</v>
      </c>
      <c r="N11" s="700"/>
      <c r="O11" s="700"/>
      <c r="P11" s="700"/>
      <c r="Q11" s="701"/>
      <c r="R11" s="702"/>
      <c r="S11" s="703"/>
      <c r="T11" s="703"/>
      <c r="U11" s="703"/>
      <c r="V11" s="704"/>
      <c r="W11" s="699" t="s">
        <v>20</v>
      </c>
      <c r="X11" s="701"/>
      <c r="Y11" s="684"/>
      <c r="Z11" s="685"/>
      <c r="AA11" s="685"/>
      <c r="AB11" s="686"/>
    </row>
    <row r="12" spans="1:28" ht="9" customHeight="1" thickBot="1">
      <c r="A12" s="59"/>
      <c r="B12" s="54"/>
      <c r="C12" s="707"/>
      <c r="D12" s="707"/>
      <c r="E12" s="707"/>
      <c r="F12" s="707"/>
      <c r="G12" s="707"/>
      <c r="H12" s="707"/>
      <c r="I12" s="707"/>
      <c r="J12" s="707"/>
      <c r="K12" s="707"/>
      <c r="L12" s="707"/>
      <c r="M12" s="707"/>
      <c r="N12" s="707"/>
      <c r="O12" s="707"/>
      <c r="P12" s="707"/>
      <c r="Q12" s="707"/>
      <c r="R12" s="707"/>
      <c r="S12" s="707"/>
      <c r="T12" s="707"/>
      <c r="U12" s="707"/>
      <c r="V12" s="707"/>
      <c r="W12" s="707"/>
      <c r="X12" s="707"/>
      <c r="Y12" s="707"/>
      <c r="Z12" s="707"/>
      <c r="AA12" s="73"/>
      <c r="AB12" s="74"/>
    </row>
    <row r="13" spans="1:28" s="76" customFormat="1" ht="37.5" customHeight="1" thickBot="1">
      <c r="A13" s="697" t="s">
        <v>22</v>
      </c>
      <c r="B13" s="698"/>
      <c r="C13" s="810"/>
      <c r="D13" s="811"/>
      <c r="E13" s="811"/>
      <c r="F13" s="811"/>
      <c r="G13" s="811"/>
      <c r="H13" s="811"/>
      <c r="I13" s="811"/>
      <c r="J13" s="811"/>
      <c r="K13" s="811"/>
      <c r="L13" s="811"/>
      <c r="M13" s="811"/>
      <c r="N13" s="811"/>
      <c r="O13" s="811"/>
      <c r="P13" s="811"/>
      <c r="Q13" s="812"/>
      <c r="R13" s="54"/>
      <c r="S13" s="914" t="s">
        <v>111</v>
      </c>
      <c r="T13" s="914"/>
      <c r="U13" s="75"/>
      <c r="V13" s="919" t="s">
        <v>25</v>
      </c>
      <c r="W13" s="914"/>
      <c r="X13" s="914"/>
      <c r="Y13" s="914"/>
      <c r="Z13" s="54"/>
      <c r="AA13" s="713"/>
      <c r="AB13" s="714"/>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661" t="s">
        <v>7</v>
      </c>
      <c r="B15" s="662"/>
      <c r="C15" s="931" t="s">
        <v>112</v>
      </c>
      <c r="D15" s="80"/>
      <c r="E15" s="80"/>
      <c r="F15" s="80"/>
      <c r="G15" s="80"/>
      <c r="H15" s="80"/>
      <c r="I15" s="80"/>
      <c r="J15" s="70"/>
      <c r="K15" s="81"/>
      <c r="L15" s="70"/>
      <c r="M15" s="60"/>
      <c r="N15" s="60"/>
      <c r="O15" s="60"/>
      <c r="P15" s="60"/>
      <c r="Q15" s="920" t="s">
        <v>26</v>
      </c>
      <c r="R15" s="921"/>
      <c r="S15" s="921"/>
      <c r="T15" s="921"/>
      <c r="U15" s="921"/>
      <c r="V15" s="921"/>
      <c r="W15" s="921"/>
      <c r="X15" s="921"/>
      <c r="Y15" s="921"/>
      <c r="Z15" s="921"/>
      <c r="AA15" s="921"/>
      <c r="AB15" s="922"/>
    </row>
    <row r="16" spans="1:28" ht="35.25" customHeight="1" thickBot="1">
      <c r="A16" s="665"/>
      <c r="B16" s="666"/>
      <c r="C16" s="932"/>
      <c r="D16" s="80"/>
      <c r="E16" s="80"/>
      <c r="F16" s="80"/>
      <c r="G16" s="80"/>
      <c r="H16" s="80"/>
      <c r="I16" s="80"/>
      <c r="J16" s="70"/>
      <c r="K16" s="70"/>
      <c r="L16" s="70"/>
      <c r="M16" s="60"/>
      <c r="N16" s="60"/>
      <c r="O16" s="60"/>
      <c r="P16" s="60"/>
      <c r="Q16" s="915" t="s">
        <v>113</v>
      </c>
      <c r="R16" s="882"/>
      <c r="S16" s="882"/>
      <c r="T16" s="882"/>
      <c r="U16" s="882"/>
      <c r="V16" s="916"/>
      <c r="W16" s="881" t="s">
        <v>114</v>
      </c>
      <c r="X16" s="882"/>
      <c r="Y16" s="882"/>
      <c r="Z16" s="882"/>
      <c r="AA16" s="882"/>
      <c r="AB16" s="883"/>
    </row>
    <row r="17" spans="1:39" ht="27" customHeight="1">
      <c r="A17" s="82"/>
      <c r="B17" s="60"/>
      <c r="C17" s="60"/>
      <c r="D17" s="80"/>
      <c r="E17" s="80"/>
      <c r="F17" s="80"/>
      <c r="G17" s="80"/>
      <c r="H17" s="80"/>
      <c r="I17" s="80"/>
      <c r="J17" s="80"/>
      <c r="K17" s="80"/>
      <c r="L17" s="80"/>
      <c r="M17" s="60"/>
      <c r="N17" s="60"/>
      <c r="O17" s="60"/>
      <c r="P17" s="60"/>
      <c r="Q17" s="898" t="s">
        <v>115</v>
      </c>
      <c r="R17" s="899"/>
      <c r="S17" s="900"/>
      <c r="T17" s="904" t="s">
        <v>116</v>
      </c>
      <c r="U17" s="905"/>
      <c r="V17" s="906"/>
      <c r="W17" s="946" t="s">
        <v>115</v>
      </c>
      <c r="X17" s="900"/>
      <c r="Y17" s="946" t="s">
        <v>117</v>
      </c>
      <c r="Z17" s="900"/>
      <c r="AA17" s="904" t="s">
        <v>118</v>
      </c>
      <c r="AB17" s="947"/>
      <c r="AC17" s="83"/>
      <c r="AD17" s="83"/>
    </row>
    <row r="18" spans="1:39" ht="27" customHeight="1">
      <c r="A18" s="82"/>
      <c r="B18" s="60"/>
      <c r="C18" s="60"/>
      <c r="D18" s="80"/>
      <c r="E18" s="80"/>
      <c r="F18" s="80"/>
      <c r="G18" s="80"/>
      <c r="H18" s="80"/>
      <c r="I18" s="80"/>
      <c r="J18" s="80"/>
      <c r="K18" s="80"/>
      <c r="L18" s="80"/>
      <c r="M18" s="60"/>
      <c r="N18" s="60"/>
      <c r="O18" s="60"/>
      <c r="P18" s="60"/>
      <c r="Q18" s="156"/>
      <c r="R18" s="157"/>
      <c r="S18" s="158"/>
      <c r="T18" s="904"/>
      <c r="U18" s="905"/>
      <c r="V18" s="906"/>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895"/>
      <c r="R19" s="896"/>
      <c r="S19" s="897"/>
      <c r="T19" s="903"/>
      <c r="U19" s="896"/>
      <c r="V19" s="897"/>
      <c r="W19" s="923"/>
      <c r="X19" s="924"/>
      <c r="Y19" s="948"/>
      <c r="Z19" s="949"/>
      <c r="AA19" s="901"/>
      <c r="AB19" s="902"/>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722" t="s">
        <v>47</v>
      </c>
      <c r="B21" s="723"/>
      <c r="C21" s="724"/>
      <c r="D21" s="724"/>
      <c r="E21" s="724"/>
      <c r="F21" s="724"/>
      <c r="G21" s="724"/>
      <c r="H21" s="724"/>
      <c r="I21" s="724"/>
      <c r="J21" s="724"/>
      <c r="K21" s="724"/>
      <c r="L21" s="724"/>
      <c r="M21" s="724"/>
      <c r="N21" s="724"/>
      <c r="O21" s="724"/>
      <c r="P21" s="724"/>
      <c r="Q21" s="724"/>
      <c r="R21" s="724"/>
      <c r="S21" s="724"/>
      <c r="T21" s="724"/>
      <c r="U21" s="724"/>
      <c r="V21" s="724"/>
      <c r="W21" s="724"/>
      <c r="X21" s="724"/>
      <c r="Y21" s="724"/>
      <c r="Z21" s="724"/>
      <c r="AA21" s="724"/>
      <c r="AB21" s="725"/>
    </row>
    <row r="22" spans="1:39" ht="15" customHeight="1">
      <c r="A22" s="726" t="s">
        <v>48</v>
      </c>
      <c r="B22" s="728" t="s">
        <v>49</v>
      </c>
      <c r="C22" s="729"/>
      <c r="D22" s="732" t="s">
        <v>119</v>
      </c>
      <c r="E22" s="733"/>
      <c r="F22" s="733"/>
      <c r="G22" s="733"/>
      <c r="H22" s="733"/>
      <c r="I22" s="733"/>
      <c r="J22" s="733"/>
      <c r="K22" s="733"/>
      <c r="L22" s="733"/>
      <c r="M22" s="733"/>
      <c r="N22" s="733"/>
      <c r="O22" s="734"/>
      <c r="P22" s="735" t="s">
        <v>41</v>
      </c>
      <c r="Q22" s="735" t="s">
        <v>51</v>
      </c>
      <c r="R22" s="735"/>
      <c r="S22" s="735"/>
      <c r="T22" s="735"/>
      <c r="U22" s="735"/>
      <c r="V22" s="735"/>
      <c r="W22" s="735"/>
      <c r="X22" s="735"/>
      <c r="Y22" s="735"/>
      <c r="Z22" s="735"/>
      <c r="AA22" s="735"/>
      <c r="AB22" s="706"/>
    </row>
    <row r="23" spans="1:39" ht="27" customHeight="1">
      <c r="A23" s="727"/>
      <c r="B23" s="730"/>
      <c r="C23" s="731"/>
      <c r="D23" s="88" t="s">
        <v>29</v>
      </c>
      <c r="E23" s="88" t="s">
        <v>30</v>
      </c>
      <c r="F23" s="88" t="s">
        <v>31</v>
      </c>
      <c r="G23" s="88" t="s">
        <v>32</v>
      </c>
      <c r="H23" s="88" t="s">
        <v>33</v>
      </c>
      <c r="I23" s="88" t="s">
        <v>34</v>
      </c>
      <c r="J23" s="88" t="s">
        <v>35</v>
      </c>
      <c r="K23" s="88" t="s">
        <v>36</v>
      </c>
      <c r="L23" s="88" t="s">
        <v>37</v>
      </c>
      <c r="M23" s="88" t="s">
        <v>38</v>
      </c>
      <c r="N23" s="88" t="s">
        <v>39</v>
      </c>
      <c r="O23" s="88" t="s">
        <v>40</v>
      </c>
      <c r="P23" s="734"/>
      <c r="Q23" s="735"/>
      <c r="R23" s="735"/>
      <c r="S23" s="735"/>
      <c r="T23" s="735"/>
      <c r="U23" s="735"/>
      <c r="V23" s="735"/>
      <c r="W23" s="735"/>
      <c r="X23" s="735"/>
      <c r="Y23" s="735"/>
      <c r="Z23" s="735"/>
      <c r="AA23" s="735"/>
      <c r="AB23" s="706"/>
    </row>
    <row r="24" spans="1:39" ht="42" customHeight="1" thickBot="1">
      <c r="A24" s="85"/>
      <c r="B24" s="800"/>
      <c r="C24" s="801"/>
      <c r="D24" s="89"/>
      <c r="E24" s="89"/>
      <c r="F24" s="89"/>
      <c r="G24" s="89"/>
      <c r="H24" s="89"/>
      <c r="I24" s="89"/>
      <c r="J24" s="89"/>
      <c r="K24" s="89"/>
      <c r="L24" s="89"/>
      <c r="M24" s="89"/>
      <c r="N24" s="89"/>
      <c r="O24" s="89"/>
      <c r="P24" s="86">
        <f>SUM(D24:O24)</f>
        <v>0</v>
      </c>
      <c r="Q24" s="952" t="s">
        <v>52</v>
      </c>
      <c r="R24" s="952"/>
      <c r="S24" s="952"/>
      <c r="T24" s="952"/>
      <c r="U24" s="952"/>
      <c r="V24" s="952"/>
      <c r="W24" s="952"/>
      <c r="X24" s="952"/>
      <c r="Y24" s="952"/>
      <c r="Z24" s="952"/>
      <c r="AA24" s="952"/>
      <c r="AB24" s="953"/>
    </row>
    <row r="25" spans="1:39" ht="21.95" customHeight="1">
      <c r="A25" s="740" t="s">
        <v>53</v>
      </c>
      <c r="B25" s="741"/>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2"/>
    </row>
    <row r="26" spans="1:39" ht="23.1" customHeight="1">
      <c r="A26" s="705" t="s">
        <v>54</v>
      </c>
      <c r="B26" s="735" t="s">
        <v>55</v>
      </c>
      <c r="C26" s="735" t="s">
        <v>49</v>
      </c>
      <c r="D26" s="735" t="s">
        <v>56</v>
      </c>
      <c r="E26" s="735"/>
      <c r="F26" s="735"/>
      <c r="G26" s="735"/>
      <c r="H26" s="735"/>
      <c r="I26" s="735"/>
      <c r="J26" s="735"/>
      <c r="K26" s="735"/>
      <c r="L26" s="735"/>
      <c r="M26" s="735"/>
      <c r="N26" s="735"/>
      <c r="O26" s="735"/>
      <c r="P26" s="735"/>
      <c r="Q26" s="735" t="s">
        <v>57</v>
      </c>
      <c r="R26" s="735"/>
      <c r="S26" s="735"/>
      <c r="T26" s="735"/>
      <c r="U26" s="735"/>
      <c r="V26" s="735"/>
      <c r="W26" s="735"/>
      <c r="X26" s="735"/>
      <c r="Y26" s="735"/>
      <c r="Z26" s="735"/>
      <c r="AA26" s="735"/>
      <c r="AB26" s="706"/>
      <c r="AE26" s="87"/>
      <c r="AF26" s="87"/>
      <c r="AG26" s="87"/>
      <c r="AH26" s="87"/>
      <c r="AI26" s="87"/>
      <c r="AJ26" s="87"/>
      <c r="AK26" s="87"/>
      <c r="AL26" s="87"/>
      <c r="AM26" s="87"/>
    </row>
    <row r="27" spans="1:39" ht="23.1" customHeight="1">
      <c r="A27" s="705"/>
      <c r="B27" s="735"/>
      <c r="C27" s="743"/>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730" t="s">
        <v>58</v>
      </c>
      <c r="R27" s="744"/>
      <c r="S27" s="744"/>
      <c r="T27" s="731"/>
      <c r="U27" s="730" t="s">
        <v>59</v>
      </c>
      <c r="V27" s="744"/>
      <c r="W27" s="744"/>
      <c r="X27" s="731"/>
      <c r="Y27" s="730" t="s">
        <v>60</v>
      </c>
      <c r="Z27" s="744"/>
      <c r="AA27" s="744"/>
      <c r="AB27" s="749"/>
      <c r="AE27" s="87"/>
      <c r="AF27" s="87"/>
      <c r="AG27" s="87"/>
      <c r="AH27" s="87"/>
      <c r="AI27" s="87"/>
      <c r="AJ27" s="87"/>
      <c r="AK27" s="87"/>
      <c r="AL27" s="87"/>
      <c r="AM27" s="87"/>
    </row>
    <row r="28" spans="1:39" ht="33" customHeight="1">
      <c r="A28" s="950"/>
      <c r="B28" s="880"/>
      <c r="C28" s="90" t="s">
        <v>61</v>
      </c>
      <c r="D28" s="89"/>
      <c r="E28" s="89"/>
      <c r="F28" s="89"/>
      <c r="G28" s="89"/>
      <c r="H28" s="89"/>
      <c r="I28" s="89"/>
      <c r="J28" s="89"/>
      <c r="K28" s="89"/>
      <c r="L28" s="89"/>
      <c r="M28" s="89"/>
      <c r="N28" s="89"/>
      <c r="O28" s="89"/>
      <c r="P28" s="154">
        <f>SUM(D28:O28)</f>
        <v>0</v>
      </c>
      <c r="Q28" s="792" t="s">
        <v>62</v>
      </c>
      <c r="R28" s="793"/>
      <c r="S28" s="793"/>
      <c r="T28" s="794"/>
      <c r="U28" s="792" t="s">
        <v>63</v>
      </c>
      <c r="V28" s="793"/>
      <c r="W28" s="793"/>
      <c r="X28" s="794"/>
      <c r="Y28" s="792" t="s">
        <v>64</v>
      </c>
      <c r="Z28" s="793"/>
      <c r="AA28" s="793"/>
      <c r="AB28" s="798"/>
      <c r="AE28" s="87"/>
      <c r="AF28" s="87"/>
      <c r="AG28" s="87"/>
      <c r="AH28" s="87"/>
      <c r="AI28" s="87"/>
      <c r="AJ28" s="87"/>
      <c r="AK28" s="87"/>
      <c r="AL28" s="87"/>
      <c r="AM28" s="87"/>
    </row>
    <row r="29" spans="1:39" ht="33.950000000000003" customHeight="1" thickBot="1">
      <c r="A29" s="951"/>
      <c r="B29" s="788"/>
      <c r="C29" s="91" t="s">
        <v>65</v>
      </c>
      <c r="D29" s="92"/>
      <c r="E29" s="92"/>
      <c r="F29" s="92"/>
      <c r="G29" s="93"/>
      <c r="H29" s="93"/>
      <c r="I29" s="93"/>
      <c r="J29" s="93"/>
      <c r="K29" s="93"/>
      <c r="L29" s="93"/>
      <c r="M29" s="93"/>
      <c r="N29" s="93"/>
      <c r="O29" s="93"/>
      <c r="P29" s="155">
        <f>SUM(D29:O29)</f>
        <v>0</v>
      </c>
      <c r="Q29" s="795"/>
      <c r="R29" s="796"/>
      <c r="S29" s="796"/>
      <c r="T29" s="797"/>
      <c r="U29" s="795"/>
      <c r="V29" s="796"/>
      <c r="W29" s="796"/>
      <c r="X29" s="797"/>
      <c r="Y29" s="795"/>
      <c r="Z29" s="796"/>
      <c r="AA29" s="796"/>
      <c r="AB29" s="799"/>
      <c r="AC29" s="49"/>
      <c r="AE29" s="87"/>
      <c r="AF29" s="87"/>
      <c r="AG29" s="87"/>
      <c r="AH29" s="87"/>
      <c r="AI29" s="87"/>
      <c r="AJ29" s="87"/>
      <c r="AK29" s="87"/>
      <c r="AL29" s="87"/>
      <c r="AM29" s="87"/>
    </row>
    <row r="30" spans="1:39" ht="26.1" customHeight="1">
      <c r="A30" s="718" t="s">
        <v>66</v>
      </c>
      <c r="B30" s="779" t="s">
        <v>67</v>
      </c>
      <c r="C30" s="781" t="s">
        <v>68</v>
      </c>
      <c r="D30" s="781"/>
      <c r="E30" s="781"/>
      <c r="F30" s="781"/>
      <c r="G30" s="781"/>
      <c r="H30" s="781"/>
      <c r="I30" s="781"/>
      <c r="J30" s="781"/>
      <c r="K30" s="781"/>
      <c r="L30" s="781"/>
      <c r="M30" s="781"/>
      <c r="N30" s="781"/>
      <c r="O30" s="781"/>
      <c r="P30" s="781"/>
      <c r="Q30" s="782" t="s">
        <v>69</v>
      </c>
      <c r="R30" s="783"/>
      <c r="S30" s="783"/>
      <c r="T30" s="783"/>
      <c r="U30" s="783"/>
      <c r="V30" s="783"/>
      <c r="W30" s="783"/>
      <c r="X30" s="783"/>
      <c r="Y30" s="783"/>
      <c r="Z30" s="783"/>
      <c r="AA30" s="783"/>
      <c r="AB30" s="784"/>
      <c r="AE30" s="87"/>
      <c r="AF30" s="87"/>
      <c r="AG30" s="87"/>
      <c r="AH30" s="87"/>
      <c r="AI30" s="87"/>
      <c r="AJ30" s="87"/>
      <c r="AK30" s="87"/>
      <c r="AL30" s="87"/>
      <c r="AM30" s="87"/>
    </row>
    <row r="31" spans="1:39" ht="26.1" customHeight="1">
      <c r="A31" s="705"/>
      <c r="B31" s="780"/>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732" t="s">
        <v>84</v>
      </c>
      <c r="R31" s="733"/>
      <c r="S31" s="733"/>
      <c r="T31" s="733"/>
      <c r="U31" s="733"/>
      <c r="V31" s="733"/>
      <c r="W31" s="733"/>
      <c r="X31" s="733"/>
      <c r="Y31" s="733"/>
      <c r="Z31" s="733"/>
      <c r="AA31" s="733"/>
      <c r="AB31" s="785"/>
      <c r="AE31" s="94"/>
      <c r="AF31" s="94"/>
      <c r="AG31" s="94"/>
      <c r="AH31" s="94"/>
      <c r="AI31" s="94"/>
      <c r="AJ31" s="94"/>
      <c r="AK31" s="94"/>
      <c r="AL31" s="94"/>
      <c r="AM31" s="94"/>
    </row>
    <row r="32" spans="1:39" ht="28.5" customHeight="1">
      <c r="A32" s="958"/>
      <c r="B32" s="956"/>
      <c r="C32" s="90" t="s">
        <v>61</v>
      </c>
      <c r="D32" s="95"/>
      <c r="E32" s="95"/>
      <c r="F32" s="95"/>
      <c r="G32" s="95"/>
      <c r="H32" s="95"/>
      <c r="I32" s="95"/>
      <c r="J32" s="95"/>
      <c r="K32" s="95"/>
      <c r="L32" s="95"/>
      <c r="M32" s="95"/>
      <c r="N32" s="95"/>
      <c r="O32" s="95"/>
      <c r="P32" s="96">
        <f t="shared" ref="P32:P39" si="0">SUM(D32:O32)</f>
        <v>0</v>
      </c>
      <c r="Q32" s="925" t="s">
        <v>94</v>
      </c>
      <c r="R32" s="926"/>
      <c r="S32" s="926"/>
      <c r="T32" s="926"/>
      <c r="U32" s="926"/>
      <c r="V32" s="926"/>
      <c r="W32" s="926"/>
      <c r="X32" s="926"/>
      <c r="Y32" s="926"/>
      <c r="Z32" s="926"/>
      <c r="AA32" s="926"/>
      <c r="AB32" s="927"/>
      <c r="AC32" s="97"/>
      <c r="AE32" s="98"/>
      <c r="AF32" s="98"/>
      <c r="AG32" s="98"/>
      <c r="AH32" s="98"/>
      <c r="AI32" s="98"/>
      <c r="AJ32" s="98"/>
      <c r="AK32" s="98"/>
      <c r="AL32" s="98"/>
      <c r="AM32" s="98"/>
    </row>
    <row r="33" spans="1:29" ht="28.5" customHeight="1">
      <c r="A33" s="959"/>
      <c r="B33" s="957"/>
      <c r="C33" s="99" t="s">
        <v>65</v>
      </c>
      <c r="D33" s="100"/>
      <c r="E33" s="100"/>
      <c r="F33" s="100"/>
      <c r="G33" s="100"/>
      <c r="H33" s="100"/>
      <c r="I33" s="100"/>
      <c r="J33" s="100"/>
      <c r="K33" s="100"/>
      <c r="L33" s="100"/>
      <c r="M33" s="100"/>
      <c r="N33" s="100"/>
      <c r="O33" s="100"/>
      <c r="P33" s="101">
        <f t="shared" si="0"/>
        <v>0</v>
      </c>
      <c r="Q33" s="928"/>
      <c r="R33" s="929"/>
      <c r="S33" s="929"/>
      <c r="T33" s="929"/>
      <c r="U33" s="929"/>
      <c r="V33" s="929"/>
      <c r="W33" s="929"/>
      <c r="X33" s="929"/>
      <c r="Y33" s="929"/>
      <c r="Z33" s="929"/>
      <c r="AA33" s="929"/>
      <c r="AB33" s="930"/>
      <c r="AC33" s="97"/>
    </row>
    <row r="34" spans="1:29" ht="28.5" customHeight="1">
      <c r="A34" s="959"/>
      <c r="B34" s="933"/>
      <c r="C34" s="102" t="s">
        <v>61</v>
      </c>
      <c r="D34" s="103"/>
      <c r="E34" s="103"/>
      <c r="F34" s="103"/>
      <c r="G34" s="103"/>
      <c r="H34" s="103"/>
      <c r="I34" s="103"/>
      <c r="J34" s="103"/>
      <c r="K34" s="103"/>
      <c r="L34" s="103"/>
      <c r="M34" s="103"/>
      <c r="N34" s="103"/>
      <c r="O34" s="103"/>
      <c r="P34" s="101">
        <f t="shared" si="0"/>
        <v>0</v>
      </c>
      <c r="Q34" s="907"/>
      <c r="R34" s="908"/>
      <c r="S34" s="908"/>
      <c r="T34" s="908"/>
      <c r="U34" s="908"/>
      <c r="V34" s="908"/>
      <c r="W34" s="908"/>
      <c r="X34" s="908"/>
      <c r="Y34" s="908"/>
      <c r="Z34" s="908"/>
      <c r="AA34" s="908"/>
      <c r="AB34" s="909"/>
      <c r="AC34" s="97"/>
    </row>
    <row r="35" spans="1:29" ht="28.5" customHeight="1">
      <c r="A35" s="959"/>
      <c r="B35" s="957"/>
      <c r="C35" s="99" t="s">
        <v>65</v>
      </c>
      <c r="D35" s="100"/>
      <c r="E35" s="100"/>
      <c r="F35" s="100"/>
      <c r="G35" s="100"/>
      <c r="H35" s="100"/>
      <c r="I35" s="100"/>
      <c r="J35" s="100"/>
      <c r="K35" s="100"/>
      <c r="L35" s="104"/>
      <c r="M35" s="104"/>
      <c r="N35" s="104"/>
      <c r="O35" s="104"/>
      <c r="P35" s="101">
        <f t="shared" si="0"/>
        <v>0</v>
      </c>
      <c r="Q35" s="910"/>
      <c r="R35" s="911"/>
      <c r="S35" s="911"/>
      <c r="T35" s="911"/>
      <c r="U35" s="911"/>
      <c r="V35" s="911"/>
      <c r="W35" s="911"/>
      <c r="X35" s="911"/>
      <c r="Y35" s="911"/>
      <c r="Z35" s="911"/>
      <c r="AA35" s="911"/>
      <c r="AB35" s="912"/>
      <c r="AC35" s="97"/>
    </row>
    <row r="36" spans="1:29" ht="28.5" customHeight="1">
      <c r="A36" s="954"/>
      <c r="B36" s="933"/>
      <c r="C36" s="102" t="s">
        <v>61</v>
      </c>
      <c r="D36" s="103"/>
      <c r="E36" s="103"/>
      <c r="F36" s="103"/>
      <c r="G36" s="103"/>
      <c r="H36" s="103"/>
      <c r="I36" s="103"/>
      <c r="J36" s="103"/>
      <c r="K36" s="103"/>
      <c r="L36" s="103"/>
      <c r="M36" s="103"/>
      <c r="N36" s="103"/>
      <c r="O36" s="103"/>
      <c r="P36" s="101">
        <f t="shared" si="0"/>
        <v>0</v>
      </c>
      <c r="Q36" s="907"/>
      <c r="R36" s="908"/>
      <c r="S36" s="908"/>
      <c r="T36" s="908"/>
      <c r="U36" s="908"/>
      <c r="V36" s="908"/>
      <c r="W36" s="908"/>
      <c r="X36" s="908"/>
      <c r="Y36" s="908"/>
      <c r="Z36" s="908"/>
      <c r="AA36" s="908"/>
      <c r="AB36" s="909"/>
      <c r="AC36" s="97"/>
    </row>
    <row r="37" spans="1:29" ht="28.5" customHeight="1">
      <c r="A37" s="955"/>
      <c r="B37" s="957"/>
      <c r="C37" s="99" t="s">
        <v>65</v>
      </c>
      <c r="D37" s="100"/>
      <c r="E37" s="100"/>
      <c r="F37" s="100"/>
      <c r="G37" s="100"/>
      <c r="H37" s="100"/>
      <c r="I37" s="100"/>
      <c r="J37" s="100"/>
      <c r="K37" s="100"/>
      <c r="L37" s="104"/>
      <c r="M37" s="104"/>
      <c r="N37" s="104"/>
      <c r="O37" s="104"/>
      <c r="P37" s="101">
        <f t="shared" si="0"/>
        <v>0</v>
      </c>
      <c r="Q37" s="910"/>
      <c r="R37" s="911"/>
      <c r="S37" s="911"/>
      <c r="T37" s="911"/>
      <c r="U37" s="911"/>
      <c r="V37" s="911"/>
      <c r="W37" s="911"/>
      <c r="X37" s="911"/>
      <c r="Y37" s="911"/>
      <c r="Z37" s="911"/>
      <c r="AA37" s="911"/>
      <c r="AB37" s="912"/>
      <c r="AC37" s="97"/>
    </row>
    <row r="38" spans="1:29" ht="28.5" customHeight="1">
      <c r="A38" s="917"/>
      <c r="B38" s="933"/>
      <c r="C38" s="102" t="s">
        <v>61</v>
      </c>
      <c r="D38" s="103"/>
      <c r="E38" s="103"/>
      <c r="F38" s="103"/>
      <c r="G38" s="103"/>
      <c r="H38" s="103"/>
      <c r="I38" s="103"/>
      <c r="J38" s="103"/>
      <c r="K38" s="103"/>
      <c r="L38" s="103"/>
      <c r="M38" s="103"/>
      <c r="N38" s="103"/>
      <c r="O38" s="103"/>
      <c r="P38" s="101">
        <f t="shared" si="0"/>
        <v>0</v>
      </c>
      <c r="Q38" s="907"/>
      <c r="R38" s="908"/>
      <c r="S38" s="908"/>
      <c r="T38" s="908"/>
      <c r="U38" s="908"/>
      <c r="V38" s="908"/>
      <c r="W38" s="908"/>
      <c r="X38" s="908"/>
      <c r="Y38" s="908"/>
      <c r="Z38" s="908"/>
      <c r="AA38" s="908"/>
      <c r="AB38" s="909"/>
      <c r="AC38" s="97"/>
    </row>
    <row r="39" spans="1:29" ht="28.5" customHeight="1" thickBot="1">
      <c r="A39" s="918"/>
      <c r="B39" s="934"/>
      <c r="C39" s="91" t="s">
        <v>65</v>
      </c>
      <c r="D39" s="105"/>
      <c r="E39" s="105"/>
      <c r="F39" s="105"/>
      <c r="G39" s="105"/>
      <c r="H39" s="105"/>
      <c r="I39" s="105"/>
      <c r="J39" s="105"/>
      <c r="K39" s="105"/>
      <c r="L39" s="106"/>
      <c r="M39" s="106"/>
      <c r="N39" s="106"/>
      <c r="O39" s="106"/>
      <c r="P39" s="107">
        <f t="shared" si="0"/>
        <v>0</v>
      </c>
      <c r="Q39" s="935"/>
      <c r="R39" s="936"/>
      <c r="S39" s="936"/>
      <c r="T39" s="936"/>
      <c r="U39" s="936"/>
      <c r="V39" s="936"/>
      <c r="W39" s="936"/>
      <c r="X39" s="936"/>
      <c r="Y39" s="936"/>
      <c r="Z39" s="936"/>
      <c r="AA39" s="936"/>
      <c r="AB39" s="937"/>
      <c r="AC39" s="97"/>
    </row>
    <row r="40" spans="1:29">
      <c r="A40" s="50" t="s">
        <v>91</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X32"/>
  <sheetViews>
    <sheetView view="pageBreakPreview" zoomScale="60" zoomScaleNormal="75" workbookViewId="0">
      <selection activeCell="H13" sqref="H13"/>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8.140625" style="108" customWidth="1"/>
    <col min="15" max="16" width="6.42578125" style="108" customWidth="1"/>
    <col min="17" max="17" width="7.7109375" style="108" bestFit="1" customWidth="1"/>
    <col min="18" max="19" width="6.42578125" style="108" customWidth="1"/>
    <col min="20" max="20" width="17.42578125" style="108" customWidth="1"/>
    <col min="21" max="21" width="26.7109375" style="108" customWidth="1"/>
    <col min="22" max="33" width="9.85546875" style="114" bestFit="1" customWidth="1"/>
    <col min="34" max="34" width="5.85546875" style="108" customWidth="1"/>
    <col min="35" max="35" width="8.140625" style="108" bestFit="1" customWidth="1"/>
    <col min="36" max="45" width="5.85546875" style="108" customWidth="1"/>
    <col min="46" max="46" width="10.85546875" style="282"/>
    <col min="47" max="47" width="10.85546875" style="108"/>
    <col min="48" max="48" width="81.140625" style="108" customWidth="1"/>
    <col min="49" max="49" width="40.28515625" style="108" customWidth="1"/>
    <col min="50" max="50" width="28" style="108" customWidth="1"/>
    <col min="51" max="16384" width="10.85546875" style="108"/>
  </cols>
  <sheetData>
    <row r="1" spans="1:50" ht="15.95" customHeight="1">
      <c r="A1" s="973" t="s">
        <v>0</v>
      </c>
      <c r="B1" s="974"/>
      <c r="C1" s="974"/>
      <c r="D1" s="974"/>
      <c r="E1" s="974"/>
      <c r="F1" s="974"/>
      <c r="G1" s="974"/>
      <c r="H1" s="974"/>
      <c r="I1" s="974"/>
      <c r="J1" s="974"/>
      <c r="K1" s="974"/>
      <c r="L1" s="974"/>
      <c r="M1" s="974"/>
      <c r="N1" s="974"/>
      <c r="O1" s="974"/>
      <c r="P1" s="974"/>
      <c r="Q1" s="974"/>
      <c r="R1" s="974"/>
      <c r="S1" s="974"/>
      <c r="T1" s="974"/>
      <c r="U1" s="974"/>
      <c r="V1" s="974"/>
      <c r="W1" s="974"/>
      <c r="X1" s="974"/>
      <c r="Y1" s="974"/>
      <c r="Z1" s="974"/>
      <c r="AA1" s="974"/>
      <c r="AB1" s="974"/>
      <c r="AC1" s="974"/>
      <c r="AD1" s="974"/>
      <c r="AE1" s="974"/>
      <c r="AF1" s="974"/>
      <c r="AG1" s="974"/>
      <c r="AH1" s="974"/>
      <c r="AI1" s="974"/>
      <c r="AJ1" s="974"/>
      <c r="AK1" s="974"/>
      <c r="AL1" s="974"/>
      <c r="AM1" s="974"/>
      <c r="AN1" s="974"/>
      <c r="AO1" s="974"/>
      <c r="AP1" s="974"/>
      <c r="AQ1" s="974"/>
      <c r="AR1" s="974"/>
      <c r="AS1" s="974"/>
      <c r="AT1" s="974"/>
      <c r="AU1" s="974"/>
      <c r="AV1" s="975"/>
      <c r="AW1" s="643" t="s">
        <v>1</v>
      </c>
      <c r="AX1" s="645"/>
    </row>
    <row r="2" spans="1:50" ht="15.95" customHeight="1">
      <c r="A2" s="960" t="s">
        <v>2</v>
      </c>
      <c r="B2" s="961"/>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1"/>
      <c r="AL2" s="961"/>
      <c r="AM2" s="961"/>
      <c r="AN2" s="961"/>
      <c r="AO2" s="961"/>
      <c r="AP2" s="961"/>
      <c r="AQ2" s="961"/>
      <c r="AR2" s="961"/>
      <c r="AS2" s="961"/>
      <c r="AT2" s="961"/>
      <c r="AU2" s="961"/>
      <c r="AV2" s="962"/>
      <c r="AW2" s="649" t="s">
        <v>3</v>
      </c>
      <c r="AX2" s="651"/>
    </row>
    <row r="3" spans="1:50" ht="15" customHeight="1">
      <c r="A3" s="963" t="s">
        <v>120</v>
      </c>
      <c r="B3" s="964"/>
      <c r="C3" s="964"/>
      <c r="D3" s="964"/>
      <c r="E3" s="964"/>
      <c r="F3" s="964"/>
      <c r="G3" s="964"/>
      <c r="H3" s="964"/>
      <c r="I3" s="964"/>
      <c r="J3" s="964"/>
      <c r="K3" s="964"/>
      <c r="L3" s="964"/>
      <c r="M3" s="964"/>
      <c r="N3" s="964"/>
      <c r="O3" s="964"/>
      <c r="P3" s="964"/>
      <c r="Q3" s="964"/>
      <c r="R3" s="964"/>
      <c r="S3" s="964"/>
      <c r="T3" s="964"/>
      <c r="U3" s="964"/>
      <c r="V3" s="964"/>
      <c r="W3" s="964"/>
      <c r="X3" s="964"/>
      <c r="Y3" s="964"/>
      <c r="Z3" s="964"/>
      <c r="AA3" s="964"/>
      <c r="AB3" s="964"/>
      <c r="AC3" s="964"/>
      <c r="AD3" s="964"/>
      <c r="AE3" s="964"/>
      <c r="AF3" s="964"/>
      <c r="AG3" s="964"/>
      <c r="AH3" s="964"/>
      <c r="AI3" s="964"/>
      <c r="AJ3" s="964"/>
      <c r="AK3" s="964"/>
      <c r="AL3" s="964"/>
      <c r="AM3" s="964"/>
      <c r="AN3" s="964"/>
      <c r="AO3" s="964"/>
      <c r="AP3" s="964"/>
      <c r="AQ3" s="964"/>
      <c r="AR3" s="964"/>
      <c r="AS3" s="964"/>
      <c r="AT3" s="964"/>
      <c r="AU3" s="964"/>
      <c r="AV3" s="965"/>
      <c r="AW3" s="649" t="s">
        <v>5</v>
      </c>
      <c r="AX3" s="651"/>
    </row>
    <row r="4" spans="1:50" ht="15.95" customHeight="1">
      <c r="A4" s="966"/>
      <c r="B4" s="967"/>
      <c r="C4" s="967"/>
      <c r="D4" s="967"/>
      <c r="E4" s="967"/>
      <c r="F4" s="967"/>
      <c r="G4" s="967"/>
      <c r="H4" s="967"/>
      <c r="I4" s="967"/>
      <c r="J4" s="967"/>
      <c r="K4" s="967"/>
      <c r="L4" s="967"/>
      <c r="M4" s="967"/>
      <c r="N4" s="967"/>
      <c r="O4" s="967"/>
      <c r="P4" s="967"/>
      <c r="Q4" s="967"/>
      <c r="R4" s="967"/>
      <c r="S4" s="967"/>
      <c r="T4" s="967"/>
      <c r="U4" s="967"/>
      <c r="V4" s="967"/>
      <c r="W4" s="967"/>
      <c r="X4" s="967"/>
      <c r="Y4" s="967"/>
      <c r="Z4" s="967"/>
      <c r="AA4" s="967"/>
      <c r="AB4" s="967"/>
      <c r="AC4" s="967"/>
      <c r="AD4" s="967"/>
      <c r="AE4" s="967"/>
      <c r="AF4" s="967"/>
      <c r="AG4" s="967"/>
      <c r="AH4" s="967"/>
      <c r="AI4" s="967"/>
      <c r="AJ4" s="967"/>
      <c r="AK4" s="967"/>
      <c r="AL4" s="967"/>
      <c r="AM4" s="967"/>
      <c r="AN4" s="967"/>
      <c r="AO4" s="967"/>
      <c r="AP4" s="967"/>
      <c r="AQ4" s="967"/>
      <c r="AR4" s="967"/>
      <c r="AS4" s="967"/>
      <c r="AT4" s="967"/>
      <c r="AU4" s="967"/>
      <c r="AV4" s="968"/>
      <c r="AW4" s="971" t="s">
        <v>121</v>
      </c>
      <c r="AX4" s="972"/>
    </row>
    <row r="5" spans="1:50" ht="15" customHeight="1">
      <c r="A5" s="1035" t="s">
        <v>122</v>
      </c>
      <c r="B5" s="1036"/>
      <c r="C5" s="1036"/>
      <c r="D5" s="1036"/>
      <c r="E5" s="1036"/>
      <c r="F5" s="1036"/>
      <c r="G5" s="1036"/>
      <c r="H5" s="1036"/>
      <c r="I5" s="1036"/>
      <c r="J5" s="1036"/>
      <c r="K5" s="1036"/>
      <c r="L5" s="1036"/>
      <c r="M5" s="1036"/>
      <c r="N5" s="1036"/>
      <c r="O5" s="1036"/>
      <c r="P5" s="1036"/>
      <c r="Q5" s="1036"/>
      <c r="R5" s="1036"/>
      <c r="S5" s="1036"/>
      <c r="T5" s="1036"/>
      <c r="U5" s="1036"/>
      <c r="V5" s="1036"/>
      <c r="W5" s="1036"/>
      <c r="X5" s="1036"/>
      <c r="Y5" s="1036"/>
      <c r="Z5" s="1036"/>
      <c r="AA5" s="1036"/>
      <c r="AB5" s="1036"/>
      <c r="AC5" s="1036"/>
      <c r="AD5" s="1036"/>
      <c r="AE5" s="1036"/>
      <c r="AF5" s="1036"/>
      <c r="AG5" s="1037"/>
      <c r="AH5" s="983" t="s">
        <v>13</v>
      </c>
      <c r="AI5" s="984"/>
      <c r="AJ5" s="984"/>
      <c r="AK5" s="984"/>
      <c r="AL5" s="984"/>
      <c r="AM5" s="984"/>
      <c r="AN5" s="984"/>
      <c r="AO5" s="984"/>
      <c r="AP5" s="984"/>
      <c r="AQ5" s="984"/>
      <c r="AR5" s="984"/>
      <c r="AS5" s="984"/>
      <c r="AT5" s="984"/>
      <c r="AU5" s="985"/>
      <c r="AV5" s="980" t="s">
        <v>123</v>
      </c>
      <c r="AW5" s="980" t="s">
        <v>124</v>
      </c>
      <c r="AX5" s="976" t="s">
        <v>125</v>
      </c>
    </row>
    <row r="6" spans="1:50" ht="15" customHeight="1">
      <c r="A6" s="1038" t="s">
        <v>8</v>
      </c>
      <c r="B6" s="1039"/>
      <c r="C6" s="1039"/>
      <c r="D6" s="1040">
        <v>44624</v>
      </c>
      <c r="E6" s="1041"/>
      <c r="F6" s="1039" t="s">
        <v>9</v>
      </c>
      <c r="G6" s="1039"/>
      <c r="H6" s="979" t="s">
        <v>10</v>
      </c>
      <c r="I6" s="979"/>
      <c r="J6" s="110"/>
      <c r="K6" s="983"/>
      <c r="L6" s="984"/>
      <c r="M6" s="984"/>
      <c r="N6" s="984"/>
      <c r="O6" s="984"/>
      <c r="P6" s="984"/>
      <c r="Q6" s="984"/>
      <c r="R6" s="984"/>
      <c r="S6" s="984"/>
      <c r="T6" s="984"/>
      <c r="U6" s="984"/>
      <c r="V6" s="551"/>
      <c r="W6" s="551"/>
      <c r="X6" s="551"/>
      <c r="Y6" s="551"/>
      <c r="Z6" s="551"/>
      <c r="AA6" s="551"/>
      <c r="AB6" s="551"/>
      <c r="AC6" s="551"/>
      <c r="AD6" s="551"/>
      <c r="AE6" s="551"/>
      <c r="AF6" s="551"/>
      <c r="AG6" s="552"/>
      <c r="AH6" s="986"/>
      <c r="AI6" s="987"/>
      <c r="AJ6" s="987"/>
      <c r="AK6" s="987"/>
      <c r="AL6" s="987"/>
      <c r="AM6" s="987"/>
      <c r="AN6" s="987"/>
      <c r="AO6" s="987"/>
      <c r="AP6" s="987"/>
      <c r="AQ6" s="987"/>
      <c r="AR6" s="987"/>
      <c r="AS6" s="987"/>
      <c r="AT6" s="987"/>
      <c r="AU6" s="988"/>
      <c r="AV6" s="981"/>
      <c r="AW6" s="981"/>
      <c r="AX6" s="977"/>
    </row>
    <row r="7" spans="1:50" ht="15" customHeight="1">
      <c r="A7" s="1038"/>
      <c r="B7" s="1039"/>
      <c r="C7" s="1039"/>
      <c r="D7" s="1041"/>
      <c r="E7" s="1041"/>
      <c r="F7" s="1039"/>
      <c r="G7" s="1039"/>
      <c r="H7" s="979" t="s">
        <v>12</v>
      </c>
      <c r="I7" s="979"/>
      <c r="J7" s="110"/>
      <c r="K7" s="986"/>
      <c r="L7" s="987"/>
      <c r="M7" s="987"/>
      <c r="N7" s="987"/>
      <c r="O7" s="987"/>
      <c r="P7" s="987"/>
      <c r="Q7" s="987"/>
      <c r="R7" s="987"/>
      <c r="S7" s="987"/>
      <c r="T7" s="987"/>
      <c r="U7" s="987"/>
      <c r="V7" s="553"/>
      <c r="W7" s="553"/>
      <c r="X7" s="553"/>
      <c r="Y7" s="553"/>
      <c r="Z7" s="553"/>
      <c r="AA7" s="553"/>
      <c r="AB7" s="553"/>
      <c r="AC7" s="553"/>
      <c r="AD7" s="553"/>
      <c r="AE7" s="553"/>
      <c r="AF7" s="553"/>
      <c r="AG7" s="554"/>
      <c r="AH7" s="986"/>
      <c r="AI7" s="987"/>
      <c r="AJ7" s="987"/>
      <c r="AK7" s="987"/>
      <c r="AL7" s="987"/>
      <c r="AM7" s="987"/>
      <c r="AN7" s="987"/>
      <c r="AO7" s="987"/>
      <c r="AP7" s="987"/>
      <c r="AQ7" s="987"/>
      <c r="AR7" s="987"/>
      <c r="AS7" s="987"/>
      <c r="AT7" s="987"/>
      <c r="AU7" s="988"/>
      <c r="AV7" s="981"/>
      <c r="AW7" s="981"/>
      <c r="AX7" s="977"/>
    </row>
    <row r="8" spans="1:50" ht="15" customHeight="1">
      <c r="A8" s="1038"/>
      <c r="B8" s="1039"/>
      <c r="C8" s="1039"/>
      <c r="D8" s="1041"/>
      <c r="E8" s="1041"/>
      <c r="F8" s="1039"/>
      <c r="G8" s="1039"/>
      <c r="H8" s="979" t="s">
        <v>13</v>
      </c>
      <c r="I8" s="979"/>
      <c r="J8" s="575" t="s">
        <v>11</v>
      </c>
      <c r="K8" s="989"/>
      <c r="L8" s="990"/>
      <c r="M8" s="990"/>
      <c r="N8" s="990"/>
      <c r="O8" s="990"/>
      <c r="P8" s="990"/>
      <c r="Q8" s="990"/>
      <c r="R8" s="990"/>
      <c r="S8" s="990"/>
      <c r="T8" s="990"/>
      <c r="U8" s="990"/>
      <c r="V8" s="555"/>
      <c r="W8" s="555"/>
      <c r="X8" s="555"/>
      <c r="Y8" s="555"/>
      <c r="Z8" s="555"/>
      <c r="AA8" s="555"/>
      <c r="AB8" s="555"/>
      <c r="AC8" s="555"/>
      <c r="AD8" s="555"/>
      <c r="AE8" s="555"/>
      <c r="AF8" s="555"/>
      <c r="AG8" s="556"/>
      <c r="AH8" s="986"/>
      <c r="AI8" s="987"/>
      <c r="AJ8" s="987"/>
      <c r="AK8" s="987"/>
      <c r="AL8" s="987"/>
      <c r="AM8" s="987"/>
      <c r="AN8" s="987"/>
      <c r="AO8" s="987"/>
      <c r="AP8" s="987"/>
      <c r="AQ8" s="987"/>
      <c r="AR8" s="987"/>
      <c r="AS8" s="987"/>
      <c r="AT8" s="987"/>
      <c r="AU8" s="988"/>
      <c r="AV8" s="981"/>
      <c r="AW8" s="981"/>
      <c r="AX8" s="977"/>
    </row>
    <row r="9" spans="1:50" ht="15" customHeight="1">
      <c r="A9" s="1032" t="s">
        <v>126</v>
      </c>
      <c r="B9" s="1033"/>
      <c r="C9" s="1034"/>
      <c r="D9" s="992" t="s">
        <v>1040</v>
      </c>
      <c r="E9" s="993"/>
      <c r="F9" s="993"/>
      <c r="G9" s="993"/>
      <c r="H9" s="993"/>
      <c r="I9" s="993"/>
      <c r="J9" s="993"/>
      <c r="K9" s="994"/>
      <c r="L9" s="994"/>
      <c r="M9" s="994"/>
      <c r="N9" s="994"/>
      <c r="O9" s="994"/>
      <c r="P9" s="994"/>
      <c r="Q9" s="994"/>
      <c r="R9" s="994"/>
      <c r="S9" s="994"/>
      <c r="T9" s="994"/>
      <c r="U9" s="994"/>
      <c r="V9" s="994"/>
      <c r="W9" s="994"/>
      <c r="X9" s="994"/>
      <c r="Y9" s="994"/>
      <c r="Z9" s="994"/>
      <c r="AA9" s="994"/>
      <c r="AB9" s="994"/>
      <c r="AC9" s="994"/>
      <c r="AD9" s="994"/>
      <c r="AE9" s="994"/>
      <c r="AF9" s="994"/>
      <c r="AG9" s="995"/>
      <c r="AH9" s="986"/>
      <c r="AI9" s="987"/>
      <c r="AJ9" s="987"/>
      <c r="AK9" s="987"/>
      <c r="AL9" s="987"/>
      <c r="AM9" s="987"/>
      <c r="AN9" s="987"/>
      <c r="AO9" s="987"/>
      <c r="AP9" s="987"/>
      <c r="AQ9" s="987"/>
      <c r="AR9" s="987"/>
      <c r="AS9" s="987"/>
      <c r="AT9" s="987"/>
      <c r="AU9" s="988"/>
      <c r="AV9" s="981"/>
      <c r="AW9" s="981"/>
      <c r="AX9" s="977"/>
    </row>
    <row r="10" spans="1:50" ht="15" customHeight="1" thickBot="1">
      <c r="A10" s="1014" t="s">
        <v>127</v>
      </c>
      <c r="B10" s="1015"/>
      <c r="C10" s="1016"/>
      <c r="D10" s="1017" t="s">
        <v>200</v>
      </c>
      <c r="E10" s="994"/>
      <c r="F10" s="994"/>
      <c r="G10" s="994"/>
      <c r="H10" s="994"/>
      <c r="I10" s="994"/>
      <c r="J10" s="994"/>
      <c r="K10" s="994"/>
      <c r="L10" s="994"/>
      <c r="M10" s="994"/>
      <c r="N10" s="994"/>
      <c r="O10" s="994"/>
      <c r="P10" s="994"/>
      <c r="Q10" s="994"/>
      <c r="R10" s="994"/>
      <c r="S10" s="994"/>
      <c r="T10" s="994"/>
      <c r="U10" s="994"/>
      <c r="V10" s="1018"/>
      <c r="W10" s="1018"/>
      <c r="X10" s="1018"/>
      <c r="Y10" s="1018"/>
      <c r="Z10" s="1018"/>
      <c r="AA10" s="1018"/>
      <c r="AB10" s="1018"/>
      <c r="AC10" s="1018"/>
      <c r="AD10" s="1018"/>
      <c r="AE10" s="1018"/>
      <c r="AF10" s="1018"/>
      <c r="AG10" s="1019"/>
      <c r="AH10" s="989"/>
      <c r="AI10" s="990"/>
      <c r="AJ10" s="990"/>
      <c r="AK10" s="990"/>
      <c r="AL10" s="990"/>
      <c r="AM10" s="990"/>
      <c r="AN10" s="990"/>
      <c r="AO10" s="990"/>
      <c r="AP10" s="990"/>
      <c r="AQ10" s="990"/>
      <c r="AR10" s="990"/>
      <c r="AS10" s="990"/>
      <c r="AT10" s="990"/>
      <c r="AU10" s="991"/>
      <c r="AV10" s="981"/>
      <c r="AW10" s="981"/>
      <c r="AX10" s="977"/>
    </row>
    <row r="11" spans="1:50" ht="39.950000000000003" customHeight="1">
      <c r="A11" s="1026" t="s">
        <v>128</v>
      </c>
      <c r="B11" s="969"/>
      <c r="C11" s="969"/>
      <c r="D11" s="969"/>
      <c r="E11" s="969"/>
      <c r="F11" s="970"/>
      <c r="G11" s="996" t="s">
        <v>129</v>
      </c>
      <c r="H11" s="970"/>
      <c r="I11" s="980" t="s">
        <v>130</v>
      </c>
      <c r="J11" s="980" t="s">
        <v>131</v>
      </c>
      <c r="K11" s="980" t="s">
        <v>132</v>
      </c>
      <c r="L11" s="980" t="s">
        <v>133</v>
      </c>
      <c r="M11" s="980" t="s">
        <v>134</v>
      </c>
      <c r="N11" s="980" t="s">
        <v>135</v>
      </c>
      <c r="O11" s="996" t="s">
        <v>136</v>
      </c>
      <c r="P11" s="969"/>
      <c r="Q11" s="969"/>
      <c r="R11" s="969"/>
      <c r="S11" s="970"/>
      <c r="T11" s="980" t="s">
        <v>137</v>
      </c>
      <c r="U11" s="1024" t="s">
        <v>138</v>
      </c>
      <c r="V11" s="1002" t="s">
        <v>139</v>
      </c>
      <c r="W11" s="1003"/>
      <c r="X11" s="1003"/>
      <c r="Y11" s="1003"/>
      <c r="Z11" s="1003"/>
      <c r="AA11" s="1003"/>
      <c r="AB11" s="1003"/>
      <c r="AC11" s="1003"/>
      <c r="AD11" s="1003"/>
      <c r="AE11" s="1003"/>
      <c r="AF11" s="1003"/>
      <c r="AG11" s="1004"/>
      <c r="AH11" s="998" t="s">
        <v>140</v>
      </c>
      <c r="AI11" s="999"/>
      <c r="AJ11" s="999"/>
      <c r="AK11" s="999"/>
      <c r="AL11" s="999"/>
      <c r="AM11" s="999"/>
      <c r="AN11" s="999"/>
      <c r="AO11" s="999"/>
      <c r="AP11" s="999"/>
      <c r="AQ11" s="999"/>
      <c r="AR11" s="999"/>
      <c r="AS11" s="1000"/>
      <c r="AT11" s="969" t="s">
        <v>41</v>
      </c>
      <c r="AU11" s="970"/>
      <c r="AV11" s="981"/>
      <c r="AW11" s="981"/>
      <c r="AX11" s="977"/>
    </row>
    <row r="12" spans="1:50" ht="42.75">
      <c r="A12" s="435" t="s">
        <v>141</v>
      </c>
      <c r="B12" s="109" t="s">
        <v>142</v>
      </c>
      <c r="C12" s="109" t="s">
        <v>143</v>
      </c>
      <c r="D12" s="109" t="s">
        <v>144</v>
      </c>
      <c r="E12" s="109" t="s">
        <v>145</v>
      </c>
      <c r="F12" s="109" t="s">
        <v>146</v>
      </c>
      <c r="G12" s="109" t="s">
        <v>147</v>
      </c>
      <c r="H12" s="109" t="s">
        <v>148</v>
      </c>
      <c r="I12" s="981"/>
      <c r="J12" s="982"/>
      <c r="K12" s="982"/>
      <c r="L12" s="982"/>
      <c r="M12" s="982"/>
      <c r="N12" s="982"/>
      <c r="O12" s="109">
        <v>2020</v>
      </c>
      <c r="P12" s="109">
        <v>2021</v>
      </c>
      <c r="Q12" s="109">
        <v>2022</v>
      </c>
      <c r="R12" s="109">
        <v>2023</v>
      </c>
      <c r="S12" s="109">
        <v>2024</v>
      </c>
      <c r="T12" s="982"/>
      <c r="U12" s="1025"/>
      <c r="V12" s="506" t="s">
        <v>29</v>
      </c>
      <c r="W12" s="411" t="s">
        <v>30</v>
      </c>
      <c r="X12" s="411" t="s">
        <v>31</v>
      </c>
      <c r="Y12" s="411" t="s">
        <v>32</v>
      </c>
      <c r="Z12" s="411" t="s">
        <v>33</v>
      </c>
      <c r="AA12" s="411" t="s">
        <v>34</v>
      </c>
      <c r="AB12" s="411" t="s">
        <v>35</v>
      </c>
      <c r="AC12" s="411" t="s">
        <v>36</v>
      </c>
      <c r="AD12" s="411" t="s">
        <v>37</v>
      </c>
      <c r="AE12" s="411" t="s">
        <v>38</v>
      </c>
      <c r="AF12" s="411" t="s">
        <v>39</v>
      </c>
      <c r="AG12" s="507" t="s">
        <v>40</v>
      </c>
      <c r="AH12" s="508" t="s">
        <v>29</v>
      </c>
      <c r="AI12" s="557" t="s">
        <v>30</v>
      </c>
      <c r="AJ12" s="557" t="s">
        <v>31</v>
      </c>
      <c r="AK12" s="557" t="s">
        <v>32</v>
      </c>
      <c r="AL12" s="557" t="s">
        <v>33</v>
      </c>
      <c r="AM12" s="557" t="s">
        <v>34</v>
      </c>
      <c r="AN12" s="557" t="s">
        <v>35</v>
      </c>
      <c r="AO12" s="557" t="s">
        <v>36</v>
      </c>
      <c r="AP12" s="557" t="s">
        <v>37</v>
      </c>
      <c r="AQ12" s="557" t="s">
        <v>38</v>
      </c>
      <c r="AR12" s="557" t="s">
        <v>39</v>
      </c>
      <c r="AS12" s="509" t="s">
        <v>40</v>
      </c>
      <c r="AT12" s="510" t="s">
        <v>149</v>
      </c>
      <c r="AU12" s="109" t="s">
        <v>150</v>
      </c>
      <c r="AV12" s="982"/>
      <c r="AW12" s="982"/>
      <c r="AX12" s="978"/>
    </row>
    <row r="13" spans="1:50" ht="315">
      <c r="A13" s="436">
        <v>9</v>
      </c>
      <c r="B13" s="110"/>
      <c r="C13" s="110"/>
      <c r="D13" s="110">
        <v>29</v>
      </c>
      <c r="E13" s="110"/>
      <c r="F13" s="110"/>
      <c r="G13" s="408"/>
      <c r="H13" s="408"/>
      <c r="I13" s="408" t="s">
        <v>151</v>
      </c>
      <c r="J13" s="404" t="s">
        <v>152</v>
      </c>
      <c r="K13" s="111" t="s">
        <v>153</v>
      </c>
      <c r="L13" s="110">
        <v>26100</v>
      </c>
      <c r="M13" s="111" t="s">
        <v>154</v>
      </c>
      <c r="N13" s="111" t="s">
        <v>155</v>
      </c>
      <c r="O13" s="375">
        <v>2000</v>
      </c>
      <c r="P13" s="375">
        <v>7000</v>
      </c>
      <c r="Q13" s="375">
        <v>7000</v>
      </c>
      <c r="R13" s="375">
        <v>7000</v>
      </c>
      <c r="S13" s="375">
        <v>3100</v>
      </c>
      <c r="T13" s="405" t="s">
        <v>156</v>
      </c>
      <c r="U13" s="421" t="s">
        <v>157</v>
      </c>
      <c r="V13" s="511">
        <v>0</v>
      </c>
      <c r="W13" s="179">
        <v>500</v>
      </c>
      <c r="X13" s="179">
        <v>700</v>
      </c>
      <c r="Y13" s="179">
        <v>700</v>
      </c>
      <c r="Z13" s="179">
        <v>700</v>
      </c>
      <c r="AA13" s="179">
        <v>700</v>
      </c>
      <c r="AB13" s="179">
        <v>700</v>
      </c>
      <c r="AC13" s="179">
        <v>700</v>
      </c>
      <c r="AD13" s="179">
        <v>700</v>
      </c>
      <c r="AE13" s="179">
        <v>700</v>
      </c>
      <c r="AF13" s="179">
        <v>700</v>
      </c>
      <c r="AG13" s="512">
        <v>200</v>
      </c>
      <c r="AH13" s="511">
        <f>'[2]Meta 1'!D35</f>
        <v>0</v>
      </c>
      <c r="AI13" s="513">
        <f>'[2]Meta 1'!E35</f>
        <v>531</v>
      </c>
      <c r="AJ13" s="179"/>
      <c r="AK13" s="179"/>
      <c r="AL13" s="179"/>
      <c r="AM13" s="179"/>
      <c r="AN13" s="179"/>
      <c r="AO13" s="179"/>
      <c r="AP13" s="179"/>
      <c r="AQ13" s="179"/>
      <c r="AR13" s="179"/>
      <c r="AS13" s="512"/>
      <c r="AT13" s="513">
        <f>SUM(AH13:AI13)</f>
        <v>531</v>
      </c>
      <c r="AU13" s="407">
        <f>AT13/Q13</f>
        <v>7.5857142857142859E-2</v>
      </c>
      <c r="AV13" s="519" t="s">
        <v>1094</v>
      </c>
      <c r="AW13" s="519" t="s">
        <v>1066</v>
      </c>
      <c r="AX13" s="526" t="s">
        <v>1066</v>
      </c>
    </row>
    <row r="14" spans="1:50" ht="159" customHeight="1">
      <c r="A14" s="436">
        <v>10</v>
      </c>
      <c r="B14" s="110"/>
      <c r="C14" s="110"/>
      <c r="D14" s="110"/>
      <c r="E14" s="110"/>
      <c r="F14" s="110"/>
      <c r="G14" s="408"/>
      <c r="H14" s="417"/>
      <c r="I14" s="408" t="s">
        <v>1046</v>
      </c>
      <c r="J14" s="409" t="s">
        <v>158</v>
      </c>
      <c r="K14" s="111" t="s">
        <v>153</v>
      </c>
      <c r="L14" s="110">
        <v>100</v>
      </c>
      <c r="M14" s="111" t="s">
        <v>159</v>
      </c>
      <c r="N14" s="111" t="s">
        <v>160</v>
      </c>
      <c r="O14" s="375">
        <v>18</v>
      </c>
      <c r="P14" s="375">
        <v>25</v>
      </c>
      <c r="Q14" s="375">
        <v>25</v>
      </c>
      <c r="R14" s="375">
        <v>22</v>
      </c>
      <c r="S14" s="375">
        <v>10</v>
      </c>
      <c r="T14" s="405" t="s">
        <v>156</v>
      </c>
      <c r="U14" s="421" t="s">
        <v>1058</v>
      </c>
      <c r="V14" s="514">
        <v>0</v>
      </c>
      <c r="W14" s="515">
        <v>1.0400000000000003E-2</v>
      </c>
      <c r="X14" s="515">
        <v>2.0000000000000004E-2</v>
      </c>
      <c r="Y14" s="515">
        <v>2.0000000000000004E-2</v>
      </c>
      <c r="Z14" s="515">
        <v>2.0000000000000004E-2</v>
      </c>
      <c r="AA14" s="515">
        <v>2.0000000000000004E-2</v>
      </c>
      <c r="AB14" s="515">
        <v>2.0000000000000004E-2</v>
      </c>
      <c r="AC14" s="515">
        <v>2.0000000000000004E-2</v>
      </c>
      <c r="AD14" s="515">
        <v>2.0000000000000004E-2</v>
      </c>
      <c r="AE14" s="515">
        <v>2.0000000000000004E-2</v>
      </c>
      <c r="AF14" s="515">
        <v>2.0000000000000004E-2</v>
      </c>
      <c r="AG14" s="516">
        <v>9.6000000000000026E-3</v>
      </c>
      <c r="AH14" s="523">
        <f>'Avance PDD'!O5</f>
        <v>0</v>
      </c>
      <c r="AI14" s="515">
        <f>'Avance PDD'!P5</f>
        <v>0.52400000000000013</v>
      </c>
      <c r="AJ14" s="112"/>
      <c r="AK14" s="112"/>
      <c r="AL14" s="112"/>
      <c r="AM14" s="112"/>
      <c r="AN14" s="112"/>
      <c r="AO14" s="112"/>
      <c r="AP14" s="112"/>
      <c r="AQ14" s="112"/>
      <c r="AR14" s="112"/>
      <c r="AS14" s="517"/>
      <c r="AT14" s="524">
        <f>SUM(AH14:AI14)</f>
        <v>0.52400000000000013</v>
      </c>
      <c r="AU14" s="525">
        <f>AT14/Q14</f>
        <v>2.0960000000000006E-2</v>
      </c>
      <c r="AV14" s="519" t="s">
        <v>1095</v>
      </c>
      <c r="AW14" s="519"/>
      <c r="AX14" s="522"/>
    </row>
    <row r="15" spans="1:50" ht="120">
      <c r="A15" s="436">
        <v>10</v>
      </c>
      <c r="B15" s="110"/>
      <c r="C15" s="110"/>
      <c r="D15" s="110">
        <v>42</v>
      </c>
      <c r="E15" s="110"/>
      <c r="F15" s="110"/>
      <c r="G15" s="408"/>
      <c r="H15" s="417"/>
      <c r="I15" s="408" t="s">
        <v>92</v>
      </c>
      <c r="J15" s="409" t="s">
        <v>161</v>
      </c>
      <c r="K15" s="111" t="s">
        <v>153</v>
      </c>
      <c r="L15" s="110">
        <v>13</v>
      </c>
      <c r="M15" s="111" t="s">
        <v>162</v>
      </c>
      <c r="N15" s="111" t="s">
        <v>163</v>
      </c>
      <c r="O15" s="375">
        <v>1</v>
      </c>
      <c r="P15" s="375">
        <v>4</v>
      </c>
      <c r="Q15" s="375">
        <v>4</v>
      </c>
      <c r="R15" s="375">
        <v>4</v>
      </c>
      <c r="S15" s="375">
        <v>0</v>
      </c>
      <c r="T15" s="405" t="s">
        <v>156</v>
      </c>
      <c r="U15" s="421" t="s">
        <v>164</v>
      </c>
      <c r="V15" s="511">
        <v>0</v>
      </c>
      <c r="W15" s="179">
        <v>0</v>
      </c>
      <c r="X15" s="179">
        <v>0</v>
      </c>
      <c r="Y15" s="179">
        <v>0</v>
      </c>
      <c r="Z15" s="179">
        <v>0</v>
      </c>
      <c r="AA15" s="179">
        <v>0</v>
      </c>
      <c r="AB15" s="179">
        <v>0</v>
      </c>
      <c r="AC15" s="179">
        <v>1</v>
      </c>
      <c r="AD15" s="179">
        <v>0</v>
      </c>
      <c r="AE15" s="179">
        <v>2</v>
      </c>
      <c r="AF15" s="179">
        <v>0</v>
      </c>
      <c r="AG15" s="512">
        <v>1</v>
      </c>
      <c r="AH15" s="518">
        <v>0</v>
      </c>
      <c r="AI15" s="112">
        <v>0</v>
      </c>
      <c r="AJ15" s="112"/>
      <c r="AK15" s="112"/>
      <c r="AL15" s="112"/>
      <c r="AM15" s="112"/>
      <c r="AN15" s="112"/>
      <c r="AO15" s="112"/>
      <c r="AP15" s="112"/>
      <c r="AQ15" s="112"/>
      <c r="AR15" s="112"/>
      <c r="AS15" s="517"/>
      <c r="AT15" s="513">
        <f t="shared" ref="AT15:AT26" si="0">SUM(AH15:AS15)</f>
        <v>0</v>
      </c>
      <c r="AU15" s="407">
        <f>AT15/4</f>
        <v>0</v>
      </c>
      <c r="AV15" s="519" t="s">
        <v>1096</v>
      </c>
      <c r="AW15" s="519"/>
      <c r="AX15" s="522"/>
    </row>
    <row r="16" spans="1:50" ht="225">
      <c r="A16" s="436"/>
      <c r="B16" s="110"/>
      <c r="C16" s="110"/>
      <c r="D16" s="110"/>
      <c r="E16" s="110"/>
      <c r="F16" s="110" t="s">
        <v>11</v>
      </c>
      <c r="G16" s="408"/>
      <c r="H16" s="417"/>
      <c r="I16" s="408" t="s">
        <v>165</v>
      </c>
      <c r="J16" s="409" t="s">
        <v>166</v>
      </c>
      <c r="K16" s="111" t="s">
        <v>153</v>
      </c>
      <c r="L16" s="110" t="s">
        <v>167</v>
      </c>
      <c r="M16" s="111" t="s">
        <v>168</v>
      </c>
      <c r="N16" s="111" t="s">
        <v>160</v>
      </c>
      <c r="O16" s="375"/>
      <c r="P16" s="375"/>
      <c r="Q16" s="375">
        <v>10000</v>
      </c>
      <c r="R16" s="375"/>
      <c r="S16" s="375"/>
      <c r="T16" s="405" t="s">
        <v>156</v>
      </c>
      <c r="U16" s="421" t="s">
        <v>169</v>
      </c>
      <c r="V16" s="511">
        <v>0</v>
      </c>
      <c r="W16" s="179">
        <v>800</v>
      </c>
      <c r="X16" s="179">
        <v>932</v>
      </c>
      <c r="Y16" s="179">
        <v>934</v>
      </c>
      <c r="Z16" s="179">
        <v>934</v>
      </c>
      <c r="AA16" s="179">
        <v>932</v>
      </c>
      <c r="AB16" s="179">
        <v>934</v>
      </c>
      <c r="AC16" s="179">
        <v>934</v>
      </c>
      <c r="AD16" s="179">
        <v>932</v>
      </c>
      <c r="AE16" s="179">
        <v>934</v>
      </c>
      <c r="AF16" s="179">
        <v>934</v>
      </c>
      <c r="AG16" s="512">
        <v>800</v>
      </c>
      <c r="AH16" s="518">
        <v>0</v>
      </c>
      <c r="AI16" s="112">
        <v>422</v>
      </c>
      <c r="AJ16" s="112"/>
      <c r="AK16" s="112"/>
      <c r="AL16" s="112"/>
      <c r="AM16" s="112"/>
      <c r="AN16" s="112"/>
      <c r="AO16" s="112"/>
      <c r="AP16" s="112"/>
      <c r="AQ16" s="112"/>
      <c r="AR16" s="112"/>
      <c r="AS16" s="517"/>
      <c r="AT16" s="513">
        <f t="shared" si="0"/>
        <v>422</v>
      </c>
      <c r="AU16" s="407">
        <f t="shared" ref="AU16:AU26" si="1">AI16/Q16</f>
        <v>4.2200000000000001E-2</v>
      </c>
      <c r="AV16" s="519" t="s">
        <v>1097</v>
      </c>
      <c r="AW16" s="520" t="s">
        <v>1098</v>
      </c>
      <c r="AX16" s="521" t="s">
        <v>1099</v>
      </c>
    </row>
    <row r="17" spans="1:50" ht="225">
      <c r="A17" s="436"/>
      <c r="B17" s="110"/>
      <c r="C17" s="110"/>
      <c r="D17" s="110"/>
      <c r="E17" s="110"/>
      <c r="F17" s="110" t="s">
        <v>11</v>
      </c>
      <c r="G17" s="408"/>
      <c r="H17" s="417"/>
      <c r="I17" s="408" t="s">
        <v>165</v>
      </c>
      <c r="J17" s="409" t="s">
        <v>170</v>
      </c>
      <c r="K17" s="111" t="s">
        <v>153</v>
      </c>
      <c r="L17" s="110" t="s">
        <v>167</v>
      </c>
      <c r="M17" s="111" t="s">
        <v>171</v>
      </c>
      <c r="N17" s="111" t="s">
        <v>160</v>
      </c>
      <c r="O17" s="375"/>
      <c r="P17" s="375"/>
      <c r="Q17" s="375">
        <v>4000</v>
      </c>
      <c r="R17" s="375"/>
      <c r="S17" s="375"/>
      <c r="T17" s="405" t="s">
        <v>156</v>
      </c>
      <c r="U17" s="421" t="s">
        <v>172</v>
      </c>
      <c r="V17" s="511">
        <v>0</v>
      </c>
      <c r="W17" s="179">
        <v>250</v>
      </c>
      <c r="X17" s="179">
        <v>388</v>
      </c>
      <c r="Y17" s="179">
        <v>389</v>
      </c>
      <c r="Z17" s="179">
        <v>389</v>
      </c>
      <c r="AA17" s="179">
        <v>389</v>
      </c>
      <c r="AB17" s="179">
        <v>389</v>
      </c>
      <c r="AC17" s="179">
        <v>389</v>
      </c>
      <c r="AD17" s="179">
        <v>389</v>
      </c>
      <c r="AE17" s="179">
        <v>389</v>
      </c>
      <c r="AF17" s="179">
        <v>389</v>
      </c>
      <c r="AG17" s="512">
        <v>250</v>
      </c>
      <c r="AH17" s="518">
        <v>0</v>
      </c>
      <c r="AI17" s="112">
        <v>165</v>
      </c>
      <c r="AJ17" s="112"/>
      <c r="AK17" s="112"/>
      <c r="AL17" s="112"/>
      <c r="AM17" s="112"/>
      <c r="AN17" s="112"/>
      <c r="AO17" s="112"/>
      <c r="AP17" s="112"/>
      <c r="AQ17" s="112"/>
      <c r="AR17" s="112"/>
      <c r="AS17" s="517"/>
      <c r="AT17" s="513">
        <f t="shared" si="0"/>
        <v>165</v>
      </c>
      <c r="AU17" s="407">
        <f t="shared" si="1"/>
        <v>4.1250000000000002E-2</v>
      </c>
      <c r="AV17" s="519" t="s">
        <v>1100</v>
      </c>
      <c r="AW17" s="520" t="s">
        <v>1098</v>
      </c>
      <c r="AX17" s="521" t="s">
        <v>1099</v>
      </c>
    </row>
    <row r="18" spans="1:50" ht="135">
      <c r="A18" s="436"/>
      <c r="B18" s="110"/>
      <c r="C18" s="110"/>
      <c r="D18" s="110"/>
      <c r="E18" s="110"/>
      <c r="F18" s="110" t="s">
        <v>11</v>
      </c>
      <c r="G18" s="408"/>
      <c r="H18" s="417"/>
      <c r="I18" s="408" t="s">
        <v>165</v>
      </c>
      <c r="J18" s="409" t="s">
        <v>173</v>
      </c>
      <c r="K18" s="111" t="s">
        <v>153</v>
      </c>
      <c r="L18" s="110" t="s">
        <v>167</v>
      </c>
      <c r="M18" s="111" t="s">
        <v>174</v>
      </c>
      <c r="N18" s="111" t="s">
        <v>175</v>
      </c>
      <c r="O18" s="375"/>
      <c r="P18" s="375"/>
      <c r="Q18" s="375">
        <v>2</v>
      </c>
      <c r="R18" s="375"/>
      <c r="S18" s="375"/>
      <c r="T18" s="405" t="s">
        <v>176</v>
      </c>
      <c r="U18" s="421" t="s">
        <v>177</v>
      </c>
      <c r="V18" s="511">
        <v>0</v>
      </c>
      <c r="W18" s="179">
        <v>1</v>
      </c>
      <c r="X18" s="179">
        <v>0</v>
      </c>
      <c r="Y18" s="179">
        <v>0</v>
      </c>
      <c r="Z18" s="179">
        <v>0</v>
      </c>
      <c r="AA18" s="179">
        <v>0</v>
      </c>
      <c r="AB18" s="179">
        <v>0</v>
      </c>
      <c r="AC18" s="179">
        <v>1</v>
      </c>
      <c r="AD18" s="179">
        <v>0</v>
      </c>
      <c r="AE18" s="179">
        <v>0</v>
      </c>
      <c r="AF18" s="179">
        <v>0</v>
      </c>
      <c r="AG18" s="512">
        <v>0</v>
      </c>
      <c r="AH18" s="518">
        <v>0</v>
      </c>
      <c r="AI18" s="112">
        <v>1</v>
      </c>
      <c r="AJ18" s="112"/>
      <c r="AK18" s="112"/>
      <c r="AL18" s="112"/>
      <c r="AM18" s="112"/>
      <c r="AN18" s="112"/>
      <c r="AO18" s="112"/>
      <c r="AP18" s="112"/>
      <c r="AQ18" s="112"/>
      <c r="AR18" s="112"/>
      <c r="AS18" s="517"/>
      <c r="AT18" s="513">
        <f t="shared" si="0"/>
        <v>1</v>
      </c>
      <c r="AU18" s="407">
        <f t="shared" si="1"/>
        <v>0.5</v>
      </c>
      <c r="AV18" s="519" t="s">
        <v>1101</v>
      </c>
      <c r="AW18" s="519"/>
      <c r="AX18" s="522"/>
    </row>
    <row r="19" spans="1:50" ht="135">
      <c r="A19" s="436"/>
      <c r="B19" s="110"/>
      <c r="C19" s="110"/>
      <c r="D19" s="110"/>
      <c r="E19" s="110"/>
      <c r="F19" s="110" t="s">
        <v>11</v>
      </c>
      <c r="G19" s="408"/>
      <c r="H19" s="417"/>
      <c r="I19" s="408" t="s">
        <v>165</v>
      </c>
      <c r="J19" s="409" t="s">
        <v>178</v>
      </c>
      <c r="K19" s="111" t="s">
        <v>153</v>
      </c>
      <c r="L19" s="110" t="s">
        <v>167</v>
      </c>
      <c r="M19" s="111" t="s">
        <v>179</v>
      </c>
      <c r="N19" s="111" t="s">
        <v>180</v>
      </c>
      <c r="O19" s="375"/>
      <c r="P19" s="375"/>
      <c r="Q19" s="375">
        <v>2</v>
      </c>
      <c r="R19" s="375"/>
      <c r="S19" s="375"/>
      <c r="T19" s="405" t="s">
        <v>176</v>
      </c>
      <c r="U19" s="421" t="s">
        <v>181</v>
      </c>
      <c r="V19" s="511">
        <v>0</v>
      </c>
      <c r="W19" s="179">
        <v>0</v>
      </c>
      <c r="X19" s="179">
        <v>0</v>
      </c>
      <c r="Y19" s="179">
        <v>0</v>
      </c>
      <c r="Z19" s="179">
        <v>0</v>
      </c>
      <c r="AA19" s="179">
        <v>1</v>
      </c>
      <c r="AB19" s="179">
        <v>0</v>
      </c>
      <c r="AC19" s="179">
        <v>0</v>
      </c>
      <c r="AD19" s="179">
        <v>0</v>
      </c>
      <c r="AE19" s="179">
        <v>0</v>
      </c>
      <c r="AF19" s="179">
        <v>0</v>
      </c>
      <c r="AG19" s="512">
        <v>1</v>
      </c>
      <c r="AH19" s="518">
        <v>0</v>
      </c>
      <c r="AI19" s="406">
        <v>0</v>
      </c>
      <c r="AJ19" s="112"/>
      <c r="AK19" s="112"/>
      <c r="AL19" s="112"/>
      <c r="AM19" s="112"/>
      <c r="AN19" s="112"/>
      <c r="AO19" s="112"/>
      <c r="AP19" s="112"/>
      <c r="AQ19" s="112"/>
      <c r="AR19" s="112"/>
      <c r="AS19" s="517"/>
      <c r="AT19" s="513">
        <f t="shared" si="0"/>
        <v>0</v>
      </c>
      <c r="AU19" s="407">
        <f t="shared" si="1"/>
        <v>0</v>
      </c>
      <c r="AV19" s="519" t="s">
        <v>1096</v>
      </c>
      <c r="AW19" s="519"/>
      <c r="AX19" s="522"/>
    </row>
    <row r="20" spans="1:50" ht="165">
      <c r="A20" s="436"/>
      <c r="B20" s="110"/>
      <c r="C20" s="110"/>
      <c r="D20" s="110"/>
      <c r="E20" s="110"/>
      <c r="F20" s="110" t="s">
        <v>11</v>
      </c>
      <c r="G20" s="408"/>
      <c r="H20" s="417"/>
      <c r="I20" s="408" t="s">
        <v>102</v>
      </c>
      <c r="J20" s="409" t="s">
        <v>182</v>
      </c>
      <c r="K20" s="111" t="s">
        <v>153</v>
      </c>
      <c r="L20" s="110" t="s">
        <v>167</v>
      </c>
      <c r="M20" s="111" t="s">
        <v>174</v>
      </c>
      <c r="N20" s="111" t="s">
        <v>183</v>
      </c>
      <c r="O20" s="375"/>
      <c r="P20" s="375"/>
      <c r="Q20" s="375">
        <v>4</v>
      </c>
      <c r="R20" s="375"/>
      <c r="S20" s="375"/>
      <c r="T20" s="405" t="s">
        <v>184</v>
      </c>
      <c r="U20" s="421" t="s">
        <v>185</v>
      </c>
      <c r="V20" s="511">
        <v>0</v>
      </c>
      <c r="W20" s="179">
        <v>0</v>
      </c>
      <c r="X20" s="179">
        <v>1</v>
      </c>
      <c r="Y20" s="179">
        <v>0</v>
      </c>
      <c r="Z20" s="179">
        <v>0</v>
      </c>
      <c r="AA20" s="179">
        <v>1</v>
      </c>
      <c r="AB20" s="179">
        <v>0</v>
      </c>
      <c r="AC20" s="179">
        <v>0</v>
      </c>
      <c r="AD20" s="179">
        <v>1</v>
      </c>
      <c r="AE20" s="179">
        <v>0</v>
      </c>
      <c r="AF20" s="179">
        <v>0</v>
      </c>
      <c r="AG20" s="512">
        <v>1</v>
      </c>
      <c r="AH20" s="518">
        <v>0</v>
      </c>
      <c r="AI20" s="112">
        <v>0</v>
      </c>
      <c r="AJ20" s="112"/>
      <c r="AK20" s="112"/>
      <c r="AL20" s="112"/>
      <c r="AM20" s="112"/>
      <c r="AN20" s="112"/>
      <c r="AO20" s="112"/>
      <c r="AP20" s="112"/>
      <c r="AQ20" s="112"/>
      <c r="AR20" s="112"/>
      <c r="AS20" s="517"/>
      <c r="AT20" s="513">
        <f t="shared" si="0"/>
        <v>0</v>
      </c>
      <c r="AU20" s="407">
        <f t="shared" si="1"/>
        <v>0</v>
      </c>
      <c r="AV20" s="519" t="s">
        <v>1096</v>
      </c>
      <c r="AW20" s="519"/>
      <c r="AX20" s="522"/>
    </row>
    <row r="21" spans="1:50" ht="255">
      <c r="A21" s="436"/>
      <c r="B21" s="110"/>
      <c r="C21" s="110"/>
      <c r="D21" s="110"/>
      <c r="E21" s="110"/>
      <c r="F21" s="110" t="s">
        <v>11</v>
      </c>
      <c r="G21" s="408"/>
      <c r="H21" s="417"/>
      <c r="I21" s="408" t="s">
        <v>102</v>
      </c>
      <c r="J21" s="409" t="s">
        <v>186</v>
      </c>
      <c r="K21" s="111" t="s">
        <v>187</v>
      </c>
      <c r="L21" s="110" t="s">
        <v>167</v>
      </c>
      <c r="M21" s="111" t="s">
        <v>188</v>
      </c>
      <c r="N21" s="111" t="s">
        <v>189</v>
      </c>
      <c r="O21" s="375"/>
      <c r="P21" s="375"/>
      <c r="Q21" s="375">
        <v>1</v>
      </c>
      <c r="R21" s="375"/>
      <c r="S21" s="375"/>
      <c r="T21" s="405" t="s">
        <v>190</v>
      </c>
      <c r="U21" s="422" t="s">
        <v>191</v>
      </c>
      <c r="V21" s="511">
        <v>0</v>
      </c>
      <c r="W21" s="179">
        <v>0</v>
      </c>
      <c r="X21" s="179">
        <v>0</v>
      </c>
      <c r="Y21" s="179">
        <v>0</v>
      </c>
      <c r="Z21" s="179">
        <v>0</v>
      </c>
      <c r="AA21" s="179">
        <v>0</v>
      </c>
      <c r="AB21" s="179">
        <v>0</v>
      </c>
      <c r="AC21" s="179">
        <v>0</v>
      </c>
      <c r="AD21" s="179">
        <v>1</v>
      </c>
      <c r="AE21" s="179">
        <v>0</v>
      </c>
      <c r="AF21" s="179">
        <v>0</v>
      </c>
      <c r="AG21" s="512">
        <v>0</v>
      </c>
      <c r="AH21" s="518">
        <v>0</v>
      </c>
      <c r="AI21" s="112">
        <v>0</v>
      </c>
      <c r="AJ21" s="112"/>
      <c r="AK21" s="112"/>
      <c r="AL21" s="112"/>
      <c r="AM21" s="112"/>
      <c r="AN21" s="112"/>
      <c r="AO21" s="112"/>
      <c r="AP21" s="112"/>
      <c r="AQ21" s="112"/>
      <c r="AR21" s="112"/>
      <c r="AS21" s="517"/>
      <c r="AT21" s="513">
        <f t="shared" si="0"/>
        <v>0</v>
      </c>
      <c r="AU21" s="407">
        <f t="shared" si="1"/>
        <v>0</v>
      </c>
      <c r="AV21" s="519" t="s">
        <v>1096</v>
      </c>
      <c r="AW21" s="519"/>
      <c r="AX21" s="522"/>
    </row>
    <row r="22" spans="1:50" ht="240">
      <c r="A22" s="436"/>
      <c r="B22" s="110"/>
      <c r="C22" s="110"/>
      <c r="D22" s="110"/>
      <c r="E22" s="110"/>
      <c r="F22" s="110" t="s">
        <v>11</v>
      </c>
      <c r="G22" s="408"/>
      <c r="H22" s="417"/>
      <c r="I22" s="408" t="s">
        <v>102</v>
      </c>
      <c r="J22" s="416" t="s">
        <v>192</v>
      </c>
      <c r="K22" s="111" t="s">
        <v>187</v>
      </c>
      <c r="L22" s="110" t="s">
        <v>167</v>
      </c>
      <c r="M22" s="111" t="s">
        <v>188</v>
      </c>
      <c r="N22" s="111" t="s">
        <v>193</v>
      </c>
      <c r="O22" s="375"/>
      <c r="P22" s="375"/>
      <c r="Q22" s="375">
        <v>1</v>
      </c>
      <c r="R22" s="375"/>
      <c r="S22" s="375"/>
      <c r="T22" s="405" t="s">
        <v>190</v>
      </c>
      <c r="U22" s="421" t="s">
        <v>194</v>
      </c>
      <c r="V22" s="511">
        <v>0</v>
      </c>
      <c r="W22" s="179">
        <v>0</v>
      </c>
      <c r="X22" s="179">
        <v>0</v>
      </c>
      <c r="Y22" s="179">
        <v>0</v>
      </c>
      <c r="Z22" s="179">
        <v>0</v>
      </c>
      <c r="AA22" s="179">
        <v>0</v>
      </c>
      <c r="AB22" s="179">
        <v>0</v>
      </c>
      <c r="AC22" s="179">
        <v>0</v>
      </c>
      <c r="AD22" s="179">
        <v>1</v>
      </c>
      <c r="AE22" s="179">
        <v>0</v>
      </c>
      <c r="AF22" s="179">
        <v>0</v>
      </c>
      <c r="AG22" s="512">
        <v>0</v>
      </c>
      <c r="AH22" s="518">
        <v>0</v>
      </c>
      <c r="AI22" s="112">
        <v>0</v>
      </c>
      <c r="AJ22" s="112"/>
      <c r="AK22" s="112"/>
      <c r="AL22" s="112"/>
      <c r="AM22" s="112"/>
      <c r="AN22" s="112"/>
      <c r="AO22" s="112"/>
      <c r="AP22" s="112"/>
      <c r="AQ22" s="112"/>
      <c r="AR22" s="112"/>
      <c r="AS22" s="517"/>
      <c r="AT22" s="513">
        <f t="shared" si="0"/>
        <v>0</v>
      </c>
      <c r="AU22" s="407">
        <f t="shared" si="1"/>
        <v>0</v>
      </c>
      <c r="AV22" s="519" t="s">
        <v>1096</v>
      </c>
      <c r="AW22" s="519"/>
      <c r="AX22" s="522"/>
    </row>
    <row r="23" spans="1:50" ht="255">
      <c r="A23" s="436"/>
      <c r="B23" s="110"/>
      <c r="C23" s="110"/>
      <c r="D23" s="110"/>
      <c r="E23" s="110"/>
      <c r="F23" s="110"/>
      <c r="G23" s="408"/>
      <c r="H23" s="417"/>
      <c r="I23" s="408" t="s">
        <v>102</v>
      </c>
      <c r="J23" s="409" t="s">
        <v>195</v>
      </c>
      <c r="K23" s="111" t="s">
        <v>187</v>
      </c>
      <c r="L23" s="110" t="s">
        <v>167</v>
      </c>
      <c r="M23" s="111" t="s">
        <v>196</v>
      </c>
      <c r="N23" s="111" t="s">
        <v>197</v>
      </c>
      <c r="O23" s="375"/>
      <c r="P23" s="375"/>
      <c r="Q23" s="375">
        <v>1</v>
      </c>
      <c r="R23" s="375"/>
      <c r="S23" s="375"/>
      <c r="T23" s="405" t="s">
        <v>190</v>
      </c>
      <c r="U23" s="421" t="s">
        <v>198</v>
      </c>
      <c r="V23" s="511">
        <v>0</v>
      </c>
      <c r="W23" s="179">
        <v>0</v>
      </c>
      <c r="X23" s="179">
        <v>1</v>
      </c>
      <c r="Y23" s="179">
        <v>0</v>
      </c>
      <c r="Z23" s="179">
        <v>0</v>
      </c>
      <c r="AA23" s="179">
        <v>0</v>
      </c>
      <c r="AB23" s="179">
        <v>0</v>
      </c>
      <c r="AC23" s="179">
        <v>0</v>
      </c>
      <c r="AD23" s="179">
        <v>0</v>
      </c>
      <c r="AE23" s="179">
        <v>0</v>
      </c>
      <c r="AF23" s="179">
        <v>0</v>
      </c>
      <c r="AG23" s="512">
        <v>0</v>
      </c>
      <c r="AH23" s="518">
        <v>0</v>
      </c>
      <c r="AI23" s="112">
        <v>0</v>
      </c>
      <c r="AJ23" s="112"/>
      <c r="AK23" s="112"/>
      <c r="AL23" s="112"/>
      <c r="AM23" s="112"/>
      <c r="AN23" s="112"/>
      <c r="AO23" s="112"/>
      <c r="AP23" s="112"/>
      <c r="AQ23" s="112"/>
      <c r="AR23" s="112"/>
      <c r="AS23" s="517"/>
      <c r="AT23" s="513">
        <f t="shared" si="0"/>
        <v>0</v>
      </c>
      <c r="AU23" s="407">
        <f t="shared" si="1"/>
        <v>0</v>
      </c>
      <c r="AV23" s="519" t="s">
        <v>1096</v>
      </c>
      <c r="AW23" s="519"/>
      <c r="AX23" s="522"/>
    </row>
    <row r="24" spans="1:50" ht="105">
      <c r="A24" s="436"/>
      <c r="B24" s="110"/>
      <c r="C24" s="110"/>
      <c r="D24" s="110"/>
      <c r="E24" s="110"/>
      <c r="F24" s="110"/>
      <c r="G24" s="408" t="s">
        <v>199</v>
      </c>
      <c r="H24" s="417" t="s">
        <v>200</v>
      </c>
      <c r="I24" s="418" t="s">
        <v>201</v>
      </c>
      <c r="J24" s="419" t="s">
        <v>202</v>
      </c>
      <c r="K24" s="111" t="s">
        <v>187</v>
      </c>
      <c r="L24" s="110"/>
      <c r="M24" s="111" t="s">
        <v>159</v>
      </c>
      <c r="N24" s="420" t="s">
        <v>203</v>
      </c>
      <c r="O24" s="375"/>
      <c r="P24" s="375"/>
      <c r="Q24" s="410">
        <v>1</v>
      </c>
      <c r="R24" s="375"/>
      <c r="S24" s="375"/>
      <c r="T24" s="405"/>
      <c r="U24" s="421" t="s">
        <v>204</v>
      </c>
      <c r="V24" s="511">
        <v>0</v>
      </c>
      <c r="W24" s="179">
        <v>0</v>
      </c>
      <c r="X24" s="407">
        <v>0.25</v>
      </c>
      <c r="Y24" s="179">
        <v>0</v>
      </c>
      <c r="Z24" s="179">
        <v>0</v>
      </c>
      <c r="AA24" s="407">
        <v>0.25</v>
      </c>
      <c r="AB24" s="179">
        <v>0</v>
      </c>
      <c r="AC24" s="179">
        <v>0</v>
      </c>
      <c r="AD24" s="407">
        <v>0.25</v>
      </c>
      <c r="AE24" s="179">
        <v>0</v>
      </c>
      <c r="AF24" s="179">
        <v>0</v>
      </c>
      <c r="AG24" s="512">
        <v>25</v>
      </c>
      <c r="AH24" s="518">
        <v>0</v>
      </c>
      <c r="AI24" s="112">
        <v>0</v>
      </c>
      <c r="AJ24" s="112"/>
      <c r="AK24" s="112"/>
      <c r="AL24" s="112"/>
      <c r="AM24" s="112"/>
      <c r="AN24" s="112"/>
      <c r="AO24" s="112"/>
      <c r="AP24" s="112"/>
      <c r="AQ24" s="112"/>
      <c r="AR24" s="112"/>
      <c r="AS24" s="517"/>
      <c r="AT24" s="513">
        <f t="shared" si="0"/>
        <v>0</v>
      </c>
      <c r="AU24" s="407">
        <f t="shared" si="1"/>
        <v>0</v>
      </c>
      <c r="AV24" s="519" t="s">
        <v>1096</v>
      </c>
      <c r="AW24" s="519"/>
      <c r="AX24" s="522"/>
    </row>
    <row r="25" spans="1:50" ht="105.75" thickBot="1">
      <c r="A25" s="590"/>
      <c r="B25" s="591"/>
      <c r="C25" s="591"/>
      <c r="D25" s="591"/>
      <c r="E25" s="591"/>
      <c r="F25" s="591"/>
      <c r="G25" s="592" t="s">
        <v>199</v>
      </c>
      <c r="H25" s="593" t="s">
        <v>200</v>
      </c>
      <c r="I25" s="418" t="s">
        <v>205</v>
      </c>
      <c r="J25" s="594" t="s">
        <v>206</v>
      </c>
      <c r="K25" s="595" t="s">
        <v>187</v>
      </c>
      <c r="L25" s="591"/>
      <c r="M25" s="595" t="s">
        <v>159</v>
      </c>
      <c r="N25" s="420" t="s">
        <v>207</v>
      </c>
      <c r="O25" s="596"/>
      <c r="P25" s="596"/>
      <c r="Q25" s="597">
        <v>1</v>
      </c>
      <c r="R25" s="596"/>
      <c r="S25" s="596"/>
      <c r="T25" s="598"/>
      <c r="U25" s="599" t="s">
        <v>208</v>
      </c>
      <c r="V25" s="600">
        <v>0</v>
      </c>
      <c r="W25" s="601">
        <v>0</v>
      </c>
      <c r="X25" s="601">
        <v>0</v>
      </c>
      <c r="Y25" s="601">
        <v>0</v>
      </c>
      <c r="Z25" s="601">
        <v>0</v>
      </c>
      <c r="AA25" s="601">
        <v>0</v>
      </c>
      <c r="AB25" s="597">
        <v>1</v>
      </c>
      <c r="AC25" s="601">
        <v>0</v>
      </c>
      <c r="AD25" s="601">
        <v>0</v>
      </c>
      <c r="AE25" s="601">
        <v>0</v>
      </c>
      <c r="AF25" s="601">
        <v>0</v>
      </c>
      <c r="AG25" s="602">
        <v>0</v>
      </c>
      <c r="AH25" s="603">
        <v>0</v>
      </c>
      <c r="AI25" s="604">
        <v>0</v>
      </c>
      <c r="AJ25" s="604"/>
      <c r="AK25" s="604"/>
      <c r="AL25" s="604"/>
      <c r="AM25" s="604"/>
      <c r="AN25" s="604"/>
      <c r="AO25" s="604"/>
      <c r="AP25" s="604"/>
      <c r="AQ25" s="604"/>
      <c r="AR25" s="604"/>
      <c r="AS25" s="605"/>
      <c r="AT25" s="606">
        <f t="shared" si="0"/>
        <v>0</v>
      </c>
      <c r="AU25" s="607">
        <f t="shared" si="1"/>
        <v>0</v>
      </c>
      <c r="AV25" s="608" t="s">
        <v>1096</v>
      </c>
      <c r="AW25" s="608"/>
      <c r="AX25" s="609"/>
    </row>
    <row r="26" spans="1:50" ht="334.5" customHeight="1">
      <c r="A26" s="610"/>
      <c r="B26" s="611"/>
      <c r="C26" s="611"/>
      <c r="D26" s="611"/>
      <c r="E26" s="611"/>
      <c r="F26" s="611"/>
      <c r="G26" s="612" t="s">
        <v>199</v>
      </c>
      <c r="H26" s="612" t="s">
        <v>200</v>
      </c>
      <c r="I26" s="613" t="s">
        <v>209</v>
      </c>
      <c r="J26" s="614" t="s">
        <v>210</v>
      </c>
      <c r="K26" s="615" t="s">
        <v>187</v>
      </c>
      <c r="L26" s="611" t="s">
        <v>167</v>
      </c>
      <c r="M26" s="615" t="s">
        <v>211</v>
      </c>
      <c r="N26" s="614" t="s">
        <v>212</v>
      </c>
      <c r="O26" s="616"/>
      <c r="P26" s="616"/>
      <c r="Q26" s="616">
        <v>4</v>
      </c>
      <c r="R26" s="616"/>
      <c r="S26" s="616"/>
      <c r="T26" s="617" t="s">
        <v>184</v>
      </c>
      <c r="U26" s="612" t="s">
        <v>213</v>
      </c>
      <c r="V26" s="618">
        <v>0</v>
      </c>
      <c r="W26" s="618">
        <v>0</v>
      </c>
      <c r="X26" s="618">
        <v>1</v>
      </c>
      <c r="Y26" s="618">
        <v>0</v>
      </c>
      <c r="Z26" s="618">
        <v>0</v>
      </c>
      <c r="AA26" s="618">
        <v>1</v>
      </c>
      <c r="AB26" s="618">
        <v>0</v>
      </c>
      <c r="AC26" s="618">
        <v>0</v>
      </c>
      <c r="AD26" s="618">
        <v>1</v>
      </c>
      <c r="AE26" s="618">
        <v>0</v>
      </c>
      <c r="AF26" s="618">
        <v>0</v>
      </c>
      <c r="AG26" s="618">
        <v>1</v>
      </c>
      <c r="AH26" s="619">
        <v>0</v>
      </c>
      <c r="AI26" s="619">
        <v>0</v>
      </c>
      <c r="AJ26" s="619"/>
      <c r="AK26" s="619"/>
      <c r="AL26" s="619"/>
      <c r="AM26" s="619"/>
      <c r="AN26" s="619"/>
      <c r="AO26" s="619"/>
      <c r="AP26" s="619"/>
      <c r="AQ26" s="619"/>
      <c r="AR26" s="619"/>
      <c r="AS26" s="619"/>
      <c r="AT26" s="618">
        <f t="shared" si="0"/>
        <v>0</v>
      </c>
      <c r="AU26" s="620">
        <f t="shared" si="1"/>
        <v>0</v>
      </c>
      <c r="AV26" s="621" t="s">
        <v>1112</v>
      </c>
      <c r="AW26" s="587"/>
      <c r="AX26" s="588"/>
    </row>
    <row r="27" spans="1:50" ht="372" customHeight="1">
      <c r="A27" s="576"/>
      <c r="B27" s="577"/>
      <c r="C27" s="577"/>
      <c r="D27" s="577"/>
      <c r="E27" s="577"/>
      <c r="F27" s="577"/>
      <c r="G27" s="578"/>
      <c r="H27" s="578"/>
      <c r="I27" s="579"/>
      <c r="J27" s="580"/>
      <c r="K27" s="581"/>
      <c r="L27" s="577"/>
      <c r="M27" s="581"/>
      <c r="N27" s="580"/>
      <c r="O27" s="582"/>
      <c r="P27" s="582"/>
      <c r="Q27" s="582"/>
      <c r="R27" s="582"/>
      <c r="S27" s="582"/>
      <c r="T27" s="583"/>
      <c r="U27" s="578"/>
      <c r="V27" s="584"/>
      <c r="W27" s="584"/>
      <c r="X27" s="584"/>
      <c r="Y27" s="584"/>
      <c r="Z27" s="584"/>
      <c r="AA27" s="584"/>
      <c r="AB27" s="584"/>
      <c r="AC27" s="584"/>
      <c r="AD27" s="584"/>
      <c r="AE27" s="584"/>
      <c r="AF27" s="584"/>
      <c r="AG27" s="584"/>
      <c r="AH27" s="585"/>
      <c r="AI27" s="585"/>
      <c r="AJ27" s="585"/>
      <c r="AK27" s="585"/>
      <c r="AL27" s="585"/>
      <c r="AM27" s="585"/>
      <c r="AN27" s="585"/>
      <c r="AO27" s="585"/>
      <c r="AP27" s="585"/>
      <c r="AQ27" s="585"/>
      <c r="AR27" s="585"/>
      <c r="AS27" s="585"/>
      <c r="AT27" s="584"/>
      <c r="AU27" s="586"/>
      <c r="AV27" s="589" t="s">
        <v>1110</v>
      </c>
      <c r="AW27" s="587"/>
      <c r="AX27" s="588"/>
    </row>
    <row r="28" spans="1:50" ht="326.25" customHeight="1" thickBot="1">
      <c r="A28" s="622"/>
      <c r="B28" s="623"/>
      <c r="C28" s="623"/>
      <c r="D28" s="623"/>
      <c r="E28" s="623"/>
      <c r="F28" s="623"/>
      <c r="G28" s="624"/>
      <c r="H28" s="624"/>
      <c r="I28" s="625"/>
      <c r="J28" s="626"/>
      <c r="K28" s="627"/>
      <c r="L28" s="623"/>
      <c r="M28" s="627"/>
      <c r="N28" s="626"/>
      <c r="O28" s="628"/>
      <c r="P28" s="628"/>
      <c r="Q28" s="628"/>
      <c r="R28" s="628"/>
      <c r="S28" s="628"/>
      <c r="T28" s="629"/>
      <c r="U28" s="624"/>
      <c r="V28" s="630"/>
      <c r="W28" s="630"/>
      <c r="X28" s="630"/>
      <c r="Y28" s="630"/>
      <c r="Z28" s="630"/>
      <c r="AA28" s="630"/>
      <c r="AB28" s="630"/>
      <c r="AC28" s="630"/>
      <c r="AD28" s="630"/>
      <c r="AE28" s="630"/>
      <c r="AF28" s="630"/>
      <c r="AG28" s="630"/>
      <c r="AH28" s="631"/>
      <c r="AI28" s="631"/>
      <c r="AJ28" s="631"/>
      <c r="AK28" s="631"/>
      <c r="AL28" s="631"/>
      <c r="AM28" s="631"/>
      <c r="AN28" s="631"/>
      <c r="AO28" s="631"/>
      <c r="AP28" s="631"/>
      <c r="AQ28" s="631"/>
      <c r="AR28" s="631"/>
      <c r="AS28" s="631"/>
      <c r="AT28" s="630"/>
      <c r="AU28" s="632"/>
      <c r="AV28" s="633" t="s">
        <v>1111</v>
      </c>
      <c r="AW28" s="634"/>
      <c r="AX28" s="635"/>
    </row>
    <row r="29" spans="1:50">
      <c r="A29" s="1011" t="s">
        <v>91</v>
      </c>
      <c r="B29" s="993"/>
      <c r="C29" s="993"/>
      <c r="D29" s="993"/>
      <c r="E29" s="993"/>
      <c r="F29" s="993"/>
      <c r="G29" s="993"/>
      <c r="H29" s="993"/>
      <c r="I29" s="993"/>
      <c r="J29" s="993"/>
      <c r="K29" s="993"/>
      <c r="L29" s="993"/>
      <c r="M29" s="993"/>
      <c r="N29" s="993"/>
      <c r="O29" s="993"/>
      <c r="P29" s="993"/>
      <c r="Q29" s="993"/>
      <c r="R29" s="993"/>
      <c r="S29" s="993"/>
      <c r="T29" s="993"/>
      <c r="U29" s="993"/>
      <c r="V29" s="993"/>
      <c r="W29" s="993"/>
      <c r="X29" s="993"/>
      <c r="Y29" s="993"/>
      <c r="Z29" s="993"/>
      <c r="AA29" s="993"/>
      <c r="AB29" s="993"/>
      <c r="AC29" s="993"/>
      <c r="AD29" s="993"/>
      <c r="AE29" s="993"/>
      <c r="AF29" s="993"/>
      <c r="AG29" s="993"/>
      <c r="AH29" s="993"/>
      <c r="AI29" s="993"/>
      <c r="AJ29" s="993"/>
      <c r="AK29" s="993"/>
      <c r="AL29" s="993"/>
      <c r="AM29" s="993"/>
      <c r="AN29" s="993"/>
      <c r="AO29" s="993"/>
      <c r="AP29" s="993"/>
      <c r="AQ29" s="993"/>
      <c r="AR29" s="993"/>
      <c r="AS29" s="993"/>
      <c r="AT29" s="993"/>
      <c r="AU29" s="993"/>
      <c r="AV29" s="993"/>
      <c r="AW29" s="993"/>
      <c r="AX29" s="1012"/>
    </row>
    <row r="30" spans="1:50" ht="35.25" customHeight="1">
      <c r="A30" s="1020" t="s">
        <v>214</v>
      </c>
      <c r="B30" s="1021"/>
      <c r="C30" s="1021"/>
      <c r="D30" s="1001" t="s">
        <v>215</v>
      </c>
      <c r="E30" s="1001"/>
      <c r="F30" s="1001"/>
      <c r="G30" s="1001"/>
      <c r="H30" s="1001"/>
      <c r="I30" s="1001"/>
      <c r="J30" s="1006" t="s">
        <v>216</v>
      </c>
      <c r="K30" s="1006"/>
      <c r="L30" s="1006"/>
      <c r="M30" s="1006"/>
      <c r="N30" s="1006"/>
      <c r="O30" s="1006"/>
      <c r="P30" s="1001" t="s">
        <v>215</v>
      </c>
      <c r="Q30" s="1001"/>
      <c r="R30" s="1001"/>
      <c r="S30" s="1001"/>
      <c r="T30" s="1001"/>
      <c r="U30" s="1001"/>
      <c r="V30" s="1001" t="s">
        <v>215</v>
      </c>
      <c r="W30" s="1001"/>
      <c r="X30" s="1001"/>
      <c r="Y30" s="1001"/>
      <c r="Z30" s="1001"/>
      <c r="AA30" s="1001"/>
      <c r="AB30" s="1001"/>
      <c r="AC30" s="1001"/>
      <c r="AD30" s="1030" t="s">
        <v>215</v>
      </c>
      <c r="AE30" s="1030"/>
      <c r="AF30" s="1030"/>
      <c r="AG30" s="1030"/>
      <c r="AH30" s="1030"/>
      <c r="AI30" s="1030"/>
      <c r="AJ30" s="1030"/>
      <c r="AK30" s="1030"/>
      <c r="AL30" s="1030"/>
      <c r="AM30" s="1030"/>
      <c r="AN30" s="1030"/>
      <c r="AO30" s="1030"/>
      <c r="AP30" s="1006" t="s">
        <v>217</v>
      </c>
      <c r="AQ30" s="1006"/>
      <c r="AR30" s="1006"/>
      <c r="AS30" s="1006"/>
      <c r="AT30" s="1001" t="s">
        <v>218</v>
      </c>
      <c r="AU30" s="1001"/>
      <c r="AV30" s="1001"/>
      <c r="AW30" s="1001"/>
      <c r="AX30" s="1031"/>
    </row>
    <row r="31" spans="1:50" ht="39" customHeight="1">
      <c r="A31" s="1020"/>
      <c r="B31" s="1021"/>
      <c r="C31" s="1021"/>
      <c r="D31" s="1008" t="s">
        <v>1045</v>
      </c>
      <c r="E31" s="1009"/>
      <c r="F31" s="1009"/>
      <c r="G31" s="1009"/>
      <c r="H31" s="1009"/>
      <c r="I31" s="1010"/>
      <c r="J31" s="1006"/>
      <c r="K31" s="1006"/>
      <c r="L31" s="1006"/>
      <c r="M31" s="1006"/>
      <c r="N31" s="1006"/>
      <c r="O31" s="1006"/>
      <c r="P31" s="1001" t="s">
        <v>1042</v>
      </c>
      <c r="Q31" s="1001"/>
      <c r="R31" s="1001"/>
      <c r="S31" s="1001"/>
      <c r="T31" s="1001"/>
      <c r="U31" s="1001"/>
      <c r="V31" s="1001" t="s">
        <v>1041</v>
      </c>
      <c r="W31" s="1001"/>
      <c r="X31" s="1001"/>
      <c r="Y31" s="1001"/>
      <c r="Z31" s="1001"/>
      <c r="AA31" s="1001"/>
      <c r="AB31" s="1001"/>
      <c r="AC31" s="1001"/>
      <c r="AD31" s="1030" t="s">
        <v>219</v>
      </c>
      <c r="AE31" s="1030"/>
      <c r="AF31" s="1030"/>
      <c r="AG31" s="1030"/>
      <c r="AH31" s="1030"/>
      <c r="AI31" s="1030"/>
      <c r="AJ31" s="1030"/>
      <c r="AK31" s="1030"/>
      <c r="AL31" s="1030"/>
      <c r="AM31" s="1030"/>
      <c r="AN31" s="1030"/>
      <c r="AO31" s="1030"/>
      <c r="AP31" s="1006"/>
      <c r="AQ31" s="1006"/>
      <c r="AR31" s="1006"/>
      <c r="AS31" s="1006"/>
      <c r="AT31" s="1001" t="s">
        <v>219</v>
      </c>
      <c r="AU31" s="1001"/>
      <c r="AV31" s="1001"/>
      <c r="AW31" s="1001"/>
      <c r="AX31" s="1031"/>
    </row>
    <row r="32" spans="1:50" ht="32.25" customHeight="1" thickBot="1">
      <c r="A32" s="1022"/>
      <c r="B32" s="1023"/>
      <c r="C32" s="1023"/>
      <c r="D32" s="1027" t="s">
        <v>1113</v>
      </c>
      <c r="E32" s="1028"/>
      <c r="F32" s="1028"/>
      <c r="G32" s="1028"/>
      <c r="H32" s="1028"/>
      <c r="I32" s="1029"/>
      <c r="J32" s="1007"/>
      <c r="K32" s="1007"/>
      <c r="L32" s="1007"/>
      <c r="M32" s="1007"/>
      <c r="N32" s="1007"/>
      <c r="O32" s="1007"/>
      <c r="P32" s="1005" t="s">
        <v>1043</v>
      </c>
      <c r="Q32" s="1005"/>
      <c r="R32" s="1005"/>
      <c r="S32" s="1005"/>
      <c r="T32" s="1005"/>
      <c r="U32" s="1005"/>
      <c r="V32" s="1005" t="s">
        <v>1044</v>
      </c>
      <c r="W32" s="1005"/>
      <c r="X32" s="1005"/>
      <c r="Y32" s="1005"/>
      <c r="Z32" s="1005"/>
      <c r="AA32" s="1005"/>
      <c r="AB32" s="1005"/>
      <c r="AC32" s="1005"/>
      <c r="AD32" s="997" t="s">
        <v>220</v>
      </c>
      <c r="AE32" s="997"/>
      <c r="AF32" s="997"/>
      <c r="AG32" s="997"/>
      <c r="AH32" s="997"/>
      <c r="AI32" s="997"/>
      <c r="AJ32" s="997"/>
      <c r="AK32" s="997"/>
      <c r="AL32" s="997"/>
      <c r="AM32" s="997"/>
      <c r="AN32" s="997"/>
      <c r="AO32" s="997"/>
      <c r="AP32" s="1007"/>
      <c r="AQ32" s="1007"/>
      <c r="AR32" s="1007"/>
      <c r="AS32" s="1007"/>
      <c r="AT32" s="1005" t="s">
        <v>221</v>
      </c>
      <c r="AU32" s="1005"/>
      <c r="AV32" s="1005"/>
      <c r="AW32" s="1005"/>
      <c r="AX32" s="1013"/>
    </row>
  </sheetData>
  <mergeCells count="56">
    <mergeCell ref="AT31:AX31"/>
    <mergeCell ref="AT30:AX30"/>
    <mergeCell ref="A9:C9"/>
    <mergeCell ref="A5:AG5"/>
    <mergeCell ref="A6:C8"/>
    <mergeCell ref="D6:E8"/>
    <mergeCell ref="F6:G8"/>
    <mergeCell ref="H6:I6"/>
    <mergeCell ref="AT32:AX32"/>
    <mergeCell ref="A10:C10"/>
    <mergeCell ref="D10:AG10"/>
    <mergeCell ref="AP30:AS32"/>
    <mergeCell ref="AW5:AW12"/>
    <mergeCell ref="A30:C32"/>
    <mergeCell ref="D30:I30"/>
    <mergeCell ref="L11:L12"/>
    <mergeCell ref="U11:U12"/>
    <mergeCell ref="O11:S11"/>
    <mergeCell ref="T11:T12"/>
    <mergeCell ref="N11:N12"/>
    <mergeCell ref="A11:F11"/>
    <mergeCell ref="D32:I32"/>
    <mergeCell ref="AD30:AO30"/>
    <mergeCell ref="AD31:AO31"/>
    <mergeCell ref="AD32:AO32"/>
    <mergeCell ref="AH11:AS11"/>
    <mergeCell ref="P30:U30"/>
    <mergeCell ref="I11:I12"/>
    <mergeCell ref="J11:J12"/>
    <mergeCell ref="K11:K12"/>
    <mergeCell ref="V11:AG11"/>
    <mergeCell ref="V31:AC31"/>
    <mergeCell ref="V32:AC32"/>
    <mergeCell ref="J30:O32"/>
    <mergeCell ref="P31:U31"/>
    <mergeCell ref="P32:U32"/>
    <mergeCell ref="V30:AC30"/>
    <mergeCell ref="M11:M12"/>
    <mergeCell ref="D31:I31"/>
    <mergeCell ref="A29:AX29"/>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rintOptions horizontalCentered="1"/>
  <pageMargins left="0.19685039370078741" right="0.19685039370078741" top="0.19685039370078741" bottom="0.19685039370078741" header="0" footer="0"/>
  <pageSetup scale="21" fitToHeight="0" orientation="landscape" r:id="rId1"/>
  <rowBreaks count="1" manualBreakCount="1">
    <brk id="25" max="49"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4D7A0-D4BA-4FFD-A071-20E7B66888EA}">
  <sheetPr>
    <pageSetUpPr fitToPage="1"/>
  </sheetPr>
  <dimension ref="A1:CA69"/>
  <sheetViews>
    <sheetView topLeftCell="AO25" zoomScale="75" zoomScaleNormal="75" workbookViewId="0">
      <selection activeCell="AO33" sqref="AO33"/>
    </sheetView>
  </sheetViews>
  <sheetFormatPr baseColWidth="10" defaultColWidth="19.42578125" defaultRowHeight="15"/>
  <cols>
    <col min="1" max="1" width="22.5703125" style="108" bestFit="1" customWidth="1"/>
    <col min="2" max="2" width="11" style="108" customWidth="1"/>
    <col min="3" max="3" width="13.28515625" style="108" bestFit="1" customWidth="1"/>
    <col min="4" max="4" width="11" style="108" customWidth="1"/>
    <col min="5" max="5" width="16.140625" style="108" customWidth="1"/>
    <col min="6" max="6" width="12.42578125" style="108" customWidth="1"/>
    <col min="7" max="7" width="14.28515625" style="108" customWidth="1"/>
    <col min="8" max="8" width="12" style="108" customWidth="1"/>
    <col min="9" max="9" width="16.7109375" style="108" customWidth="1"/>
    <col min="10" max="10" width="12" style="108" customWidth="1"/>
    <col min="11" max="11" width="16.28515625" style="108" customWidth="1"/>
    <col min="12" max="12" width="12.28515625" style="108" customWidth="1"/>
    <col min="13" max="13" width="17.42578125" style="108" customWidth="1"/>
    <col min="14" max="14" width="12" style="108" customWidth="1"/>
    <col min="15" max="15" width="16.5703125" style="108" customWidth="1"/>
    <col min="16" max="16" width="13.28515625" style="108" customWidth="1"/>
    <col min="17" max="17" width="16.5703125" style="108" customWidth="1"/>
    <col min="18" max="18" width="13.7109375" style="108" customWidth="1"/>
    <col min="19" max="19" width="15.7109375" style="108" customWidth="1"/>
    <col min="20" max="20" width="12.5703125" style="108" customWidth="1"/>
    <col min="21" max="21" width="21.85546875" style="108" customWidth="1"/>
    <col min="22" max="22" width="12.28515625" style="108" customWidth="1"/>
    <col min="23" max="23" width="17.140625" style="108" customWidth="1"/>
    <col min="24" max="24" width="12.5703125" style="108" customWidth="1"/>
    <col min="25" max="25" width="17.7109375" style="108" customWidth="1"/>
    <col min="26" max="26" width="12.140625" style="108" customWidth="1"/>
    <col min="27" max="27" width="30.5703125" style="108" customWidth="1"/>
    <col min="28" max="31" width="8.140625" style="108"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42" width="11.28515625" style="108" customWidth="1"/>
    <col min="43" max="43" width="13.5703125" style="108" customWidth="1"/>
    <col min="44" max="44" width="11.28515625" style="108" customWidth="1"/>
    <col min="45" max="45" width="26" style="108" customWidth="1"/>
    <col min="46" max="46" width="11.28515625" style="108" customWidth="1"/>
    <col min="47" max="47" width="13.140625" style="108" customWidth="1"/>
    <col min="48" max="66" width="11.28515625" style="108" customWidth="1"/>
    <col min="67" max="67" width="19" style="108" bestFit="1" customWidth="1"/>
    <col min="68" max="79" width="8.85546875" style="108" customWidth="1"/>
    <col min="80" max="257" width="19.42578125" style="108"/>
    <col min="258" max="260" width="11" style="108" customWidth="1"/>
    <col min="261" max="261" width="16.140625" style="108" customWidth="1"/>
    <col min="262" max="262" width="12.42578125" style="108" customWidth="1"/>
    <col min="263" max="263" width="14.28515625" style="108" customWidth="1"/>
    <col min="264" max="264" width="12" style="108" customWidth="1"/>
    <col min="265" max="265" width="16.7109375" style="108" customWidth="1"/>
    <col min="266" max="266" width="12" style="108" customWidth="1"/>
    <col min="267" max="267" width="16.28515625" style="108" customWidth="1"/>
    <col min="268" max="268" width="12.28515625" style="108" customWidth="1"/>
    <col min="269" max="269" width="17.42578125" style="108" customWidth="1"/>
    <col min="270" max="270" width="12" style="108" customWidth="1"/>
    <col min="271" max="271" width="16.5703125" style="108" customWidth="1"/>
    <col min="272" max="272" width="13.28515625" style="108" customWidth="1"/>
    <col min="273" max="273" width="16.5703125" style="108" customWidth="1"/>
    <col min="274" max="274" width="13.7109375" style="108" customWidth="1"/>
    <col min="275" max="275" width="15.7109375" style="108" customWidth="1"/>
    <col min="276" max="276" width="12.5703125" style="108" customWidth="1"/>
    <col min="277" max="277" width="19.140625" style="108" customWidth="1"/>
    <col min="278" max="278" width="12.28515625" style="108" customWidth="1"/>
    <col min="279" max="279" width="17.140625" style="108" customWidth="1"/>
    <col min="280" max="280" width="12.5703125" style="108" customWidth="1"/>
    <col min="281" max="281" width="17.7109375" style="108" customWidth="1"/>
    <col min="282" max="282" width="12.140625" style="108" customWidth="1"/>
    <col min="283" max="283" width="30.5703125" style="108" customWidth="1"/>
    <col min="284" max="287" width="8.140625" style="108" customWidth="1"/>
    <col min="288" max="288" width="9.42578125" style="108" customWidth="1"/>
    <col min="289" max="289" width="8.140625" style="108" customWidth="1"/>
    <col min="290" max="294" width="7.85546875" style="108" customWidth="1"/>
    <col min="295" max="295" width="11.28515625" style="108" customWidth="1"/>
    <col min="296" max="296" width="2.28515625" style="108" customWidth="1"/>
    <col min="297" max="297" width="19.42578125" style="108"/>
    <col min="298" max="323" width="11.28515625" style="108" customWidth="1"/>
    <col min="324" max="335" width="8.85546875" style="108" customWidth="1"/>
    <col min="336" max="513" width="19.42578125" style="108"/>
    <col min="514" max="516" width="11" style="108" customWidth="1"/>
    <col min="517" max="517" width="16.140625" style="108" customWidth="1"/>
    <col min="518" max="518" width="12.42578125" style="108" customWidth="1"/>
    <col min="519" max="519" width="14.28515625" style="108" customWidth="1"/>
    <col min="520" max="520" width="12" style="108" customWidth="1"/>
    <col min="521" max="521" width="16.7109375" style="108" customWidth="1"/>
    <col min="522" max="522" width="12" style="108" customWidth="1"/>
    <col min="523" max="523" width="16.28515625" style="108" customWidth="1"/>
    <col min="524" max="524" width="12.28515625" style="108" customWidth="1"/>
    <col min="525" max="525" width="17.42578125" style="108" customWidth="1"/>
    <col min="526" max="526" width="12" style="108" customWidth="1"/>
    <col min="527" max="527" width="16.5703125" style="108" customWidth="1"/>
    <col min="528" max="528" width="13.28515625" style="108" customWidth="1"/>
    <col min="529" max="529" width="16.5703125" style="108" customWidth="1"/>
    <col min="530" max="530" width="13.7109375" style="108" customWidth="1"/>
    <col min="531" max="531" width="15.7109375" style="108" customWidth="1"/>
    <col min="532" max="532" width="12.5703125" style="108" customWidth="1"/>
    <col min="533" max="533" width="19.140625" style="108" customWidth="1"/>
    <col min="534" max="534" width="12.28515625" style="108" customWidth="1"/>
    <col min="535" max="535" width="17.140625" style="108" customWidth="1"/>
    <col min="536" max="536" width="12.5703125" style="108" customWidth="1"/>
    <col min="537" max="537" width="17.7109375" style="108" customWidth="1"/>
    <col min="538" max="538" width="12.140625" style="108" customWidth="1"/>
    <col min="539" max="539" width="30.5703125" style="108" customWidth="1"/>
    <col min="540" max="543" width="8.140625" style="108" customWidth="1"/>
    <col min="544" max="544" width="9.42578125" style="108" customWidth="1"/>
    <col min="545" max="545" width="8.140625" style="108" customWidth="1"/>
    <col min="546" max="550" width="7.85546875" style="108" customWidth="1"/>
    <col min="551" max="551" width="11.28515625" style="108" customWidth="1"/>
    <col min="552" max="552" width="2.28515625" style="108" customWidth="1"/>
    <col min="553" max="553" width="19.42578125" style="108"/>
    <col min="554" max="579" width="11.28515625" style="108" customWidth="1"/>
    <col min="580" max="591" width="8.85546875" style="108" customWidth="1"/>
    <col min="592" max="769" width="19.42578125" style="108"/>
    <col min="770" max="772" width="11" style="108" customWidth="1"/>
    <col min="773" max="773" width="16.140625" style="108" customWidth="1"/>
    <col min="774" max="774" width="12.42578125" style="108" customWidth="1"/>
    <col min="775" max="775" width="14.28515625" style="108" customWidth="1"/>
    <col min="776" max="776" width="12" style="108" customWidth="1"/>
    <col min="777" max="777" width="16.7109375" style="108" customWidth="1"/>
    <col min="778" max="778" width="12" style="108" customWidth="1"/>
    <col min="779" max="779" width="16.28515625" style="108" customWidth="1"/>
    <col min="780" max="780" width="12.28515625" style="108" customWidth="1"/>
    <col min="781" max="781" width="17.42578125" style="108" customWidth="1"/>
    <col min="782" max="782" width="12" style="108" customWidth="1"/>
    <col min="783" max="783" width="16.5703125" style="108" customWidth="1"/>
    <col min="784" max="784" width="13.28515625" style="108" customWidth="1"/>
    <col min="785" max="785" width="16.5703125" style="108" customWidth="1"/>
    <col min="786" max="786" width="13.7109375" style="108" customWidth="1"/>
    <col min="787" max="787" width="15.7109375" style="108" customWidth="1"/>
    <col min="788" max="788" width="12.5703125" style="108" customWidth="1"/>
    <col min="789" max="789" width="19.140625" style="108" customWidth="1"/>
    <col min="790" max="790" width="12.28515625" style="108" customWidth="1"/>
    <col min="791" max="791" width="17.140625" style="108" customWidth="1"/>
    <col min="792" max="792" width="12.5703125" style="108" customWidth="1"/>
    <col min="793" max="793" width="17.7109375" style="108" customWidth="1"/>
    <col min="794" max="794" width="12.140625" style="108" customWidth="1"/>
    <col min="795" max="795" width="30.5703125" style="108" customWidth="1"/>
    <col min="796" max="799" width="8.140625" style="108" customWidth="1"/>
    <col min="800" max="800" width="9.42578125" style="108" customWidth="1"/>
    <col min="801" max="801" width="8.140625" style="108" customWidth="1"/>
    <col min="802" max="806" width="7.85546875" style="108" customWidth="1"/>
    <col min="807" max="807" width="11.28515625" style="108" customWidth="1"/>
    <col min="808" max="808" width="2.28515625" style="108" customWidth="1"/>
    <col min="809" max="809" width="19.42578125" style="108"/>
    <col min="810" max="835" width="11.28515625" style="108" customWidth="1"/>
    <col min="836" max="847" width="8.85546875" style="108" customWidth="1"/>
    <col min="848" max="1025" width="19.42578125" style="108"/>
    <col min="1026" max="1028" width="11" style="108" customWidth="1"/>
    <col min="1029" max="1029" width="16.140625" style="108" customWidth="1"/>
    <col min="1030" max="1030" width="12.42578125" style="108" customWidth="1"/>
    <col min="1031" max="1031" width="14.28515625" style="108" customWidth="1"/>
    <col min="1032" max="1032" width="12" style="108" customWidth="1"/>
    <col min="1033" max="1033" width="16.7109375" style="108" customWidth="1"/>
    <col min="1034" max="1034" width="12" style="108" customWidth="1"/>
    <col min="1035" max="1035" width="16.28515625" style="108" customWidth="1"/>
    <col min="1036" max="1036" width="12.28515625" style="108" customWidth="1"/>
    <col min="1037" max="1037" width="17.42578125" style="108" customWidth="1"/>
    <col min="1038" max="1038" width="12" style="108" customWidth="1"/>
    <col min="1039" max="1039" width="16.5703125" style="108" customWidth="1"/>
    <col min="1040" max="1040" width="13.28515625" style="108" customWidth="1"/>
    <col min="1041" max="1041" width="16.5703125" style="108" customWidth="1"/>
    <col min="1042" max="1042" width="13.7109375" style="108" customWidth="1"/>
    <col min="1043" max="1043" width="15.7109375" style="108" customWidth="1"/>
    <col min="1044" max="1044" width="12.5703125" style="108" customWidth="1"/>
    <col min="1045" max="1045" width="19.140625" style="108" customWidth="1"/>
    <col min="1046" max="1046" width="12.28515625" style="108" customWidth="1"/>
    <col min="1047" max="1047" width="17.140625" style="108" customWidth="1"/>
    <col min="1048" max="1048" width="12.5703125" style="108" customWidth="1"/>
    <col min="1049" max="1049" width="17.7109375" style="108" customWidth="1"/>
    <col min="1050" max="1050" width="12.140625" style="108" customWidth="1"/>
    <col min="1051" max="1051" width="30.5703125" style="108" customWidth="1"/>
    <col min="1052" max="1055" width="8.140625" style="108" customWidth="1"/>
    <col min="1056" max="1056" width="9.42578125" style="108" customWidth="1"/>
    <col min="1057" max="1057" width="8.140625" style="108" customWidth="1"/>
    <col min="1058" max="1062" width="7.85546875" style="108" customWidth="1"/>
    <col min="1063" max="1063" width="11.28515625" style="108" customWidth="1"/>
    <col min="1064" max="1064" width="2.28515625" style="108" customWidth="1"/>
    <col min="1065" max="1065" width="19.42578125" style="108"/>
    <col min="1066" max="1091" width="11.28515625" style="108" customWidth="1"/>
    <col min="1092" max="1103" width="8.85546875" style="108" customWidth="1"/>
    <col min="1104" max="1281" width="19.42578125" style="108"/>
    <col min="1282" max="1284" width="11" style="108" customWidth="1"/>
    <col min="1285" max="1285" width="16.140625" style="108" customWidth="1"/>
    <col min="1286" max="1286" width="12.42578125" style="108" customWidth="1"/>
    <col min="1287" max="1287" width="14.28515625" style="108" customWidth="1"/>
    <col min="1288" max="1288" width="12" style="108" customWidth="1"/>
    <col min="1289" max="1289" width="16.7109375" style="108" customWidth="1"/>
    <col min="1290" max="1290" width="12" style="108" customWidth="1"/>
    <col min="1291" max="1291" width="16.28515625" style="108" customWidth="1"/>
    <col min="1292" max="1292" width="12.28515625" style="108" customWidth="1"/>
    <col min="1293" max="1293" width="17.42578125" style="108" customWidth="1"/>
    <col min="1294" max="1294" width="12" style="108" customWidth="1"/>
    <col min="1295" max="1295" width="16.5703125" style="108" customWidth="1"/>
    <col min="1296" max="1296" width="13.28515625" style="108" customWidth="1"/>
    <col min="1297" max="1297" width="16.5703125" style="108" customWidth="1"/>
    <col min="1298" max="1298" width="13.7109375" style="108" customWidth="1"/>
    <col min="1299" max="1299" width="15.7109375" style="108" customWidth="1"/>
    <col min="1300" max="1300" width="12.5703125" style="108" customWidth="1"/>
    <col min="1301" max="1301" width="19.140625" style="108" customWidth="1"/>
    <col min="1302" max="1302" width="12.28515625" style="108" customWidth="1"/>
    <col min="1303" max="1303" width="17.140625" style="108" customWidth="1"/>
    <col min="1304" max="1304" width="12.5703125" style="108" customWidth="1"/>
    <col min="1305" max="1305" width="17.7109375" style="108" customWidth="1"/>
    <col min="1306" max="1306" width="12.140625" style="108" customWidth="1"/>
    <col min="1307" max="1307" width="30.5703125" style="108" customWidth="1"/>
    <col min="1308" max="1311" width="8.140625" style="108" customWidth="1"/>
    <col min="1312" max="1312" width="9.42578125" style="108" customWidth="1"/>
    <col min="1313" max="1313" width="8.140625" style="108" customWidth="1"/>
    <col min="1314" max="1318" width="7.85546875" style="108" customWidth="1"/>
    <col min="1319" max="1319" width="11.28515625" style="108" customWidth="1"/>
    <col min="1320" max="1320" width="2.28515625" style="108" customWidth="1"/>
    <col min="1321" max="1321" width="19.42578125" style="108"/>
    <col min="1322" max="1347" width="11.28515625" style="108" customWidth="1"/>
    <col min="1348" max="1359" width="8.85546875" style="108" customWidth="1"/>
    <col min="1360" max="1537" width="19.42578125" style="108"/>
    <col min="1538" max="1540" width="11" style="108" customWidth="1"/>
    <col min="1541" max="1541" width="16.140625" style="108" customWidth="1"/>
    <col min="1542" max="1542" width="12.42578125" style="108" customWidth="1"/>
    <col min="1543" max="1543" width="14.28515625" style="108" customWidth="1"/>
    <col min="1544" max="1544" width="12" style="108" customWidth="1"/>
    <col min="1545" max="1545" width="16.7109375" style="108" customWidth="1"/>
    <col min="1546" max="1546" width="12" style="108" customWidth="1"/>
    <col min="1547" max="1547" width="16.28515625" style="108" customWidth="1"/>
    <col min="1548" max="1548" width="12.28515625" style="108" customWidth="1"/>
    <col min="1549" max="1549" width="17.42578125" style="108" customWidth="1"/>
    <col min="1550" max="1550" width="12" style="108" customWidth="1"/>
    <col min="1551" max="1551" width="16.5703125" style="108" customWidth="1"/>
    <col min="1552" max="1552" width="13.28515625" style="108" customWidth="1"/>
    <col min="1553" max="1553" width="16.5703125" style="108" customWidth="1"/>
    <col min="1554" max="1554" width="13.7109375" style="108" customWidth="1"/>
    <col min="1555" max="1555" width="15.7109375" style="108" customWidth="1"/>
    <col min="1556" max="1556" width="12.5703125" style="108" customWidth="1"/>
    <col min="1557" max="1557" width="19.140625" style="108" customWidth="1"/>
    <col min="1558" max="1558" width="12.28515625" style="108" customWidth="1"/>
    <col min="1559" max="1559" width="17.140625" style="108" customWidth="1"/>
    <col min="1560" max="1560" width="12.5703125" style="108" customWidth="1"/>
    <col min="1561" max="1561" width="17.7109375" style="108" customWidth="1"/>
    <col min="1562" max="1562" width="12.140625" style="108" customWidth="1"/>
    <col min="1563" max="1563" width="30.5703125" style="108" customWidth="1"/>
    <col min="1564" max="1567" width="8.140625" style="108" customWidth="1"/>
    <col min="1568" max="1568" width="9.42578125" style="108" customWidth="1"/>
    <col min="1569" max="1569" width="8.140625" style="108" customWidth="1"/>
    <col min="1570" max="1574" width="7.85546875" style="108" customWidth="1"/>
    <col min="1575" max="1575" width="11.28515625" style="108" customWidth="1"/>
    <col min="1576" max="1576" width="2.28515625" style="108" customWidth="1"/>
    <col min="1577" max="1577" width="19.42578125" style="108"/>
    <col min="1578" max="1603" width="11.28515625" style="108" customWidth="1"/>
    <col min="1604" max="1615" width="8.85546875" style="108" customWidth="1"/>
    <col min="1616" max="1793" width="19.42578125" style="108"/>
    <col min="1794" max="1796" width="11" style="108" customWidth="1"/>
    <col min="1797" max="1797" width="16.140625" style="108" customWidth="1"/>
    <col min="1798" max="1798" width="12.42578125" style="108" customWidth="1"/>
    <col min="1799" max="1799" width="14.28515625" style="108" customWidth="1"/>
    <col min="1800" max="1800" width="12" style="108" customWidth="1"/>
    <col min="1801" max="1801" width="16.7109375" style="108" customWidth="1"/>
    <col min="1802" max="1802" width="12" style="108" customWidth="1"/>
    <col min="1803" max="1803" width="16.28515625" style="108" customWidth="1"/>
    <col min="1804" max="1804" width="12.28515625" style="108" customWidth="1"/>
    <col min="1805" max="1805" width="17.42578125" style="108" customWidth="1"/>
    <col min="1806" max="1806" width="12" style="108" customWidth="1"/>
    <col min="1807" max="1807" width="16.5703125" style="108" customWidth="1"/>
    <col min="1808" max="1808" width="13.28515625" style="108" customWidth="1"/>
    <col min="1809" max="1809" width="16.5703125" style="108" customWidth="1"/>
    <col min="1810" max="1810" width="13.7109375" style="108" customWidth="1"/>
    <col min="1811" max="1811" width="15.7109375" style="108" customWidth="1"/>
    <col min="1812" max="1812" width="12.5703125" style="108" customWidth="1"/>
    <col min="1813" max="1813" width="19.140625" style="108" customWidth="1"/>
    <col min="1814" max="1814" width="12.28515625" style="108" customWidth="1"/>
    <col min="1815" max="1815" width="17.140625" style="108" customWidth="1"/>
    <col min="1816" max="1816" width="12.5703125" style="108" customWidth="1"/>
    <col min="1817" max="1817" width="17.7109375" style="108" customWidth="1"/>
    <col min="1818" max="1818" width="12.140625" style="108" customWidth="1"/>
    <col min="1819" max="1819" width="30.5703125" style="108" customWidth="1"/>
    <col min="1820" max="1823" width="8.140625" style="108" customWidth="1"/>
    <col min="1824" max="1824" width="9.42578125" style="108" customWidth="1"/>
    <col min="1825" max="1825" width="8.140625" style="108" customWidth="1"/>
    <col min="1826" max="1830" width="7.85546875" style="108" customWidth="1"/>
    <col min="1831" max="1831" width="11.28515625" style="108" customWidth="1"/>
    <col min="1832" max="1832" width="2.28515625" style="108" customWidth="1"/>
    <col min="1833" max="1833" width="19.42578125" style="108"/>
    <col min="1834" max="1859" width="11.28515625" style="108" customWidth="1"/>
    <col min="1860" max="1871" width="8.85546875" style="108" customWidth="1"/>
    <col min="1872" max="2049" width="19.42578125" style="108"/>
    <col min="2050" max="2052" width="11" style="108" customWidth="1"/>
    <col min="2053" max="2053" width="16.140625" style="108" customWidth="1"/>
    <col min="2054" max="2054" width="12.42578125" style="108" customWidth="1"/>
    <col min="2055" max="2055" width="14.28515625" style="108" customWidth="1"/>
    <col min="2056" max="2056" width="12" style="108" customWidth="1"/>
    <col min="2057" max="2057" width="16.7109375" style="108" customWidth="1"/>
    <col min="2058" max="2058" width="12" style="108" customWidth="1"/>
    <col min="2059" max="2059" width="16.28515625" style="108" customWidth="1"/>
    <col min="2060" max="2060" width="12.28515625" style="108" customWidth="1"/>
    <col min="2061" max="2061" width="17.42578125" style="108" customWidth="1"/>
    <col min="2062" max="2062" width="12" style="108" customWidth="1"/>
    <col min="2063" max="2063" width="16.5703125" style="108" customWidth="1"/>
    <col min="2064" max="2064" width="13.28515625" style="108" customWidth="1"/>
    <col min="2065" max="2065" width="16.5703125" style="108" customWidth="1"/>
    <col min="2066" max="2066" width="13.7109375" style="108" customWidth="1"/>
    <col min="2067" max="2067" width="15.7109375" style="108" customWidth="1"/>
    <col min="2068" max="2068" width="12.5703125" style="108" customWidth="1"/>
    <col min="2069" max="2069" width="19.140625" style="108" customWidth="1"/>
    <col min="2070" max="2070" width="12.28515625" style="108" customWidth="1"/>
    <col min="2071" max="2071" width="17.140625" style="108" customWidth="1"/>
    <col min="2072" max="2072" width="12.5703125" style="108" customWidth="1"/>
    <col min="2073" max="2073" width="17.7109375" style="108" customWidth="1"/>
    <col min="2074" max="2074" width="12.140625" style="108" customWidth="1"/>
    <col min="2075" max="2075" width="30.5703125" style="108" customWidth="1"/>
    <col min="2076" max="2079" width="8.140625" style="108" customWidth="1"/>
    <col min="2080" max="2080" width="9.42578125" style="108" customWidth="1"/>
    <col min="2081" max="2081" width="8.140625" style="108" customWidth="1"/>
    <col min="2082" max="2086" width="7.85546875" style="108" customWidth="1"/>
    <col min="2087" max="2087" width="11.28515625" style="108" customWidth="1"/>
    <col min="2088" max="2088" width="2.28515625" style="108" customWidth="1"/>
    <col min="2089" max="2089" width="19.42578125" style="108"/>
    <col min="2090" max="2115" width="11.28515625" style="108" customWidth="1"/>
    <col min="2116" max="2127" width="8.85546875" style="108" customWidth="1"/>
    <col min="2128" max="2305" width="19.42578125" style="108"/>
    <col min="2306" max="2308" width="11" style="108" customWidth="1"/>
    <col min="2309" max="2309" width="16.140625" style="108" customWidth="1"/>
    <col min="2310" max="2310" width="12.42578125" style="108" customWidth="1"/>
    <col min="2311" max="2311" width="14.28515625" style="108" customWidth="1"/>
    <col min="2312" max="2312" width="12" style="108" customWidth="1"/>
    <col min="2313" max="2313" width="16.7109375" style="108" customWidth="1"/>
    <col min="2314" max="2314" width="12" style="108" customWidth="1"/>
    <col min="2315" max="2315" width="16.28515625" style="108" customWidth="1"/>
    <col min="2316" max="2316" width="12.28515625" style="108" customWidth="1"/>
    <col min="2317" max="2317" width="17.42578125" style="108" customWidth="1"/>
    <col min="2318" max="2318" width="12" style="108" customWidth="1"/>
    <col min="2319" max="2319" width="16.5703125" style="108" customWidth="1"/>
    <col min="2320" max="2320" width="13.28515625" style="108" customWidth="1"/>
    <col min="2321" max="2321" width="16.5703125" style="108" customWidth="1"/>
    <col min="2322" max="2322" width="13.7109375" style="108" customWidth="1"/>
    <col min="2323" max="2323" width="15.7109375" style="108" customWidth="1"/>
    <col min="2324" max="2324" width="12.5703125" style="108" customWidth="1"/>
    <col min="2325" max="2325" width="19.140625" style="108" customWidth="1"/>
    <col min="2326" max="2326" width="12.28515625" style="108" customWidth="1"/>
    <col min="2327" max="2327" width="17.140625" style="108" customWidth="1"/>
    <col min="2328" max="2328" width="12.5703125" style="108" customWidth="1"/>
    <col min="2329" max="2329" width="17.7109375" style="108" customWidth="1"/>
    <col min="2330" max="2330" width="12.140625" style="108" customWidth="1"/>
    <col min="2331" max="2331" width="30.5703125" style="108" customWidth="1"/>
    <col min="2332" max="2335" width="8.140625" style="108" customWidth="1"/>
    <col min="2336" max="2336" width="9.42578125" style="108" customWidth="1"/>
    <col min="2337" max="2337" width="8.140625" style="108" customWidth="1"/>
    <col min="2338" max="2342" width="7.85546875" style="108" customWidth="1"/>
    <col min="2343" max="2343" width="11.28515625" style="108" customWidth="1"/>
    <col min="2344" max="2344" width="2.28515625" style="108" customWidth="1"/>
    <col min="2345" max="2345" width="19.42578125" style="108"/>
    <col min="2346" max="2371" width="11.28515625" style="108" customWidth="1"/>
    <col min="2372" max="2383" width="8.85546875" style="108" customWidth="1"/>
    <col min="2384" max="2561" width="19.42578125" style="108"/>
    <col min="2562" max="2564" width="11" style="108" customWidth="1"/>
    <col min="2565" max="2565" width="16.140625" style="108" customWidth="1"/>
    <col min="2566" max="2566" width="12.42578125" style="108" customWidth="1"/>
    <col min="2567" max="2567" width="14.28515625" style="108" customWidth="1"/>
    <col min="2568" max="2568" width="12" style="108" customWidth="1"/>
    <col min="2569" max="2569" width="16.7109375" style="108" customWidth="1"/>
    <col min="2570" max="2570" width="12" style="108" customWidth="1"/>
    <col min="2571" max="2571" width="16.28515625" style="108" customWidth="1"/>
    <col min="2572" max="2572" width="12.28515625" style="108" customWidth="1"/>
    <col min="2573" max="2573" width="17.42578125" style="108" customWidth="1"/>
    <col min="2574" max="2574" width="12" style="108" customWidth="1"/>
    <col min="2575" max="2575" width="16.5703125" style="108" customWidth="1"/>
    <col min="2576" max="2576" width="13.28515625" style="108" customWidth="1"/>
    <col min="2577" max="2577" width="16.5703125" style="108" customWidth="1"/>
    <col min="2578" max="2578" width="13.7109375" style="108" customWidth="1"/>
    <col min="2579" max="2579" width="15.7109375" style="108" customWidth="1"/>
    <col min="2580" max="2580" width="12.5703125" style="108" customWidth="1"/>
    <col min="2581" max="2581" width="19.140625" style="108" customWidth="1"/>
    <col min="2582" max="2582" width="12.28515625" style="108" customWidth="1"/>
    <col min="2583" max="2583" width="17.140625" style="108" customWidth="1"/>
    <col min="2584" max="2584" width="12.5703125" style="108" customWidth="1"/>
    <col min="2585" max="2585" width="17.7109375" style="108" customWidth="1"/>
    <col min="2586" max="2586" width="12.140625" style="108" customWidth="1"/>
    <col min="2587" max="2587" width="30.5703125" style="108" customWidth="1"/>
    <col min="2588" max="2591" width="8.140625" style="108" customWidth="1"/>
    <col min="2592" max="2592" width="9.42578125" style="108" customWidth="1"/>
    <col min="2593" max="2593" width="8.140625" style="108" customWidth="1"/>
    <col min="2594" max="2598" width="7.85546875" style="108" customWidth="1"/>
    <col min="2599" max="2599" width="11.28515625" style="108" customWidth="1"/>
    <col min="2600" max="2600" width="2.28515625" style="108" customWidth="1"/>
    <col min="2601" max="2601" width="19.42578125" style="108"/>
    <col min="2602" max="2627" width="11.28515625" style="108" customWidth="1"/>
    <col min="2628" max="2639" width="8.85546875" style="108" customWidth="1"/>
    <col min="2640" max="2817" width="19.42578125" style="108"/>
    <col min="2818" max="2820" width="11" style="108" customWidth="1"/>
    <col min="2821" max="2821" width="16.140625" style="108" customWidth="1"/>
    <col min="2822" max="2822" width="12.42578125" style="108" customWidth="1"/>
    <col min="2823" max="2823" width="14.28515625" style="108" customWidth="1"/>
    <col min="2824" max="2824" width="12" style="108" customWidth="1"/>
    <col min="2825" max="2825" width="16.7109375" style="108" customWidth="1"/>
    <col min="2826" max="2826" width="12" style="108" customWidth="1"/>
    <col min="2827" max="2827" width="16.28515625" style="108" customWidth="1"/>
    <col min="2828" max="2828" width="12.28515625" style="108" customWidth="1"/>
    <col min="2829" max="2829" width="17.42578125" style="108" customWidth="1"/>
    <col min="2830" max="2830" width="12" style="108" customWidth="1"/>
    <col min="2831" max="2831" width="16.5703125" style="108" customWidth="1"/>
    <col min="2832" max="2832" width="13.28515625" style="108" customWidth="1"/>
    <col min="2833" max="2833" width="16.5703125" style="108" customWidth="1"/>
    <col min="2834" max="2834" width="13.7109375" style="108" customWidth="1"/>
    <col min="2835" max="2835" width="15.7109375" style="108" customWidth="1"/>
    <col min="2836" max="2836" width="12.5703125" style="108" customWidth="1"/>
    <col min="2837" max="2837" width="19.140625" style="108" customWidth="1"/>
    <col min="2838" max="2838" width="12.28515625" style="108" customWidth="1"/>
    <col min="2839" max="2839" width="17.140625" style="108" customWidth="1"/>
    <col min="2840" max="2840" width="12.5703125" style="108" customWidth="1"/>
    <col min="2841" max="2841" width="17.7109375" style="108" customWidth="1"/>
    <col min="2842" max="2842" width="12.140625" style="108" customWidth="1"/>
    <col min="2843" max="2843" width="30.5703125" style="108" customWidth="1"/>
    <col min="2844" max="2847" width="8.140625" style="108" customWidth="1"/>
    <col min="2848" max="2848" width="9.42578125" style="108" customWidth="1"/>
    <col min="2849" max="2849" width="8.140625" style="108" customWidth="1"/>
    <col min="2850" max="2854" width="7.85546875" style="108" customWidth="1"/>
    <col min="2855" max="2855" width="11.28515625" style="108" customWidth="1"/>
    <col min="2856" max="2856" width="2.28515625" style="108" customWidth="1"/>
    <col min="2857" max="2857" width="19.42578125" style="108"/>
    <col min="2858" max="2883" width="11.28515625" style="108" customWidth="1"/>
    <col min="2884" max="2895" width="8.85546875" style="108" customWidth="1"/>
    <col min="2896" max="3073" width="19.42578125" style="108"/>
    <col min="3074" max="3076" width="11" style="108" customWidth="1"/>
    <col min="3077" max="3077" width="16.140625" style="108" customWidth="1"/>
    <col min="3078" max="3078" width="12.42578125" style="108" customWidth="1"/>
    <col min="3079" max="3079" width="14.28515625" style="108" customWidth="1"/>
    <col min="3080" max="3080" width="12" style="108" customWidth="1"/>
    <col min="3081" max="3081" width="16.7109375" style="108" customWidth="1"/>
    <col min="3082" max="3082" width="12" style="108" customWidth="1"/>
    <col min="3083" max="3083" width="16.28515625" style="108" customWidth="1"/>
    <col min="3084" max="3084" width="12.28515625" style="108" customWidth="1"/>
    <col min="3085" max="3085" width="17.42578125" style="108" customWidth="1"/>
    <col min="3086" max="3086" width="12" style="108" customWidth="1"/>
    <col min="3087" max="3087" width="16.5703125" style="108" customWidth="1"/>
    <col min="3088" max="3088" width="13.28515625" style="108" customWidth="1"/>
    <col min="3089" max="3089" width="16.5703125" style="108" customWidth="1"/>
    <col min="3090" max="3090" width="13.7109375" style="108" customWidth="1"/>
    <col min="3091" max="3091" width="15.7109375" style="108" customWidth="1"/>
    <col min="3092" max="3092" width="12.5703125" style="108" customWidth="1"/>
    <col min="3093" max="3093" width="19.140625" style="108" customWidth="1"/>
    <col min="3094" max="3094" width="12.28515625" style="108" customWidth="1"/>
    <col min="3095" max="3095" width="17.140625" style="108" customWidth="1"/>
    <col min="3096" max="3096" width="12.5703125" style="108" customWidth="1"/>
    <col min="3097" max="3097" width="17.7109375" style="108" customWidth="1"/>
    <col min="3098" max="3098" width="12.140625" style="108" customWidth="1"/>
    <col min="3099" max="3099" width="30.5703125" style="108" customWidth="1"/>
    <col min="3100" max="3103" width="8.140625" style="108" customWidth="1"/>
    <col min="3104" max="3104" width="9.42578125" style="108" customWidth="1"/>
    <col min="3105" max="3105" width="8.140625" style="108" customWidth="1"/>
    <col min="3106" max="3110" width="7.85546875" style="108" customWidth="1"/>
    <col min="3111" max="3111" width="11.28515625" style="108" customWidth="1"/>
    <col min="3112" max="3112" width="2.28515625" style="108" customWidth="1"/>
    <col min="3113" max="3113" width="19.42578125" style="108"/>
    <col min="3114" max="3139" width="11.28515625" style="108" customWidth="1"/>
    <col min="3140" max="3151" width="8.85546875" style="108" customWidth="1"/>
    <col min="3152" max="3329" width="19.42578125" style="108"/>
    <col min="3330" max="3332" width="11" style="108" customWidth="1"/>
    <col min="3333" max="3333" width="16.140625" style="108" customWidth="1"/>
    <col min="3334" max="3334" width="12.42578125" style="108" customWidth="1"/>
    <col min="3335" max="3335" width="14.28515625" style="108" customWidth="1"/>
    <col min="3336" max="3336" width="12" style="108" customWidth="1"/>
    <col min="3337" max="3337" width="16.7109375" style="108" customWidth="1"/>
    <col min="3338" max="3338" width="12" style="108" customWidth="1"/>
    <col min="3339" max="3339" width="16.28515625" style="108" customWidth="1"/>
    <col min="3340" max="3340" width="12.28515625" style="108" customWidth="1"/>
    <col min="3341" max="3341" width="17.42578125" style="108" customWidth="1"/>
    <col min="3342" max="3342" width="12" style="108" customWidth="1"/>
    <col min="3343" max="3343" width="16.5703125" style="108" customWidth="1"/>
    <col min="3344" max="3344" width="13.28515625" style="108" customWidth="1"/>
    <col min="3345" max="3345" width="16.5703125" style="108" customWidth="1"/>
    <col min="3346" max="3346" width="13.7109375" style="108" customWidth="1"/>
    <col min="3347" max="3347" width="15.7109375" style="108" customWidth="1"/>
    <col min="3348" max="3348" width="12.5703125" style="108" customWidth="1"/>
    <col min="3349" max="3349" width="19.140625" style="108" customWidth="1"/>
    <col min="3350" max="3350" width="12.28515625" style="108" customWidth="1"/>
    <col min="3351" max="3351" width="17.140625" style="108" customWidth="1"/>
    <col min="3352" max="3352" width="12.5703125" style="108" customWidth="1"/>
    <col min="3353" max="3353" width="17.7109375" style="108" customWidth="1"/>
    <col min="3354" max="3354" width="12.140625" style="108" customWidth="1"/>
    <col min="3355" max="3355" width="30.5703125" style="108" customWidth="1"/>
    <col min="3356" max="3359" width="8.140625" style="108" customWidth="1"/>
    <col min="3360" max="3360" width="9.42578125" style="108" customWidth="1"/>
    <col min="3361" max="3361" width="8.140625" style="108" customWidth="1"/>
    <col min="3362" max="3366" width="7.85546875" style="108" customWidth="1"/>
    <col min="3367" max="3367" width="11.28515625" style="108" customWidth="1"/>
    <col min="3368" max="3368" width="2.28515625" style="108" customWidth="1"/>
    <col min="3369" max="3369" width="19.42578125" style="108"/>
    <col min="3370" max="3395" width="11.28515625" style="108" customWidth="1"/>
    <col min="3396" max="3407" width="8.85546875" style="108" customWidth="1"/>
    <col min="3408" max="3585" width="19.42578125" style="108"/>
    <col min="3586" max="3588" width="11" style="108" customWidth="1"/>
    <col min="3589" max="3589" width="16.140625" style="108" customWidth="1"/>
    <col min="3590" max="3590" width="12.42578125" style="108" customWidth="1"/>
    <col min="3591" max="3591" width="14.28515625" style="108" customWidth="1"/>
    <col min="3592" max="3592" width="12" style="108" customWidth="1"/>
    <col min="3593" max="3593" width="16.7109375" style="108" customWidth="1"/>
    <col min="3594" max="3594" width="12" style="108" customWidth="1"/>
    <col min="3595" max="3595" width="16.28515625" style="108" customWidth="1"/>
    <col min="3596" max="3596" width="12.28515625" style="108" customWidth="1"/>
    <col min="3597" max="3597" width="17.42578125" style="108" customWidth="1"/>
    <col min="3598" max="3598" width="12" style="108" customWidth="1"/>
    <col min="3599" max="3599" width="16.5703125" style="108" customWidth="1"/>
    <col min="3600" max="3600" width="13.28515625" style="108" customWidth="1"/>
    <col min="3601" max="3601" width="16.5703125" style="108" customWidth="1"/>
    <col min="3602" max="3602" width="13.7109375" style="108" customWidth="1"/>
    <col min="3603" max="3603" width="15.7109375" style="108" customWidth="1"/>
    <col min="3604" max="3604" width="12.5703125" style="108" customWidth="1"/>
    <col min="3605" max="3605" width="19.140625" style="108" customWidth="1"/>
    <col min="3606" max="3606" width="12.28515625" style="108" customWidth="1"/>
    <col min="3607" max="3607" width="17.140625" style="108" customWidth="1"/>
    <col min="3608" max="3608" width="12.5703125" style="108" customWidth="1"/>
    <col min="3609" max="3609" width="17.7109375" style="108" customWidth="1"/>
    <col min="3610" max="3610" width="12.140625" style="108" customWidth="1"/>
    <col min="3611" max="3611" width="30.5703125" style="108" customWidth="1"/>
    <col min="3612" max="3615" width="8.140625" style="108" customWidth="1"/>
    <col min="3616" max="3616" width="9.42578125" style="108" customWidth="1"/>
    <col min="3617" max="3617" width="8.140625" style="108" customWidth="1"/>
    <col min="3618" max="3622" width="7.85546875" style="108" customWidth="1"/>
    <col min="3623" max="3623" width="11.28515625" style="108" customWidth="1"/>
    <col min="3624" max="3624" width="2.28515625" style="108" customWidth="1"/>
    <col min="3625" max="3625" width="19.42578125" style="108"/>
    <col min="3626" max="3651" width="11.28515625" style="108" customWidth="1"/>
    <col min="3652" max="3663" width="8.85546875" style="108" customWidth="1"/>
    <col min="3664" max="3841" width="19.42578125" style="108"/>
    <col min="3842" max="3844" width="11" style="108" customWidth="1"/>
    <col min="3845" max="3845" width="16.140625" style="108" customWidth="1"/>
    <col min="3846" max="3846" width="12.42578125" style="108" customWidth="1"/>
    <col min="3847" max="3847" width="14.28515625" style="108" customWidth="1"/>
    <col min="3848" max="3848" width="12" style="108" customWidth="1"/>
    <col min="3849" max="3849" width="16.7109375" style="108" customWidth="1"/>
    <col min="3850" max="3850" width="12" style="108" customWidth="1"/>
    <col min="3851" max="3851" width="16.28515625" style="108" customWidth="1"/>
    <col min="3852" max="3852" width="12.28515625" style="108" customWidth="1"/>
    <col min="3853" max="3853" width="17.42578125" style="108" customWidth="1"/>
    <col min="3854" max="3854" width="12" style="108" customWidth="1"/>
    <col min="3855" max="3855" width="16.5703125" style="108" customWidth="1"/>
    <col min="3856" max="3856" width="13.28515625" style="108" customWidth="1"/>
    <col min="3857" max="3857" width="16.5703125" style="108" customWidth="1"/>
    <col min="3858" max="3858" width="13.7109375" style="108" customWidth="1"/>
    <col min="3859" max="3859" width="15.7109375" style="108" customWidth="1"/>
    <col min="3860" max="3860" width="12.5703125" style="108" customWidth="1"/>
    <col min="3861" max="3861" width="19.140625" style="108" customWidth="1"/>
    <col min="3862" max="3862" width="12.28515625" style="108" customWidth="1"/>
    <col min="3863" max="3863" width="17.140625" style="108" customWidth="1"/>
    <col min="3864" max="3864" width="12.5703125" style="108" customWidth="1"/>
    <col min="3865" max="3865" width="17.7109375" style="108" customWidth="1"/>
    <col min="3866" max="3866" width="12.140625" style="108" customWidth="1"/>
    <col min="3867" max="3867" width="30.5703125" style="108" customWidth="1"/>
    <col min="3868" max="3871" width="8.140625" style="108" customWidth="1"/>
    <col min="3872" max="3872" width="9.42578125" style="108" customWidth="1"/>
    <col min="3873" max="3873" width="8.140625" style="108" customWidth="1"/>
    <col min="3874" max="3878" width="7.85546875" style="108" customWidth="1"/>
    <col min="3879" max="3879" width="11.28515625" style="108" customWidth="1"/>
    <col min="3880" max="3880" width="2.28515625" style="108" customWidth="1"/>
    <col min="3881" max="3881" width="19.42578125" style="108"/>
    <col min="3882" max="3907" width="11.28515625" style="108" customWidth="1"/>
    <col min="3908" max="3919" width="8.85546875" style="108" customWidth="1"/>
    <col min="3920" max="4097" width="19.42578125" style="108"/>
    <col min="4098" max="4100" width="11" style="108" customWidth="1"/>
    <col min="4101" max="4101" width="16.140625" style="108" customWidth="1"/>
    <col min="4102" max="4102" width="12.42578125" style="108" customWidth="1"/>
    <col min="4103" max="4103" width="14.28515625" style="108" customWidth="1"/>
    <col min="4104" max="4104" width="12" style="108" customWidth="1"/>
    <col min="4105" max="4105" width="16.7109375" style="108" customWidth="1"/>
    <col min="4106" max="4106" width="12" style="108" customWidth="1"/>
    <col min="4107" max="4107" width="16.28515625" style="108" customWidth="1"/>
    <col min="4108" max="4108" width="12.28515625" style="108" customWidth="1"/>
    <col min="4109" max="4109" width="17.42578125" style="108" customWidth="1"/>
    <col min="4110" max="4110" width="12" style="108" customWidth="1"/>
    <col min="4111" max="4111" width="16.5703125" style="108" customWidth="1"/>
    <col min="4112" max="4112" width="13.28515625" style="108" customWidth="1"/>
    <col min="4113" max="4113" width="16.5703125" style="108" customWidth="1"/>
    <col min="4114" max="4114" width="13.7109375" style="108" customWidth="1"/>
    <col min="4115" max="4115" width="15.7109375" style="108" customWidth="1"/>
    <col min="4116" max="4116" width="12.5703125" style="108" customWidth="1"/>
    <col min="4117" max="4117" width="19.140625" style="108" customWidth="1"/>
    <col min="4118" max="4118" width="12.28515625" style="108" customWidth="1"/>
    <col min="4119" max="4119" width="17.140625" style="108" customWidth="1"/>
    <col min="4120" max="4120" width="12.5703125" style="108" customWidth="1"/>
    <col min="4121" max="4121" width="17.7109375" style="108" customWidth="1"/>
    <col min="4122" max="4122" width="12.140625" style="108" customWidth="1"/>
    <col min="4123" max="4123" width="30.5703125" style="108" customWidth="1"/>
    <col min="4124" max="4127" width="8.140625" style="108" customWidth="1"/>
    <col min="4128" max="4128" width="9.42578125" style="108" customWidth="1"/>
    <col min="4129" max="4129" width="8.140625" style="108" customWidth="1"/>
    <col min="4130" max="4134" width="7.85546875" style="108" customWidth="1"/>
    <col min="4135" max="4135" width="11.28515625" style="108" customWidth="1"/>
    <col min="4136" max="4136" width="2.28515625" style="108" customWidth="1"/>
    <col min="4137" max="4137" width="19.42578125" style="108"/>
    <col min="4138" max="4163" width="11.28515625" style="108" customWidth="1"/>
    <col min="4164" max="4175" width="8.85546875" style="108" customWidth="1"/>
    <col min="4176" max="4353" width="19.42578125" style="108"/>
    <col min="4354" max="4356" width="11" style="108" customWidth="1"/>
    <col min="4357" max="4357" width="16.140625" style="108" customWidth="1"/>
    <col min="4358" max="4358" width="12.42578125" style="108" customWidth="1"/>
    <col min="4359" max="4359" width="14.28515625" style="108" customWidth="1"/>
    <col min="4360" max="4360" width="12" style="108" customWidth="1"/>
    <col min="4361" max="4361" width="16.7109375" style="108" customWidth="1"/>
    <col min="4362" max="4362" width="12" style="108" customWidth="1"/>
    <col min="4363" max="4363" width="16.28515625" style="108" customWidth="1"/>
    <col min="4364" max="4364" width="12.28515625" style="108" customWidth="1"/>
    <col min="4365" max="4365" width="17.42578125" style="108" customWidth="1"/>
    <col min="4366" max="4366" width="12" style="108" customWidth="1"/>
    <col min="4367" max="4367" width="16.5703125" style="108" customWidth="1"/>
    <col min="4368" max="4368" width="13.28515625" style="108" customWidth="1"/>
    <col min="4369" max="4369" width="16.5703125" style="108" customWidth="1"/>
    <col min="4370" max="4370" width="13.7109375" style="108" customWidth="1"/>
    <col min="4371" max="4371" width="15.7109375" style="108" customWidth="1"/>
    <col min="4372" max="4372" width="12.5703125" style="108" customWidth="1"/>
    <col min="4373" max="4373" width="19.140625" style="108" customWidth="1"/>
    <col min="4374" max="4374" width="12.28515625" style="108" customWidth="1"/>
    <col min="4375" max="4375" width="17.140625" style="108" customWidth="1"/>
    <col min="4376" max="4376" width="12.5703125" style="108" customWidth="1"/>
    <col min="4377" max="4377" width="17.7109375" style="108" customWidth="1"/>
    <col min="4378" max="4378" width="12.140625" style="108" customWidth="1"/>
    <col min="4379" max="4379" width="30.5703125" style="108" customWidth="1"/>
    <col min="4380" max="4383" width="8.140625" style="108" customWidth="1"/>
    <col min="4384" max="4384" width="9.42578125" style="108" customWidth="1"/>
    <col min="4385" max="4385" width="8.140625" style="108" customWidth="1"/>
    <col min="4386" max="4390" width="7.85546875" style="108" customWidth="1"/>
    <col min="4391" max="4391" width="11.28515625" style="108" customWidth="1"/>
    <col min="4392" max="4392" width="2.28515625" style="108" customWidth="1"/>
    <col min="4393" max="4393" width="19.42578125" style="108"/>
    <col min="4394" max="4419" width="11.28515625" style="108" customWidth="1"/>
    <col min="4420" max="4431" width="8.85546875" style="108" customWidth="1"/>
    <col min="4432" max="4609" width="19.42578125" style="108"/>
    <col min="4610" max="4612" width="11" style="108" customWidth="1"/>
    <col min="4613" max="4613" width="16.140625" style="108" customWidth="1"/>
    <col min="4614" max="4614" width="12.42578125" style="108" customWidth="1"/>
    <col min="4615" max="4615" width="14.28515625" style="108" customWidth="1"/>
    <col min="4616" max="4616" width="12" style="108" customWidth="1"/>
    <col min="4617" max="4617" width="16.7109375" style="108" customWidth="1"/>
    <col min="4618" max="4618" width="12" style="108" customWidth="1"/>
    <col min="4619" max="4619" width="16.28515625" style="108" customWidth="1"/>
    <col min="4620" max="4620" width="12.28515625" style="108" customWidth="1"/>
    <col min="4621" max="4621" width="17.42578125" style="108" customWidth="1"/>
    <col min="4622" max="4622" width="12" style="108" customWidth="1"/>
    <col min="4623" max="4623" width="16.5703125" style="108" customWidth="1"/>
    <col min="4624" max="4624" width="13.28515625" style="108" customWidth="1"/>
    <col min="4625" max="4625" width="16.5703125" style="108" customWidth="1"/>
    <col min="4626" max="4626" width="13.7109375" style="108" customWidth="1"/>
    <col min="4627" max="4627" width="15.7109375" style="108" customWidth="1"/>
    <col min="4628" max="4628" width="12.5703125" style="108" customWidth="1"/>
    <col min="4629" max="4629" width="19.140625" style="108" customWidth="1"/>
    <col min="4630" max="4630" width="12.28515625" style="108" customWidth="1"/>
    <col min="4631" max="4631" width="17.140625" style="108" customWidth="1"/>
    <col min="4632" max="4632" width="12.5703125" style="108" customWidth="1"/>
    <col min="4633" max="4633" width="17.7109375" style="108" customWidth="1"/>
    <col min="4634" max="4634" width="12.140625" style="108" customWidth="1"/>
    <col min="4635" max="4635" width="30.5703125" style="108" customWidth="1"/>
    <col min="4636" max="4639" width="8.140625" style="108" customWidth="1"/>
    <col min="4640" max="4640" width="9.42578125" style="108" customWidth="1"/>
    <col min="4641" max="4641" width="8.140625" style="108" customWidth="1"/>
    <col min="4642" max="4646" width="7.85546875" style="108" customWidth="1"/>
    <col min="4647" max="4647" width="11.28515625" style="108" customWidth="1"/>
    <col min="4648" max="4648" width="2.28515625" style="108" customWidth="1"/>
    <col min="4649" max="4649" width="19.42578125" style="108"/>
    <col min="4650" max="4675" width="11.28515625" style="108" customWidth="1"/>
    <col min="4676" max="4687" width="8.85546875" style="108" customWidth="1"/>
    <col min="4688" max="4865" width="19.42578125" style="108"/>
    <col min="4866" max="4868" width="11" style="108" customWidth="1"/>
    <col min="4869" max="4869" width="16.140625" style="108" customWidth="1"/>
    <col min="4870" max="4870" width="12.42578125" style="108" customWidth="1"/>
    <col min="4871" max="4871" width="14.28515625" style="108" customWidth="1"/>
    <col min="4872" max="4872" width="12" style="108" customWidth="1"/>
    <col min="4873" max="4873" width="16.7109375" style="108" customWidth="1"/>
    <col min="4874" max="4874" width="12" style="108" customWidth="1"/>
    <col min="4875" max="4875" width="16.28515625" style="108" customWidth="1"/>
    <col min="4876" max="4876" width="12.28515625" style="108" customWidth="1"/>
    <col min="4877" max="4877" width="17.42578125" style="108" customWidth="1"/>
    <col min="4878" max="4878" width="12" style="108" customWidth="1"/>
    <col min="4879" max="4879" width="16.5703125" style="108" customWidth="1"/>
    <col min="4880" max="4880" width="13.28515625" style="108" customWidth="1"/>
    <col min="4881" max="4881" width="16.5703125" style="108" customWidth="1"/>
    <col min="4882" max="4882" width="13.7109375" style="108" customWidth="1"/>
    <col min="4883" max="4883" width="15.7109375" style="108" customWidth="1"/>
    <col min="4884" max="4884" width="12.5703125" style="108" customWidth="1"/>
    <col min="4885" max="4885" width="19.140625" style="108" customWidth="1"/>
    <col min="4886" max="4886" width="12.28515625" style="108" customWidth="1"/>
    <col min="4887" max="4887" width="17.140625" style="108" customWidth="1"/>
    <col min="4888" max="4888" width="12.5703125" style="108" customWidth="1"/>
    <col min="4889" max="4889" width="17.7109375" style="108" customWidth="1"/>
    <col min="4890" max="4890" width="12.140625" style="108" customWidth="1"/>
    <col min="4891" max="4891" width="30.5703125" style="108" customWidth="1"/>
    <col min="4892" max="4895" width="8.140625" style="108" customWidth="1"/>
    <col min="4896" max="4896" width="9.42578125" style="108" customWidth="1"/>
    <col min="4897" max="4897" width="8.140625" style="108" customWidth="1"/>
    <col min="4898" max="4902" width="7.85546875" style="108" customWidth="1"/>
    <col min="4903" max="4903" width="11.28515625" style="108" customWidth="1"/>
    <col min="4904" max="4904" width="2.28515625" style="108" customWidth="1"/>
    <col min="4905" max="4905" width="19.42578125" style="108"/>
    <col min="4906" max="4931" width="11.28515625" style="108" customWidth="1"/>
    <col min="4932" max="4943" width="8.85546875" style="108" customWidth="1"/>
    <col min="4944" max="5121" width="19.42578125" style="108"/>
    <col min="5122" max="5124" width="11" style="108" customWidth="1"/>
    <col min="5125" max="5125" width="16.140625" style="108" customWidth="1"/>
    <col min="5126" max="5126" width="12.42578125" style="108" customWidth="1"/>
    <col min="5127" max="5127" width="14.28515625" style="108" customWidth="1"/>
    <col min="5128" max="5128" width="12" style="108" customWidth="1"/>
    <col min="5129" max="5129" width="16.7109375" style="108" customWidth="1"/>
    <col min="5130" max="5130" width="12" style="108" customWidth="1"/>
    <col min="5131" max="5131" width="16.28515625" style="108" customWidth="1"/>
    <col min="5132" max="5132" width="12.28515625" style="108" customWidth="1"/>
    <col min="5133" max="5133" width="17.42578125" style="108" customWidth="1"/>
    <col min="5134" max="5134" width="12" style="108" customWidth="1"/>
    <col min="5135" max="5135" width="16.5703125" style="108" customWidth="1"/>
    <col min="5136" max="5136" width="13.28515625" style="108" customWidth="1"/>
    <col min="5137" max="5137" width="16.5703125" style="108" customWidth="1"/>
    <col min="5138" max="5138" width="13.7109375" style="108" customWidth="1"/>
    <col min="5139" max="5139" width="15.7109375" style="108" customWidth="1"/>
    <col min="5140" max="5140" width="12.5703125" style="108" customWidth="1"/>
    <col min="5141" max="5141" width="19.140625" style="108" customWidth="1"/>
    <col min="5142" max="5142" width="12.28515625" style="108" customWidth="1"/>
    <col min="5143" max="5143" width="17.140625" style="108" customWidth="1"/>
    <col min="5144" max="5144" width="12.5703125" style="108" customWidth="1"/>
    <col min="5145" max="5145" width="17.7109375" style="108" customWidth="1"/>
    <col min="5146" max="5146" width="12.140625" style="108" customWidth="1"/>
    <col min="5147" max="5147" width="30.5703125" style="108" customWidth="1"/>
    <col min="5148" max="5151" width="8.140625" style="108" customWidth="1"/>
    <col min="5152" max="5152" width="9.42578125" style="108" customWidth="1"/>
    <col min="5153" max="5153" width="8.140625" style="108" customWidth="1"/>
    <col min="5154" max="5158" width="7.85546875" style="108" customWidth="1"/>
    <col min="5159" max="5159" width="11.28515625" style="108" customWidth="1"/>
    <col min="5160" max="5160" width="2.28515625" style="108" customWidth="1"/>
    <col min="5161" max="5161" width="19.42578125" style="108"/>
    <col min="5162" max="5187" width="11.28515625" style="108" customWidth="1"/>
    <col min="5188" max="5199" width="8.85546875" style="108" customWidth="1"/>
    <col min="5200" max="5377" width="19.42578125" style="108"/>
    <col min="5378" max="5380" width="11" style="108" customWidth="1"/>
    <col min="5381" max="5381" width="16.140625" style="108" customWidth="1"/>
    <col min="5382" max="5382" width="12.42578125" style="108" customWidth="1"/>
    <col min="5383" max="5383" width="14.28515625" style="108" customWidth="1"/>
    <col min="5384" max="5384" width="12" style="108" customWidth="1"/>
    <col min="5385" max="5385" width="16.7109375" style="108" customWidth="1"/>
    <col min="5386" max="5386" width="12" style="108" customWidth="1"/>
    <col min="5387" max="5387" width="16.28515625" style="108" customWidth="1"/>
    <col min="5388" max="5388" width="12.28515625" style="108" customWidth="1"/>
    <col min="5389" max="5389" width="17.42578125" style="108" customWidth="1"/>
    <col min="5390" max="5390" width="12" style="108" customWidth="1"/>
    <col min="5391" max="5391" width="16.5703125" style="108" customWidth="1"/>
    <col min="5392" max="5392" width="13.28515625" style="108" customWidth="1"/>
    <col min="5393" max="5393" width="16.5703125" style="108" customWidth="1"/>
    <col min="5394" max="5394" width="13.7109375" style="108" customWidth="1"/>
    <col min="5395" max="5395" width="15.7109375" style="108" customWidth="1"/>
    <col min="5396" max="5396" width="12.5703125" style="108" customWidth="1"/>
    <col min="5397" max="5397" width="19.140625" style="108" customWidth="1"/>
    <col min="5398" max="5398" width="12.28515625" style="108" customWidth="1"/>
    <col min="5399" max="5399" width="17.140625" style="108" customWidth="1"/>
    <col min="5400" max="5400" width="12.5703125" style="108" customWidth="1"/>
    <col min="5401" max="5401" width="17.7109375" style="108" customWidth="1"/>
    <col min="5402" max="5402" width="12.140625" style="108" customWidth="1"/>
    <col min="5403" max="5403" width="30.5703125" style="108" customWidth="1"/>
    <col min="5404" max="5407" width="8.140625" style="108" customWidth="1"/>
    <col min="5408" max="5408" width="9.42578125" style="108" customWidth="1"/>
    <col min="5409" max="5409" width="8.140625" style="108" customWidth="1"/>
    <col min="5410" max="5414" width="7.85546875" style="108" customWidth="1"/>
    <col min="5415" max="5415" width="11.28515625" style="108" customWidth="1"/>
    <col min="5416" max="5416" width="2.28515625" style="108" customWidth="1"/>
    <col min="5417" max="5417" width="19.42578125" style="108"/>
    <col min="5418" max="5443" width="11.28515625" style="108" customWidth="1"/>
    <col min="5444" max="5455" width="8.85546875" style="108" customWidth="1"/>
    <col min="5456" max="5633" width="19.42578125" style="108"/>
    <col min="5634" max="5636" width="11" style="108" customWidth="1"/>
    <col min="5637" max="5637" width="16.140625" style="108" customWidth="1"/>
    <col min="5638" max="5638" width="12.42578125" style="108" customWidth="1"/>
    <col min="5639" max="5639" width="14.28515625" style="108" customWidth="1"/>
    <col min="5640" max="5640" width="12" style="108" customWidth="1"/>
    <col min="5641" max="5641" width="16.7109375" style="108" customWidth="1"/>
    <col min="5642" max="5642" width="12" style="108" customWidth="1"/>
    <col min="5643" max="5643" width="16.28515625" style="108" customWidth="1"/>
    <col min="5644" max="5644" width="12.28515625" style="108" customWidth="1"/>
    <col min="5645" max="5645" width="17.42578125" style="108" customWidth="1"/>
    <col min="5646" max="5646" width="12" style="108" customWidth="1"/>
    <col min="5647" max="5647" width="16.5703125" style="108" customWidth="1"/>
    <col min="5648" max="5648" width="13.28515625" style="108" customWidth="1"/>
    <col min="5649" max="5649" width="16.5703125" style="108" customWidth="1"/>
    <col min="5650" max="5650" width="13.7109375" style="108" customWidth="1"/>
    <col min="5651" max="5651" width="15.7109375" style="108" customWidth="1"/>
    <col min="5652" max="5652" width="12.5703125" style="108" customWidth="1"/>
    <col min="5653" max="5653" width="19.140625" style="108" customWidth="1"/>
    <col min="5654" max="5654" width="12.28515625" style="108" customWidth="1"/>
    <col min="5655" max="5655" width="17.140625" style="108" customWidth="1"/>
    <col min="5656" max="5656" width="12.5703125" style="108" customWidth="1"/>
    <col min="5657" max="5657" width="17.7109375" style="108" customWidth="1"/>
    <col min="5658" max="5658" width="12.140625" style="108" customWidth="1"/>
    <col min="5659" max="5659" width="30.5703125" style="108" customWidth="1"/>
    <col min="5660" max="5663" width="8.140625" style="108" customWidth="1"/>
    <col min="5664" max="5664" width="9.42578125" style="108" customWidth="1"/>
    <col min="5665" max="5665" width="8.140625" style="108" customWidth="1"/>
    <col min="5666" max="5670" width="7.85546875" style="108" customWidth="1"/>
    <col min="5671" max="5671" width="11.28515625" style="108" customWidth="1"/>
    <col min="5672" max="5672" width="2.28515625" style="108" customWidth="1"/>
    <col min="5673" max="5673" width="19.42578125" style="108"/>
    <col min="5674" max="5699" width="11.28515625" style="108" customWidth="1"/>
    <col min="5700" max="5711" width="8.85546875" style="108" customWidth="1"/>
    <col min="5712" max="5889" width="19.42578125" style="108"/>
    <col min="5890" max="5892" width="11" style="108" customWidth="1"/>
    <col min="5893" max="5893" width="16.140625" style="108" customWidth="1"/>
    <col min="5894" max="5894" width="12.42578125" style="108" customWidth="1"/>
    <col min="5895" max="5895" width="14.28515625" style="108" customWidth="1"/>
    <col min="5896" max="5896" width="12" style="108" customWidth="1"/>
    <col min="5897" max="5897" width="16.7109375" style="108" customWidth="1"/>
    <col min="5898" max="5898" width="12" style="108" customWidth="1"/>
    <col min="5899" max="5899" width="16.28515625" style="108" customWidth="1"/>
    <col min="5900" max="5900" width="12.28515625" style="108" customWidth="1"/>
    <col min="5901" max="5901" width="17.42578125" style="108" customWidth="1"/>
    <col min="5902" max="5902" width="12" style="108" customWidth="1"/>
    <col min="5903" max="5903" width="16.5703125" style="108" customWidth="1"/>
    <col min="5904" max="5904" width="13.28515625" style="108" customWidth="1"/>
    <col min="5905" max="5905" width="16.5703125" style="108" customWidth="1"/>
    <col min="5906" max="5906" width="13.7109375" style="108" customWidth="1"/>
    <col min="5907" max="5907" width="15.7109375" style="108" customWidth="1"/>
    <col min="5908" max="5908" width="12.5703125" style="108" customWidth="1"/>
    <col min="5909" max="5909" width="19.140625" style="108" customWidth="1"/>
    <col min="5910" max="5910" width="12.28515625" style="108" customWidth="1"/>
    <col min="5911" max="5911" width="17.140625" style="108" customWidth="1"/>
    <col min="5912" max="5912" width="12.5703125" style="108" customWidth="1"/>
    <col min="5913" max="5913" width="17.7109375" style="108" customWidth="1"/>
    <col min="5914" max="5914" width="12.140625" style="108" customWidth="1"/>
    <col min="5915" max="5915" width="30.5703125" style="108" customWidth="1"/>
    <col min="5916" max="5919" width="8.140625" style="108" customWidth="1"/>
    <col min="5920" max="5920" width="9.42578125" style="108" customWidth="1"/>
    <col min="5921" max="5921" width="8.140625" style="108" customWidth="1"/>
    <col min="5922" max="5926" width="7.85546875" style="108" customWidth="1"/>
    <col min="5927" max="5927" width="11.28515625" style="108" customWidth="1"/>
    <col min="5928" max="5928" width="2.28515625" style="108" customWidth="1"/>
    <col min="5929" max="5929" width="19.42578125" style="108"/>
    <col min="5930" max="5955" width="11.28515625" style="108" customWidth="1"/>
    <col min="5956" max="5967" width="8.85546875" style="108" customWidth="1"/>
    <col min="5968" max="6145" width="19.42578125" style="108"/>
    <col min="6146" max="6148" width="11" style="108" customWidth="1"/>
    <col min="6149" max="6149" width="16.140625" style="108" customWidth="1"/>
    <col min="6150" max="6150" width="12.42578125" style="108" customWidth="1"/>
    <col min="6151" max="6151" width="14.28515625" style="108" customWidth="1"/>
    <col min="6152" max="6152" width="12" style="108" customWidth="1"/>
    <col min="6153" max="6153" width="16.7109375" style="108" customWidth="1"/>
    <col min="6154" max="6154" width="12" style="108" customWidth="1"/>
    <col min="6155" max="6155" width="16.28515625" style="108" customWidth="1"/>
    <col min="6156" max="6156" width="12.28515625" style="108" customWidth="1"/>
    <col min="6157" max="6157" width="17.42578125" style="108" customWidth="1"/>
    <col min="6158" max="6158" width="12" style="108" customWidth="1"/>
    <col min="6159" max="6159" width="16.5703125" style="108" customWidth="1"/>
    <col min="6160" max="6160" width="13.28515625" style="108" customWidth="1"/>
    <col min="6161" max="6161" width="16.5703125" style="108" customWidth="1"/>
    <col min="6162" max="6162" width="13.7109375" style="108" customWidth="1"/>
    <col min="6163" max="6163" width="15.7109375" style="108" customWidth="1"/>
    <col min="6164" max="6164" width="12.5703125" style="108" customWidth="1"/>
    <col min="6165" max="6165" width="19.140625" style="108" customWidth="1"/>
    <col min="6166" max="6166" width="12.28515625" style="108" customWidth="1"/>
    <col min="6167" max="6167" width="17.140625" style="108" customWidth="1"/>
    <col min="6168" max="6168" width="12.5703125" style="108" customWidth="1"/>
    <col min="6169" max="6169" width="17.7109375" style="108" customWidth="1"/>
    <col min="6170" max="6170" width="12.140625" style="108" customWidth="1"/>
    <col min="6171" max="6171" width="30.5703125" style="108" customWidth="1"/>
    <col min="6172" max="6175" width="8.140625" style="108" customWidth="1"/>
    <col min="6176" max="6176" width="9.42578125" style="108" customWidth="1"/>
    <col min="6177" max="6177" width="8.140625" style="108" customWidth="1"/>
    <col min="6178" max="6182" width="7.85546875" style="108" customWidth="1"/>
    <col min="6183" max="6183" width="11.28515625" style="108" customWidth="1"/>
    <col min="6184" max="6184" width="2.28515625" style="108" customWidth="1"/>
    <col min="6185" max="6185" width="19.42578125" style="108"/>
    <col min="6186" max="6211" width="11.28515625" style="108" customWidth="1"/>
    <col min="6212" max="6223" width="8.85546875" style="108" customWidth="1"/>
    <col min="6224" max="6401" width="19.42578125" style="108"/>
    <col min="6402" max="6404" width="11" style="108" customWidth="1"/>
    <col min="6405" max="6405" width="16.140625" style="108" customWidth="1"/>
    <col min="6406" max="6406" width="12.42578125" style="108" customWidth="1"/>
    <col min="6407" max="6407" width="14.28515625" style="108" customWidth="1"/>
    <col min="6408" max="6408" width="12" style="108" customWidth="1"/>
    <col min="6409" max="6409" width="16.7109375" style="108" customWidth="1"/>
    <col min="6410" max="6410" width="12" style="108" customWidth="1"/>
    <col min="6411" max="6411" width="16.28515625" style="108" customWidth="1"/>
    <col min="6412" max="6412" width="12.28515625" style="108" customWidth="1"/>
    <col min="6413" max="6413" width="17.42578125" style="108" customWidth="1"/>
    <col min="6414" max="6414" width="12" style="108" customWidth="1"/>
    <col min="6415" max="6415" width="16.5703125" style="108" customWidth="1"/>
    <col min="6416" max="6416" width="13.28515625" style="108" customWidth="1"/>
    <col min="6417" max="6417" width="16.5703125" style="108" customWidth="1"/>
    <col min="6418" max="6418" width="13.7109375" style="108" customWidth="1"/>
    <col min="6419" max="6419" width="15.7109375" style="108" customWidth="1"/>
    <col min="6420" max="6420" width="12.5703125" style="108" customWidth="1"/>
    <col min="6421" max="6421" width="19.140625" style="108" customWidth="1"/>
    <col min="6422" max="6422" width="12.28515625" style="108" customWidth="1"/>
    <col min="6423" max="6423" width="17.140625" style="108" customWidth="1"/>
    <col min="6424" max="6424" width="12.5703125" style="108" customWidth="1"/>
    <col min="6425" max="6425" width="17.7109375" style="108" customWidth="1"/>
    <col min="6426" max="6426" width="12.140625" style="108" customWidth="1"/>
    <col min="6427" max="6427" width="30.5703125" style="108" customWidth="1"/>
    <col min="6428" max="6431" width="8.140625" style="108" customWidth="1"/>
    <col min="6432" max="6432" width="9.42578125" style="108" customWidth="1"/>
    <col min="6433" max="6433" width="8.140625" style="108" customWidth="1"/>
    <col min="6434" max="6438" width="7.85546875" style="108" customWidth="1"/>
    <col min="6439" max="6439" width="11.28515625" style="108" customWidth="1"/>
    <col min="6440" max="6440" width="2.28515625" style="108" customWidth="1"/>
    <col min="6441" max="6441" width="19.42578125" style="108"/>
    <col min="6442" max="6467" width="11.28515625" style="108" customWidth="1"/>
    <col min="6468" max="6479" width="8.85546875" style="108" customWidth="1"/>
    <col min="6480" max="6657" width="19.42578125" style="108"/>
    <col min="6658" max="6660" width="11" style="108" customWidth="1"/>
    <col min="6661" max="6661" width="16.140625" style="108" customWidth="1"/>
    <col min="6662" max="6662" width="12.42578125" style="108" customWidth="1"/>
    <col min="6663" max="6663" width="14.28515625" style="108" customWidth="1"/>
    <col min="6664" max="6664" width="12" style="108" customWidth="1"/>
    <col min="6665" max="6665" width="16.7109375" style="108" customWidth="1"/>
    <col min="6666" max="6666" width="12" style="108" customWidth="1"/>
    <col min="6667" max="6667" width="16.28515625" style="108" customWidth="1"/>
    <col min="6668" max="6668" width="12.28515625" style="108" customWidth="1"/>
    <col min="6669" max="6669" width="17.42578125" style="108" customWidth="1"/>
    <col min="6670" max="6670" width="12" style="108" customWidth="1"/>
    <col min="6671" max="6671" width="16.5703125" style="108" customWidth="1"/>
    <col min="6672" max="6672" width="13.28515625" style="108" customWidth="1"/>
    <col min="6673" max="6673" width="16.5703125" style="108" customWidth="1"/>
    <col min="6674" max="6674" width="13.7109375" style="108" customWidth="1"/>
    <col min="6675" max="6675" width="15.7109375" style="108" customWidth="1"/>
    <col min="6676" max="6676" width="12.5703125" style="108" customWidth="1"/>
    <col min="6677" max="6677" width="19.140625" style="108" customWidth="1"/>
    <col min="6678" max="6678" width="12.28515625" style="108" customWidth="1"/>
    <col min="6679" max="6679" width="17.140625" style="108" customWidth="1"/>
    <col min="6680" max="6680" width="12.5703125" style="108" customWidth="1"/>
    <col min="6681" max="6681" width="17.7109375" style="108" customWidth="1"/>
    <col min="6682" max="6682" width="12.140625" style="108" customWidth="1"/>
    <col min="6683" max="6683" width="30.5703125" style="108" customWidth="1"/>
    <col min="6684" max="6687" width="8.140625" style="108" customWidth="1"/>
    <col min="6688" max="6688" width="9.42578125" style="108" customWidth="1"/>
    <col min="6689" max="6689" width="8.140625" style="108" customWidth="1"/>
    <col min="6690" max="6694" width="7.85546875" style="108" customWidth="1"/>
    <col min="6695" max="6695" width="11.28515625" style="108" customWidth="1"/>
    <col min="6696" max="6696" width="2.28515625" style="108" customWidth="1"/>
    <col min="6697" max="6697" width="19.42578125" style="108"/>
    <col min="6698" max="6723" width="11.28515625" style="108" customWidth="1"/>
    <col min="6724" max="6735" width="8.85546875" style="108" customWidth="1"/>
    <col min="6736" max="6913" width="19.42578125" style="108"/>
    <col min="6914" max="6916" width="11" style="108" customWidth="1"/>
    <col min="6917" max="6917" width="16.140625" style="108" customWidth="1"/>
    <col min="6918" max="6918" width="12.42578125" style="108" customWidth="1"/>
    <col min="6919" max="6919" width="14.28515625" style="108" customWidth="1"/>
    <col min="6920" max="6920" width="12" style="108" customWidth="1"/>
    <col min="6921" max="6921" width="16.7109375" style="108" customWidth="1"/>
    <col min="6922" max="6922" width="12" style="108" customWidth="1"/>
    <col min="6923" max="6923" width="16.28515625" style="108" customWidth="1"/>
    <col min="6924" max="6924" width="12.28515625" style="108" customWidth="1"/>
    <col min="6925" max="6925" width="17.42578125" style="108" customWidth="1"/>
    <col min="6926" max="6926" width="12" style="108" customWidth="1"/>
    <col min="6927" max="6927" width="16.5703125" style="108" customWidth="1"/>
    <col min="6928" max="6928" width="13.28515625" style="108" customWidth="1"/>
    <col min="6929" max="6929" width="16.5703125" style="108" customWidth="1"/>
    <col min="6930" max="6930" width="13.7109375" style="108" customWidth="1"/>
    <col min="6931" max="6931" width="15.7109375" style="108" customWidth="1"/>
    <col min="6932" max="6932" width="12.5703125" style="108" customWidth="1"/>
    <col min="6933" max="6933" width="19.140625" style="108" customWidth="1"/>
    <col min="6934" max="6934" width="12.28515625" style="108" customWidth="1"/>
    <col min="6935" max="6935" width="17.140625" style="108" customWidth="1"/>
    <col min="6936" max="6936" width="12.5703125" style="108" customWidth="1"/>
    <col min="6937" max="6937" width="17.7109375" style="108" customWidth="1"/>
    <col min="6938" max="6938" width="12.140625" style="108" customWidth="1"/>
    <col min="6939" max="6939" width="30.5703125" style="108" customWidth="1"/>
    <col min="6940" max="6943" width="8.140625" style="108" customWidth="1"/>
    <col min="6944" max="6944" width="9.42578125" style="108" customWidth="1"/>
    <col min="6945" max="6945" width="8.140625" style="108" customWidth="1"/>
    <col min="6946" max="6950" width="7.85546875" style="108" customWidth="1"/>
    <col min="6951" max="6951" width="11.28515625" style="108" customWidth="1"/>
    <col min="6952" max="6952" width="2.28515625" style="108" customWidth="1"/>
    <col min="6953" max="6953" width="19.42578125" style="108"/>
    <col min="6954" max="6979" width="11.28515625" style="108" customWidth="1"/>
    <col min="6980" max="6991" width="8.85546875" style="108" customWidth="1"/>
    <col min="6992" max="7169" width="19.42578125" style="108"/>
    <col min="7170" max="7172" width="11" style="108" customWidth="1"/>
    <col min="7173" max="7173" width="16.140625" style="108" customWidth="1"/>
    <col min="7174" max="7174" width="12.42578125" style="108" customWidth="1"/>
    <col min="7175" max="7175" width="14.28515625" style="108" customWidth="1"/>
    <col min="7176" max="7176" width="12" style="108" customWidth="1"/>
    <col min="7177" max="7177" width="16.7109375" style="108" customWidth="1"/>
    <col min="7178" max="7178" width="12" style="108" customWidth="1"/>
    <col min="7179" max="7179" width="16.28515625" style="108" customWidth="1"/>
    <col min="7180" max="7180" width="12.28515625" style="108" customWidth="1"/>
    <col min="7181" max="7181" width="17.42578125" style="108" customWidth="1"/>
    <col min="7182" max="7182" width="12" style="108" customWidth="1"/>
    <col min="7183" max="7183" width="16.5703125" style="108" customWidth="1"/>
    <col min="7184" max="7184" width="13.28515625" style="108" customWidth="1"/>
    <col min="7185" max="7185" width="16.5703125" style="108" customWidth="1"/>
    <col min="7186" max="7186" width="13.7109375" style="108" customWidth="1"/>
    <col min="7187" max="7187" width="15.7109375" style="108" customWidth="1"/>
    <col min="7188" max="7188" width="12.5703125" style="108" customWidth="1"/>
    <col min="7189" max="7189" width="19.140625" style="108" customWidth="1"/>
    <col min="7190" max="7190" width="12.28515625" style="108" customWidth="1"/>
    <col min="7191" max="7191" width="17.140625" style="108" customWidth="1"/>
    <col min="7192" max="7192" width="12.5703125" style="108" customWidth="1"/>
    <col min="7193" max="7193" width="17.7109375" style="108" customWidth="1"/>
    <col min="7194" max="7194" width="12.140625" style="108" customWidth="1"/>
    <col min="7195" max="7195" width="30.5703125" style="108" customWidth="1"/>
    <col min="7196" max="7199" width="8.140625" style="108" customWidth="1"/>
    <col min="7200" max="7200" width="9.42578125" style="108" customWidth="1"/>
    <col min="7201" max="7201" width="8.140625" style="108" customWidth="1"/>
    <col min="7202" max="7206" width="7.85546875" style="108" customWidth="1"/>
    <col min="7207" max="7207" width="11.28515625" style="108" customWidth="1"/>
    <col min="7208" max="7208" width="2.28515625" style="108" customWidth="1"/>
    <col min="7209" max="7209" width="19.42578125" style="108"/>
    <col min="7210" max="7235" width="11.28515625" style="108" customWidth="1"/>
    <col min="7236" max="7247" width="8.85546875" style="108" customWidth="1"/>
    <col min="7248" max="7425" width="19.42578125" style="108"/>
    <col min="7426" max="7428" width="11" style="108" customWidth="1"/>
    <col min="7429" max="7429" width="16.140625" style="108" customWidth="1"/>
    <col min="7430" max="7430" width="12.42578125" style="108" customWidth="1"/>
    <col min="7431" max="7431" width="14.28515625" style="108" customWidth="1"/>
    <col min="7432" max="7432" width="12" style="108" customWidth="1"/>
    <col min="7433" max="7433" width="16.7109375" style="108" customWidth="1"/>
    <col min="7434" max="7434" width="12" style="108" customWidth="1"/>
    <col min="7435" max="7435" width="16.28515625" style="108" customWidth="1"/>
    <col min="7436" max="7436" width="12.28515625" style="108" customWidth="1"/>
    <col min="7437" max="7437" width="17.42578125" style="108" customWidth="1"/>
    <col min="7438" max="7438" width="12" style="108" customWidth="1"/>
    <col min="7439" max="7439" width="16.5703125" style="108" customWidth="1"/>
    <col min="7440" max="7440" width="13.28515625" style="108" customWidth="1"/>
    <col min="7441" max="7441" width="16.5703125" style="108" customWidth="1"/>
    <col min="7442" max="7442" width="13.7109375" style="108" customWidth="1"/>
    <col min="7443" max="7443" width="15.7109375" style="108" customWidth="1"/>
    <col min="7444" max="7444" width="12.5703125" style="108" customWidth="1"/>
    <col min="7445" max="7445" width="19.140625" style="108" customWidth="1"/>
    <col min="7446" max="7446" width="12.28515625" style="108" customWidth="1"/>
    <col min="7447" max="7447" width="17.140625" style="108" customWidth="1"/>
    <col min="7448" max="7448" width="12.5703125" style="108" customWidth="1"/>
    <col min="7449" max="7449" width="17.7109375" style="108" customWidth="1"/>
    <col min="7450" max="7450" width="12.140625" style="108" customWidth="1"/>
    <col min="7451" max="7451" width="30.5703125" style="108" customWidth="1"/>
    <col min="7452" max="7455" width="8.140625" style="108" customWidth="1"/>
    <col min="7456" max="7456" width="9.42578125" style="108" customWidth="1"/>
    <col min="7457" max="7457" width="8.140625" style="108" customWidth="1"/>
    <col min="7458" max="7462" width="7.85546875" style="108" customWidth="1"/>
    <col min="7463" max="7463" width="11.28515625" style="108" customWidth="1"/>
    <col min="7464" max="7464" width="2.28515625" style="108" customWidth="1"/>
    <col min="7465" max="7465" width="19.42578125" style="108"/>
    <col min="7466" max="7491" width="11.28515625" style="108" customWidth="1"/>
    <col min="7492" max="7503" width="8.85546875" style="108" customWidth="1"/>
    <col min="7504" max="7681" width="19.42578125" style="108"/>
    <col min="7682" max="7684" width="11" style="108" customWidth="1"/>
    <col min="7685" max="7685" width="16.140625" style="108" customWidth="1"/>
    <col min="7686" max="7686" width="12.42578125" style="108" customWidth="1"/>
    <col min="7687" max="7687" width="14.28515625" style="108" customWidth="1"/>
    <col min="7688" max="7688" width="12" style="108" customWidth="1"/>
    <col min="7689" max="7689" width="16.7109375" style="108" customWidth="1"/>
    <col min="7690" max="7690" width="12" style="108" customWidth="1"/>
    <col min="7691" max="7691" width="16.28515625" style="108" customWidth="1"/>
    <col min="7692" max="7692" width="12.28515625" style="108" customWidth="1"/>
    <col min="7693" max="7693" width="17.42578125" style="108" customWidth="1"/>
    <col min="7694" max="7694" width="12" style="108" customWidth="1"/>
    <col min="7695" max="7695" width="16.5703125" style="108" customWidth="1"/>
    <col min="7696" max="7696" width="13.28515625" style="108" customWidth="1"/>
    <col min="7697" max="7697" width="16.5703125" style="108" customWidth="1"/>
    <col min="7698" max="7698" width="13.7109375" style="108" customWidth="1"/>
    <col min="7699" max="7699" width="15.7109375" style="108" customWidth="1"/>
    <col min="7700" max="7700" width="12.5703125" style="108" customWidth="1"/>
    <col min="7701" max="7701" width="19.140625" style="108" customWidth="1"/>
    <col min="7702" max="7702" width="12.28515625" style="108" customWidth="1"/>
    <col min="7703" max="7703" width="17.140625" style="108" customWidth="1"/>
    <col min="7704" max="7704" width="12.5703125" style="108" customWidth="1"/>
    <col min="7705" max="7705" width="17.7109375" style="108" customWidth="1"/>
    <col min="7706" max="7706" width="12.140625" style="108" customWidth="1"/>
    <col min="7707" max="7707" width="30.5703125" style="108" customWidth="1"/>
    <col min="7708" max="7711" width="8.140625" style="108" customWidth="1"/>
    <col min="7712" max="7712" width="9.42578125" style="108" customWidth="1"/>
    <col min="7713" max="7713" width="8.140625" style="108" customWidth="1"/>
    <col min="7714" max="7718" width="7.85546875" style="108" customWidth="1"/>
    <col min="7719" max="7719" width="11.28515625" style="108" customWidth="1"/>
    <col min="7720" max="7720" width="2.28515625" style="108" customWidth="1"/>
    <col min="7721" max="7721" width="19.42578125" style="108"/>
    <col min="7722" max="7747" width="11.28515625" style="108" customWidth="1"/>
    <col min="7748" max="7759" width="8.85546875" style="108" customWidth="1"/>
    <col min="7760" max="7937" width="19.42578125" style="108"/>
    <col min="7938" max="7940" width="11" style="108" customWidth="1"/>
    <col min="7941" max="7941" width="16.140625" style="108" customWidth="1"/>
    <col min="7942" max="7942" width="12.42578125" style="108" customWidth="1"/>
    <col min="7943" max="7943" width="14.28515625" style="108" customWidth="1"/>
    <col min="7944" max="7944" width="12" style="108" customWidth="1"/>
    <col min="7945" max="7945" width="16.7109375" style="108" customWidth="1"/>
    <col min="7946" max="7946" width="12" style="108" customWidth="1"/>
    <col min="7947" max="7947" width="16.28515625" style="108" customWidth="1"/>
    <col min="7948" max="7948" width="12.28515625" style="108" customWidth="1"/>
    <col min="7949" max="7949" width="17.42578125" style="108" customWidth="1"/>
    <col min="7950" max="7950" width="12" style="108" customWidth="1"/>
    <col min="7951" max="7951" width="16.5703125" style="108" customWidth="1"/>
    <col min="7952" max="7952" width="13.28515625" style="108" customWidth="1"/>
    <col min="7953" max="7953" width="16.5703125" style="108" customWidth="1"/>
    <col min="7954" max="7954" width="13.7109375" style="108" customWidth="1"/>
    <col min="7955" max="7955" width="15.7109375" style="108" customWidth="1"/>
    <col min="7956" max="7956" width="12.5703125" style="108" customWidth="1"/>
    <col min="7957" max="7957" width="19.140625" style="108" customWidth="1"/>
    <col min="7958" max="7958" width="12.28515625" style="108" customWidth="1"/>
    <col min="7959" max="7959" width="17.140625" style="108" customWidth="1"/>
    <col min="7960" max="7960" width="12.5703125" style="108" customWidth="1"/>
    <col min="7961" max="7961" width="17.7109375" style="108" customWidth="1"/>
    <col min="7962" max="7962" width="12.140625" style="108" customWidth="1"/>
    <col min="7963" max="7963" width="30.5703125" style="108" customWidth="1"/>
    <col min="7964" max="7967" width="8.140625" style="108" customWidth="1"/>
    <col min="7968" max="7968" width="9.42578125" style="108" customWidth="1"/>
    <col min="7969" max="7969" width="8.140625" style="108" customWidth="1"/>
    <col min="7970" max="7974" width="7.85546875" style="108" customWidth="1"/>
    <col min="7975" max="7975" width="11.28515625" style="108" customWidth="1"/>
    <col min="7976" max="7976" width="2.28515625" style="108" customWidth="1"/>
    <col min="7977" max="7977" width="19.42578125" style="108"/>
    <col min="7978" max="8003" width="11.28515625" style="108" customWidth="1"/>
    <col min="8004" max="8015" width="8.85546875" style="108" customWidth="1"/>
    <col min="8016" max="8193" width="19.42578125" style="108"/>
    <col min="8194" max="8196" width="11" style="108" customWidth="1"/>
    <col min="8197" max="8197" width="16.140625" style="108" customWidth="1"/>
    <col min="8198" max="8198" width="12.42578125" style="108" customWidth="1"/>
    <col min="8199" max="8199" width="14.28515625" style="108" customWidth="1"/>
    <col min="8200" max="8200" width="12" style="108" customWidth="1"/>
    <col min="8201" max="8201" width="16.7109375" style="108" customWidth="1"/>
    <col min="8202" max="8202" width="12" style="108" customWidth="1"/>
    <col min="8203" max="8203" width="16.28515625" style="108" customWidth="1"/>
    <col min="8204" max="8204" width="12.28515625" style="108" customWidth="1"/>
    <col min="8205" max="8205" width="17.42578125" style="108" customWidth="1"/>
    <col min="8206" max="8206" width="12" style="108" customWidth="1"/>
    <col min="8207" max="8207" width="16.5703125" style="108" customWidth="1"/>
    <col min="8208" max="8208" width="13.28515625" style="108" customWidth="1"/>
    <col min="8209" max="8209" width="16.5703125" style="108" customWidth="1"/>
    <col min="8210" max="8210" width="13.7109375" style="108" customWidth="1"/>
    <col min="8211" max="8211" width="15.7109375" style="108" customWidth="1"/>
    <col min="8212" max="8212" width="12.5703125" style="108" customWidth="1"/>
    <col min="8213" max="8213" width="19.140625" style="108" customWidth="1"/>
    <col min="8214" max="8214" width="12.28515625" style="108" customWidth="1"/>
    <col min="8215" max="8215" width="17.140625" style="108" customWidth="1"/>
    <col min="8216" max="8216" width="12.5703125" style="108" customWidth="1"/>
    <col min="8217" max="8217" width="17.7109375" style="108" customWidth="1"/>
    <col min="8218" max="8218" width="12.140625" style="108" customWidth="1"/>
    <col min="8219" max="8219" width="30.5703125" style="108" customWidth="1"/>
    <col min="8220" max="8223" width="8.140625" style="108" customWidth="1"/>
    <col min="8224" max="8224" width="9.42578125" style="108" customWidth="1"/>
    <col min="8225" max="8225" width="8.140625" style="108" customWidth="1"/>
    <col min="8226" max="8230" width="7.85546875" style="108" customWidth="1"/>
    <col min="8231" max="8231" width="11.28515625" style="108" customWidth="1"/>
    <col min="8232" max="8232" width="2.28515625" style="108" customWidth="1"/>
    <col min="8233" max="8233" width="19.42578125" style="108"/>
    <col min="8234" max="8259" width="11.28515625" style="108" customWidth="1"/>
    <col min="8260" max="8271" width="8.85546875" style="108" customWidth="1"/>
    <col min="8272" max="8449" width="19.42578125" style="108"/>
    <col min="8450" max="8452" width="11" style="108" customWidth="1"/>
    <col min="8453" max="8453" width="16.140625" style="108" customWidth="1"/>
    <col min="8454" max="8454" width="12.42578125" style="108" customWidth="1"/>
    <col min="8455" max="8455" width="14.28515625" style="108" customWidth="1"/>
    <col min="8456" max="8456" width="12" style="108" customWidth="1"/>
    <col min="8457" max="8457" width="16.7109375" style="108" customWidth="1"/>
    <col min="8458" max="8458" width="12" style="108" customWidth="1"/>
    <col min="8459" max="8459" width="16.28515625" style="108" customWidth="1"/>
    <col min="8460" max="8460" width="12.28515625" style="108" customWidth="1"/>
    <col min="8461" max="8461" width="17.42578125" style="108" customWidth="1"/>
    <col min="8462" max="8462" width="12" style="108" customWidth="1"/>
    <col min="8463" max="8463" width="16.5703125" style="108" customWidth="1"/>
    <col min="8464" max="8464" width="13.28515625" style="108" customWidth="1"/>
    <col min="8465" max="8465" width="16.5703125" style="108" customWidth="1"/>
    <col min="8466" max="8466" width="13.7109375" style="108" customWidth="1"/>
    <col min="8467" max="8467" width="15.7109375" style="108" customWidth="1"/>
    <col min="8468" max="8468" width="12.5703125" style="108" customWidth="1"/>
    <col min="8469" max="8469" width="19.140625" style="108" customWidth="1"/>
    <col min="8470" max="8470" width="12.28515625" style="108" customWidth="1"/>
    <col min="8471" max="8471" width="17.140625" style="108" customWidth="1"/>
    <col min="8472" max="8472" width="12.5703125" style="108" customWidth="1"/>
    <col min="8473" max="8473" width="17.7109375" style="108" customWidth="1"/>
    <col min="8474" max="8474" width="12.140625" style="108" customWidth="1"/>
    <col min="8475" max="8475" width="30.5703125" style="108" customWidth="1"/>
    <col min="8476" max="8479" width="8.140625" style="108" customWidth="1"/>
    <col min="8480" max="8480" width="9.42578125" style="108" customWidth="1"/>
    <col min="8481" max="8481" width="8.140625" style="108" customWidth="1"/>
    <col min="8482" max="8486" width="7.85546875" style="108" customWidth="1"/>
    <col min="8487" max="8487" width="11.28515625" style="108" customWidth="1"/>
    <col min="8488" max="8488" width="2.28515625" style="108" customWidth="1"/>
    <col min="8489" max="8489" width="19.42578125" style="108"/>
    <col min="8490" max="8515" width="11.28515625" style="108" customWidth="1"/>
    <col min="8516" max="8527" width="8.85546875" style="108" customWidth="1"/>
    <col min="8528" max="8705" width="19.42578125" style="108"/>
    <col min="8706" max="8708" width="11" style="108" customWidth="1"/>
    <col min="8709" max="8709" width="16.140625" style="108" customWidth="1"/>
    <col min="8710" max="8710" width="12.42578125" style="108" customWidth="1"/>
    <col min="8711" max="8711" width="14.28515625" style="108" customWidth="1"/>
    <col min="8712" max="8712" width="12" style="108" customWidth="1"/>
    <col min="8713" max="8713" width="16.7109375" style="108" customWidth="1"/>
    <col min="8714" max="8714" width="12" style="108" customWidth="1"/>
    <col min="8715" max="8715" width="16.28515625" style="108" customWidth="1"/>
    <col min="8716" max="8716" width="12.28515625" style="108" customWidth="1"/>
    <col min="8717" max="8717" width="17.42578125" style="108" customWidth="1"/>
    <col min="8718" max="8718" width="12" style="108" customWidth="1"/>
    <col min="8719" max="8719" width="16.5703125" style="108" customWidth="1"/>
    <col min="8720" max="8720" width="13.28515625" style="108" customWidth="1"/>
    <col min="8721" max="8721" width="16.5703125" style="108" customWidth="1"/>
    <col min="8722" max="8722" width="13.7109375" style="108" customWidth="1"/>
    <col min="8723" max="8723" width="15.7109375" style="108" customWidth="1"/>
    <col min="8724" max="8724" width="12.5703125" style="108" customWidth="1"/>
    <col min="8725" max="8725" width="19.140625" style="108" customWidth="1"/>
    <col min="8726" max="8726" width="12.28515625" style="108" customWidth="1"/>
    <col min="8727" max="8727" width="17.140625" style="108" customWidth="1"/>
    <col min="8728" max="8728" width="12.5703125" style="108" customWidth="1"/>
    <col min="8729" max="8729" width="17.7109375" style="108" customWidth="1"/>
    <col min="8730" max="8730" width="12.140625" style="108" customWidth="1"/>
    <col min="8731" max="8731" width="30.5703125" style="108" customWidth="1"/>
    <col min="8732" max="8735" width="8.140625" style="108" customWidth="1"/>
    <col min="8736" max="8736" width="9.42578125" style="108" customWidth="1"/>
    <col min="8737" max="8737" width="8.140625" style="108" customWidth="1"/>
    <col min="8738" max="8742" width="7.85546875" style="108" customWidth="1"/>
    <col min="8743" max="8743" width="11.28515625" style="108" customWidth="1"/>
    <col min="8744" max="8744" width="2.28515625" style="108" customWidth="1"/>
    <col min="8745" max="8745" width="19.42578125" style="108"/>
    <col min="8746" max="8771" width="11.28515625" style="108" customWidth="1"/>
    <col min="8772" max="8783" width="8.85546875" style="108" customWidth="1"/>
    <col min="8784" max="8961" width="19.42578125" style="108"/>
    <col min="8962" max="8964" width="11" style="108" customWidth="1"/>
    <col min="8965" max="8965" width="16.140625" style="108" customWidth="1"/>
    <col min="8966" max="8966" width="12.42578125" style="108" customWidth="1"/>
    <col min="8967" max="8967" width="14.28515625" style="108" customWidth="1"/>
    <col min="8968" max="8968" width="12" style="108" customWidth="1"/>
    <col min="8969" max="8969" width="16.7109375" style="108" customWidth="1"/>
    <col min="8970" max="8970" width="12" style="108" customWidth="1"/>
    <col min="8971" max="8971" width="16.28515625" style="108" customWidth="1"/>
    <col min="8972" max="8972" width="12.28515625" style="108" customWidth="1"/>
    <col min="8973" max="8973" width="17.42578125" style="108" customWidth="1"/>
    <col min="8974" max="8974" width="12" style="108" customWidth="1"/>
    <col min="8975" max="8975" width="16.5703125" style="108" customWidth="1"/>
    <col min="8976" max="8976" width="13.28515625" style="108" customWidth="1"/>
    <col min="8977" max="8977" width="16.5703125" style="108" customWidth="1"/>
    <col min="8978" max="8978" width="13.7109375" style="108" customWidth="1"/>
    <col min="8979" max="8979" width="15.7109375" style="108" customWidth="1"/>
    <col min="8980" max="8980" width="12.5703125" style="108" customWidth="1"/>
    <col min="8981" max="8981" width="19.140625" style="108" customWidth="1"/>
    <col min="8982" max="8982" width="12.28515625" style="108" customWidth="1"/>
    <col min="8983" max="8983" width="17.140625" style="108" customWidth="1"/>
    <col min="8984" max="8984" width="12.5703125" style="108" customWidth="1"/>
    <col min="8985" max="8985" width="17.7109375" style="108" customWidth="1"/>
    <col min="8986" max="8986" width="12.140625" style="108" customWidth="1"/>
    <col min="8987" max="8987" width="30.5703125" style="108" customWidth="1"/>
    <col min="8988" max="8991" width="8.140625" style="108" customWidth="1"/>
    <col min="8992" max="8992" width="9.42578125" style="108" customWidth="1"/>
    <col min="8993" max="8993" width="8.140625" style="108" customWidth="1"/>
    <col min="8994" max="8998" width="7.85546875" style="108" customWidth="1"/>
    <col min="8999" max="8999" width="11.28515625" style="108" customWidth="1"/>
    <col min="9000" max="9000" width="2.28515625" style="108" customWidth="1"/>
    <col min="9001" max="9001" width="19.42578125" style="108"/>
    <col min="9002" max="9027" width="11.28515625" style="108" customWidth="1"/>
    <col min="9028" max="9039" width="8.85546875" style="108" customWidth="1"/>
    <col min="9040" max="9217" width="19.42578125" style="108"/>
    <col min="9218" max="9220" width="11" style="108" customWidth="1"/>
    <col min="9221" max="9221" width="16.140625" style="108" customWidth="1"/>
    <col min="9222" max="9222" width="12.42578125" style="108" customWidth="1"/>
    <col min="9223" max="9223" width="14.28515625" style="108" customWidth="1"/>
    <col min="9224" max="9224" width="12" style="108" customWidth="1"/>
    <col min="9225" max="9225" width="16.7109375" style="108" customWidth="1"/>
    <col min="9226" max="9226" width="12" style="108" customWidth="1"/>
    <col min="9227" max="9227" width="16.28515625" style="108" customWidth="1"/>
    <col min="9228" max="9228" width="12.28515625" style="108" customWidth="1"/>
    <col min="9229" max="9229" width="17.42578125" style="108" customWidth="1"/>
    <col min="9230" max="9230" width="12" style="108" customWidth="1"/>
    <col min="9231" max="9231" width="16.5703125" style="108" customWidth="1"/>
    <col min="9232" max="9232" width="13.28515625" style="108" customWidth="1"/>
    <col min="9233" max="9233" width="16.5703125" style="108" customWidth="1"/>
    <col min="9234" max="9234" width="13.7109375" style="108" customWidth="1"/>
    <col min="9235" max="9235" width="15.7109375" style="108" customWidth="1"/>
    <col min="9236" max="9236" width="12.5703125" style="108" customWidth="1"/>
    <col min="9237" max="9237" width="19.140625" style="108" customWidth="1"/>
    <col min="9238" max="9238" width="12.28515625" style="108" customWidth="1"/>
    <col min="9239" max="9239" width="17.140625" style="108" customWidth="1"/>
    <col min="9240" max="9240" width="12.5703125" style="108" customWidth="1"/>
    <col min="9241" max="9241" width="17.7109375" style="108" customWidth="1"/>
    <col min="9242" max="9242" width="12.140625" style="108" customWidth="1"/>
    <col min="9243" max="9243" width="30.5703125" style="108" customWidth="1"/>
    <col min="9244" max="9247" width="8.140625" style="108" customWidth="1"/>
    <col min="9248" max="9248" width="9.42578125" style="108" customWidth="1"/>
    <col min="9249" max="9249" width="8.140625" style="108" customWidth="1"/>
    <col min="9250" max="9254" width="7.85546875" style="108" customWidth="1"/>
    <col min="9255" max="9255" width="11.28515625" style="108" customWidth="1"/>
    <col min="9256" max="9256" width="2.28515625" style="108" customWidth="1"/>
    <col min="9257" max="9257" width="19.42578125" style="108"/>
    <col min="9258" max="9283" width="11.28515625" style="108" customWidth="1"/>
    <col min="9284" max="9295" width="8.85546875" style="108" customWidth="1"/>
    <col min="9296" max="9473" width="19.42578125" style="108"/>
    <col min="9474" max="9476" width="11" style="108" customWidth="1"/>
    <col min="9477" max="9477" width="16.140625" style="108" customWidth="1"/>
    <col min="9478" max="9478" width="12.42578125" style="108" customWidth="1"/>
    <col min="9479" max="9479" width="14.28515625" style="108" customWidth="1"/>
    <col min="9480" max="9480" width="12" style="108" customWidth="1"/>
    <col min="9481" max="9481" width="16.7109375" style="108" customWidth="1"/>
    <col min="9482" max="9482" width="12" style="108" customWidth="1"/>
    <col min="9483" max="9483" width="16.28515625" style="108" customWidth="1"/>
    <col min="9484" max="9484" width="12.28515625" style="108" customWidth="1"/>
    <col min="9485" max="9485" width="17.42578125" style="108" customWidth="1"/>
    <col min="9486" max="9486" width="12" style="108" customWidth="1"/>
    <col min="9487" max="9487" width="16.5703125" style="108" customWidth="1"/>
    <col min="9488" max="9488" width="13.28515625" style="108" customWidth="1"/>
    <col min="9489" max="9489" width="16.5703125" style="108" customWidth="1"/>
    <col min="9490" max="9490" width="13.7109375" style="108" customWidth="1"/>
    <col min="9491" max="9491" width="15.7109375" style="108" customWidth="1"/>
    <col min="9492" max="9492" width="12.5703125" style="108" customWidth="1"/>
    <col min="9493" max="9493" width="19.140625" style="108" customWidth="1"/>
    <col min="9494" max="9494" width="12.28515625" style="108" customWidth="1"/>
    <col min="9495" max="9495" width="17.140625" style="108" customWidth="1"/>
    <col min="9496" max="9496" width="12.5703125" style="108" customWidth="1"/>
    <col min="9497" max="9497" width="17.7109375" style="108" customWidth="1"/>
    <col min="9498" max="9498" width="12.140625" style="108" customWidth="1"/>
    <col min="9499" max="9499" width="30.5703125" style="108" customWidth="1"/>
    <col min="9500" max="9503" width="8.140625" style="108" customWidth="1"/>
    <col min="9504" max="9504" width="9.42578125" style="108" customWidth="1"/>
    <col min="9505" max="9505" width="8.140625" style="108" customWidth="1"/>
    <col min="9506" max="9510" width="7.85546875" style="108" customWidth="1"/>
    <col min="9511" max="9511" width="11.28515625" style="108" customWidth="1"/>
    <col min="9512" max="9512" width="2.28515625" style="108" customWidth="1"/>
    <col min="9513" max="9513" width="19.42578125" style="108"/>
    <col min="9514" max="9539" width="11.28515625" style="108" customWidth="1"/>
    <col min="9540" max="9551" width="8.85546875" style="108" customWidth="1"/>
    <col min="9552" max="9729" width="19.42578125" style="108"/>
    <col min="9730" max="9732" width="11" style="108" customWidth="1"/>
    <col min="9733" max="9733" width="16.140625" style="108" customWidth="1"/>
    <col min="9734" max="9734" width="12.42578125" style="108" customWidth="1"/>
    <col min="9735" max="9735" width="14.28515625" style="108" customWidth="1"/>
    <col min="9736" max="9736" width="12" style="108" customWidth="1"/>
    <col min="9737" max="9737" width="16.7109375" style="108" customWidth="1"/>
    <col min="9738" max="9738" width="12" style="108" customWidth="1"/>
    <col min="9739" max="9739" width="16.28515625" style="108" customWidth="1"/>
    <col min="9740" max="9740" width="12.28515625" style="108" customWidth="1"/>
    <col min="9741" max="9741" width="17.42578125" style="108" customWidth="1"/>
    <col min="9742" max="9742" width="12" style="108" customWidth="1"/>
    <col min="9743" max="9743" width="16.5703125" style="108" customWidth="1"/>
    <col min="9744" max="9744" width="13.28515625" style="108" customWidth="1"/>
    <col min="9745" max="9745" width="16.5703125" style="108" customWidth="1"/>
    <col min="9746" max="9746" width="13.7109375" style="108" customWidth="1"/>
    <col min="9747" max="9747" width="15.7109375" style="108" customWidth="1"/>
    <col min="9748" max="9748" width="12.5703125" style="108" customWidth="1"/>
    <col min="9749" max="9749" width="19.140625" style="108" customWidth="1"/>
    <col min="9750" max="9750" width="12.28515625" style="108" customWidth="1"/>
    <col min="9751" max="9751" width="17.140625" style="108" customWidth="1"/>
    <col min="9752" max="9752" width="12.5703125" style="108" customWidth="1"/>
    <col min="9753" max="9753" width="17.7109375" style="108" customWidth="1"/>
    <col min="9754" max="9754" width="12.140625" style="108" customWidth="1"/>
    <col min="9755" max="9755" width="30.5703125" style="108" customWidth="1"/>
    <col min="9756" max="9759" width="8.140625" style="108" customWidth="1"/>
    <col min="9760" max="9760" width="9.42578125" style="108" customWidth="1"/>
    <col min="9761" max="9761" width="8.140625" style="108" customWidth="1"/>
    <col min="9762" max="9766" width="7.85546875" style="108" customWidth="1"/>
    <col min="9767" max="9767" width="11.28515625" style="108" customWidth="1"/>
    <col min="9768" max="9768" width="2.28515625" style="108" customWidth="1"/>
    <col min="9769" max="9769" width="19.42578125" style="108"/>
    <col min="9770" max="9795" width="11.28515625" style="108" customWidth="1"/>
    <col min="9796" max="9807" width="8.85546875" style="108" customWidth="1"/>
    <col min="9808" max="9985" width="19.42578125" style="108"/>
    <col min="9986" max="9988" width="11" style="108" customWidth="1"/>
    <col min="9989" max="9989" width="16.140625" style="108" customWidth="1"/>
    <col min="9990" max="9990" width="12.42578125" style="108" customWidth="1"/>
    <col min="9991" max="9991" width="14.28515625" style="108" customWidth="1"/>
    <col min="9992" max="9992" width="12" style="108" customWidth="1"/>
    <col min="9993" max="9993" width="16.7109375" style="108" customWidth="1"/>
    <col min="9994" max="9994" width="12" style="108" customWidth="1"/>
    <col min="9995" max="9995" width="16.28515625" style="108" customWidth="1"/>
    <col min="9996" max="9996" width="12.28515625" style="108" customWidth="1"/>
    <col min="9997" max="9997" width="17.42578125" style="108" customWidth="1"/>
    <col min="9998" max="9998" width="12" style="108" customWidth="1"/>
    <col min="9999" max="9999" width="16.5703125" style="108" customWidth="1"/>
    <col min="10000" max="10000" width="13.28515625" style="108" customWidth="1"/>
    <col min="10001" max="10001" width="16.5703125" style="108" customWidth="1"/>
    <col min="10002" max="10002" width="13.7109375" style="108" customWidth="1"/>
    <col min="10003" max="10003" width="15.7109375" style="108" customWidth="1"/>
    <col min="10004" max="10004" width="12.5703125" style="108" customWidth="1"/>
    <col min="10005" max="10005" width="19.140625" style="108" customWidth="1"/>
    <col min="10006" max="10006" width="12.28515625" style="108" customWidth="1"/>
    <col min="10007" max="10007" width="17.140625" style="108" customWidth="1"/>
    <col min="10008" max="10008" width="12.5703125" style="108" customWidth="1"/>
    <col min="10009" max="10009" width="17.7109375" style="108" customWidth="1"/>
    <col min="10010" max="10010" width="12.140625" style="108" customWidth="1"/>
    <col min="10011" max="10011" width="30.5703125" style="108" customWidth="1"/>
    <col min="10012" max="10015" width="8.140625" style="108" customWidth="1"/>
    <col min="10016" max="10016" width="9.42578125" style="108" customWidth="1"/>
    <col min="10017" max="10017" width="8.140625" style="108" customWidth="1"/>
    <col min="10018" max="10022" width="7.85546875" style="108" customWidth="1"/>
    <col min="10023" max="10023" width="11.28515625" style="108" customWidth="1"/>
    <col min="10024" max="10024" width="2.28515625" style="108" customWidth="1"/>
    <col min="10025" max="10025" width="19.42578125" style="108"/>
    <col min="10026" max="10051" width="11.28515625" style="108" customWidth="1"/>
    <col min="10052" max="10063" width="8.85546875" style="108" customWidth="1"/>
    <col min="10064" max="10241" width="19.42578125" style="108"/>
    <col min="10242" max="10244" width="11" style="108" customWidth="1"/>
    <col min="10245" max="10245" width="16.140625" style="108" customWidth="1"/>
    <col min="10246" max="10246" width="12.42578125" style="108" customWidth="1"/>
    <col min="10247" max="10247" width="14.28515625" style="108" customWidth="1"/>
    <col min="10248" max="10248" width="12" style="108" customWidth="1"/>
    <col min="10249" max="10249" width="16.7109375" style="108" customWidth="1"/>
    <col min="10250" max="10250" width="12" style="108" customWidth="1"/>
    <col min="10251" max="10251" width="16.28515625" style="108" customWidth="1"/>
    <col min="10252" max="10252" width="12.28515625" style="108" customWidth="1"/>
    <col min="10253" max="10253" width="17.42578125" style="108" customWidth="1"/>
    <col min="10254" max="10254" width="12" style="108" customWidth="1"/>
    <col min="10255" max="10255" width="16.5703125" style="108" customWidth="1"/>
    <col min="10256" max="10256" width="13.28515625" style="108" customWidth="1"/>
    <col min="10257" max="10257" width="16.5703125" style="108" customWidth="1"/>
    <col min="10258" max="10258" width="13.7109375" style="108" customWidth="1"/>
    <col min="10259" max="10259" width="15.7109375" style="108" customWidth="1"/>
    <col min="10260" max="10260" width="12.5703125" style="108" customWidth="1"/>
    <col min="10261" max="10261" width="19.140625" style="108" customWidth="1"/>
    <col min="10262" max="10262" width="12.28515625" style="108" customWidth="1"/>
    <col min="10263" max="10263" width="17.140625" style="108" customWidth="1"/>
    <col min="10264" max="10264" width="12.5703125" style="108" customWidth="1"/>
    <col min="10265" max="10265" width="17.7109375" style="108" customWidth="1"/>
    <col min="10266" max="10266" width="12.140625" style="108" customWidth="1"/>
    <col min="10267" max="10267" width="30.5703125" style="108" customWidth="1"/>
    <col min="10268" max="10271" width="8.140625" style="108" customWidth="1"/>
    <col min="10272" max="10272" width="9.42578125" style="108" customWidth="1"/>
    <col min="10273" max="10273" width="8.140625" style="108" customWidth="1"/>
    <col min="10274" max="10278" width="7.85546875" style="108" customWidth="1"/>
    <col min="10279" max="10279" width="11.28515625" style="108" customWidth="1"/>
    <col min="10280" max="10280" width="2.28515625" style="108" customWidth="1"/>
    <col min="10281" max="10281" width="19.42578125" style="108"/>
    <col min="10282" max="10307" width="11.28515625" style="108" customWidth="1"/>
    <col min="10308" max="10319" width="8.85546875" style="108" customWidth="1"/>
    <col min="10320" max="10497" width="19.42578125" style="108"/>
    <col min="10498" max="10500" width="11" style="108" customWidth="1"/>
    <col min="10501" max="10501" width="16.140625" style="108" customWidth="1"/>
    <col min="10502" max="10502" width="12.42578125" style="108" customWidth="1"/>
    <col min="10503" max="10503" width="14.28515625" style="108" customWidth="1"/>
    <col min="10504" max="10504" width="12" style="108" customWidth="1"/>
    <col min="10505" max="10505" width="16.7109375" style="108" customWidth="1"/>
    <col min="10506" max="10506" width="12" style="108" customWidth="1"/>
    <col min="10507" max="10507" width="16.28515625" style="108" customWidth="1"/>
    <col min="10508" max="10508" width="12.28515625" style="108" customWidth="1"/>
    <col min="10509" max="10509" width="17.42578125" style="108" customWidth="1"/>
    <col min="10510" max="10510" width="12" style="108" customWidth="1"/>
    <col min="10511" max="10511" width="16.5703125" style="108" customWidth="1"/>
    <col min="10512" max="10512" width="13.28515625" style="108" customWidth="1"/>
    <col min="10513" max="10513" width="16.5703125" style="108" customWidth="1"/>
    <col min="10514" max="10514" width="13.7109375" style="108" customWidth="1"/>
    <col min="10515" max="10515" width="15.7109375" style="108" customWidth="1"/>
    <col min="10516" max="10516" width="12.5703125" style="108" customWidth="1"/>
    <col min="10517" max="10517" width="19.140625" style="108" customWidth="1"/>
    <col min="10518" max="10518" width="12.28515625" style="108" customWidth="1"/>
    <col min="10519" max="10519" width="17.140625" style="108" customWidth="1"/>
    <col min="10520" max="10520" width="12.5703125" style="108" customWidth="1"/>
    <col min="10521" max="10521" width="17.7109375" style="108" customWidth="1"/>
    <col min="10522" max="10522" width="12.140625" style="108" customWidth="1"/>
    <col min="10523" max="10523" width="30.5703125" style="108" customWidth="1"/>
    <col min="10524" max="10527" width="8.140625" style="108" customWidth="1"/>
    <col min="10528" max="10528" width="9.42578125" style="108" customWidth="1"/>
    <col min="10529" max="10529" width="8.140625" style="108" customWidth="1"/>
    <col min="10530" max="10534" width="7.85546875" style="108" customWidth="1"/>
    <col min="10535" max="10535" width="11.28515625" style="108" customWidth="1"/>
    <col min="10536" max="10536" width="2.28515625" style="108" customWidth="1"/>
    <col min="10537" max="10537" width="19.42578125" style="108"/>
    <col min="10538" max="10563" width="11.28515625" style="108" customWidth="1"/>
    <col min="10564" max="10575" width="8.85546875" style="108" customWidth="1"/>
    <col min="10576" max="10753" width="19.42578125" style="108"/>
    <col min="10754" max="10756" width="11" style="108" customWidth="1"/>
    <col min="10757" max="10757" width="16.140625" style="108" customWidth="1"/>
    <col min="10758" max="10758" width="12.42578125" style="108" customWidth="1"/>
    <col min="10759" max="10759" width="14.28515625" style="108" customWidth="1"/>
    <col min="10760" max="10760" width="12" style="108" customWidth="1"/>
    <col min="10761" max="10761" width="16.7109375" style="108" customWidth="1"/>
    <col min="10762" max="10762" width="12" style="108" customWidth="1"/>
    <col min="10763" max="10763" width="16.28515625" style="108" customWidth="1"/>
    <col min="10764" max="10764" width="12.28515625" style="108" customWidth="1"/>
    <col min="10765" max="10765" width="17.42578125" style="108" customWidth="1"/>
    <col min="10766" max="10766" width="12" style="108" customWidth="1"/>
    <col min="10767" max="10767" width="16.5703125" style="108" customWidth="1"/>
    <col min="10768" max="10768" width="13.28515625" style="108" customWidth="1"/>
    <col min="10769" max="10769" width="16.5703125" style="108" customWidth="1"/>
    <col min="10770" max="10770" width="13.7109375" style="108" customWidth="1"/>
    <col min="10771" max="10771" width="15.7109375" style="108" customWidth="1"/>
    <col min="10772" max="10772" width="12.5703125" style="108" customWidth="1"/>
    <col min="10773" max="10773" width="19.140625" style="108" customWidth="1"/>
    <col min="10774" max="10774" width="12.28515625" style="108" customWidth="1"/>
    <col min="10775" max="10775" width="17.140625" style="108" customWidth="1"/>
    <col min="10776" max="10776" width="12.5703125" style="108" customWidth="1"/>
    <col min="10777" max="10777" width="17.7109375" style="108" customWidth="1"/>
    <col min="10778" max="10778" width="12.140625" style="108" customWidth="1"/>
    <col min="10779" max="10779" width="30.5703125" style="108" customWidth="1"/>
    <col min="10780" max="10783" width="8.140625" style="108" customWidth="1"/>
    <col min="10784" max="10784" width="9.42578125" style="108" customWidth="1"/>
    <col min="10785" max="10785" width="8.140625" style="108" customWidth="1"/>
    <col min="10786" max="10790" width="7.85546875" style="108" customWidth="1"/>
    <col min="10791" max="10791" width="11.28515625" style="108" customWidth="1"/>
    <col min="10792" max="10792" width="2.28515625" style="108" customWidth="1"/>
    <col min="10793" max="10793" width="19.42578125" style="108"/>
    <col min="10794" max="10819" width="11.28515625" style="108" customWidth="1"/>
    <col min="10820" max="10831" width="8.85546875" style="108" customWidth="1"/>
    <col min="10832" max="11009" width="19.42578125" style="108"/>
    <col min="11010" max="11012" width="11" style="108" customWidth="1"/>
    <col min="11013" max="11013" width="16.140625" style="108" customWidth="1"/>
    <col min="11014" max="11014" width="12.42578125" style="108" customWidth="1"/>
    <col min="11015" max="11015" width="14.28515625" style="108" customWidth="1"/>
    <col min="11016" max="11016" width="12" style="108" customWidth="1"/>
    <col min="11017" max="11017" width="16.7109375" style="108" customWidth="1"/>
    <col min="11018" max="11018" width="12" style="108" customWidth="1"/>
    <col min="11019" max="11019" width="16.28515625" style="108" customWidth="1"/>
    <col min="11020" max="11020" width="12.28515625" style="108" customWidth="1"/>
    <col min="11021" max="11021" width="17.42578125" style="108" customWidth="1"/>
    <col min="11022" max="11022" width="12" style="108" customWidth="1"/>
    <col min="11023" max="11023" width="16.5703125" style="108" customWidth="1"/>
    <col min="11024" max="11024" width="13.28515625" style="108" customWidth="1"/>
    <col min="11025" max="11025" width="16.5703125" style="108" customWidth="1"/>
    <col min="11026" max="11026" width="13.7109375" style="108" customWidth="1"/>
    <col min="11027" max="11027" width="15.7109375" style="108" customWidth="1"/>
    <col min="11028" max="11028" width="12.5703125" style="108" customWidth="1"/>
    <col min="11029" max="11029" width="19.140625" style="108" customWidth="1"/>
    <col min="11030" max="11030" width="12.28515625" style="108" customWidth="1"/>
    <col min="11031" max="11031" width="17.140625" style="108" customWidth="1"/>
    <col min="11032" max="11032" width="12.5703125" style="108" customWidth="1"/>
    <col min="11033" max="11033" width="17.7109375" style="108" customWidth="1"/>
    <col min="11034" max="11034" width="12.140625" style="108" customWidth="1"/>
    <col min="11035" max="11035" width="30.5703125" style="108" customWidth="1"/>
    <col min="11036" max="11039" width="8.140625" style="108" customWidth="1"/>
    <col min="11040" max="11040" width="9.42578125" style="108" customWidth="1"/>
    <col min="11041" max="11041" width="8.140625" style="108" customWidth="1"/>
    <col min="11042" max="11046" width="7.85546875" style="108" customWidth="1"/>
    <col min="11047" max="11047" width="11.28515625" style="108" customWidth="1"/>
    <col min="11048" max="11048" width="2.28515625" style="108" customWidth="1"/>
    <col min="11049" max="11049" width="19.42578125" style="108"/>
    <col min="11050" max="11075" width="11.28515625" style="108" customWidth="1"/>
    <col min="11076" max="11087" width="8.85546875" style="108" customWidth="1"/>
    <col min="11088" max="11265" width="19.42578125" style="108"/>
    <col min="11266" max="11268" width="11" style="108" customWidth="1"/>
    <col min="11269" max="11269" width="16.140625" style="108" customWidth="1"/>
    <col min="11270" max="11270" width="12.42578125" style="108" customWidth="1"/>
    <col min="11271" max="11271" width="14.28515625" style="108" customWidth="1"/>
    <col min="11272" max="11272" width="12" style="108" customWidth="1"/>
    <col min="11273" max="11273" width="16.7109375" style="108" customWidth="1"/>
    <col min="11274" max="11274" width="12" style="108" customWidth="1"/>
    <col min="11275" max="11275" width="16.28515625" style="108" customWidth="1"/>
    <col min="11276" max="11276" width="12.28515625" style="108" customWidth="1"/>
    <col min="11277" max="11277" width="17.42578125" style="108" customWidth="1"/>
    <col min="11278" max="11278" width="12" style="108" customWidth="1"/>
    <col min="11279" max="11279" width="16.5703125" style="108" customWidth="1"/>
    <col min="11280" max="11280" width="13.28515625" style="108" customWidth="1"/>
    <col min="11281" max="11281" width="16.5703125" style="108" customWidth="1"/>
    <col min="11282" max="11282" width="13.7109375" style="108" customWidth="1"/>
    <col min="11283" max="11283" width="15.7109375" style="108" customWidth="1"/>
    <col min="11284" max="11284" width="12.5703125" style="108" customWidth="1"/>
    <col min="11285" max="11285" width="19.140625" style="108" customWidth="1"/>
    <col min="11286" max="11286" width="12.28515625" style="108" customWidth="1"/>
    <col min="11287" max="11287" width="17.140625" style="108" customWidth="1"/>
    <col min="11288" max="11288" width="12.5703125" style="108" customWidth="1"/>
    <col min="11289" max="11289" width="17.7109375" style="108" customWidth="1"/>
    <col min="11290" max="11290" width="12.140625" style="108" customWidth="1"/>
    <col min="11291" max="11291" width="30.5703125" style="108" customWidth="1"/>
    <col min="11292" max="11295" width="8.140625" style="108" customWidth="1"/>
    <col min="11296" max="11296" width="9.42578125" style="108" customWidth="1"/>
    <col min="11297" max="11297" width="8.140625" style="108" customWidth="1"/>
    <col min="11298" max="11302" width="7.85546875" style="108" customWidth="1"/>
    <col min="11303" max="11303" width="11.28515625" style="108" customWidth="1"/>
    <col min="11304" max="11304" width="2.28515625" style="108" customWidth="1"/>
    <col min="11305" max="11305" width="19.42578125" style="108"/>
    <col min="11306" max="11331" width="11.28515625" style="108" customWidth="1"/>
    <col min="11332" max="11343" width="8.85546875" style="108" customWidth="1"/>
    <col min="11344" max="11521" width="19.42578125" style="108"/>
    <col min="11522" max="11524" width="11" style="108" customWidth="1"/>
    <col min="11525" max="11525" width="16.140625" style="108" customWidth="1"/>
    <col min="11526" max="11526" width="12.42578125" style="108" customWidth="1"/>
    <col min="11527" max="11527" width="14.28515625" style="108" customWidth="1"/>
    <col min="11528" max="11528" width="12" style="108" customWidth="1"/>
    <col min="11529" max="11529" width="16.7109375" style="108" customWidth="1"/>
    <col min="11530" max="11530" width="12" style="108" customWidth="1"/>
    <col min="11531" max="11531" width="16.28515625" style="108" customWidth="1"/>
    <col min="11532" max="11532" width="12.28515625" style="108" customWidth="1"/>
    <col min="11533" max="11533" width="17.42578125" style="108" customWidth="1"/>
    <col min="11534" max="11534" width="12" style="108" customWidth="1"/>
    <col min="11535" max="11535" width="16.5703125" style="108" customWidth="1"/>
    <col min="11536" max="11536" width="13.28515625" style="108" customWidth="1"/>
    <col min="11537" max="11537" width="16.5703125" style="108" customWidth="1"/>
    <col min="11538" max="11538" width="13.7109375" style="108" customWidth="1"/>
    <col min="11539" max="11539" width="15.7109375" style="108" customWidth="1"/>
    <col min="11540" max="11540" width="12.5703125" style="108" customWidth="1"/>
    <col min="11541" max="11541" width="19.140625" style="108" customWidth="1"/>
    <col min="11542" max="11542" width="12.28515625" style="108" customWidth="1"/>
    <col min="11543" max="11543" width="17.140625" style="108" customWidth="1"/>
    <col min="11544" max="11544" width="12.5703125" style="108" customWidth="1"/>
    <col min="11545" max="11545" width="17.7109375" style="108" customWidth="1"/>
    <col min="11546" max="11546" width="12.140625" style="108" customWidth="1"/>
    <col min="11547" max="11547" width="30.5703125" style="108" customWidth="1"/>
    <col min="11548" max="11551" width="8.140625" style="108" customWidth="1"/>
    <col min="11552" max="11552" width="9.42578125" style="108" customWidth="1"/>
    <col min="11553" max="11553" width="8.140625" style="108" customWidth="1"/>
    <col min="11554" max="11558" width="7.85546875" style="108" customWidth="1"/>
    <col min="11559" max="11559" width="11.28515625" style="108" customWidth="1"/>
    <col min="11560" max="11560" width="2.28515625" style="108" customWidth="1"/>
    <col min="11561" max="11561" width="19.42578125" style="108"/>
    <col min="11562" max="11587" width="11.28515625" style="108" customWidth="1"/>
    <col min="11588" max="11599" width="8.85546875" style="108" customWidth="1"/>
    <col min="11600" max="11777" width="19.42578125" style="108"/>
    <col min="11778" max="11780" width="11" style="108" customWidth="1"/>
    <col min="11781" max="11781" width="16.140625" style="108" customWidth="1"/>
    <col min="11782" max="11782" width="12.42578125" style="108" customWidth="1"/>
    <col min="11783" max="11783" width="14.28515625" style="108" customWidth="1"/>
    <col min="11784" max="11784" width="12" style="108" customWidth="1"/>
    <col min="11785" max="11785" width="16.7109375" style="108" customWidth="1"/>
    <col min="11786" max="11786" width="12" style="108" customWidth="1"/>
    <col min="11787" max="11787" width="16.28515625" style="108" customWidth="1"/>
    <col min="11788" max="11788" width="12.28515625" style="108" customWidth="1"/>
    <col min="11789" max="11789" width="17.42578125" style="108" customWidth="1"/>
    <col min="11790" max="11790" width="12" style="108" customWidth="1"/>
    <col min="11791" max="11791" width="16.5703125" style="108" customWidth="1"/>
    <col min="11792" max="11792" width="13.28515625" style="108" customWidth="1"/>
    <col min="11793" max="11793" width="16.5703125" style="108" customWidth="1"/>
    <col min="11794" max="11794" width="13.7109375" style="108" customWidth="1"/>
    <col min="11795" max="11795" width="15.7109375" style="108" customWidth="1"/>
    <col min="11796" max="11796" width="12.5703125" style="108" customWidth="1"/>
    <col min="11797" max="11797" width="19.140625" style="108" customWidth="1"/>
    <col min="11798" max="11798" width="12.28515625" style="108" customWidth="1"/>
    <col min="11799" max="11799" width="17.140625" style="108" customWidth="1"/>
    <col min="11800" max="11800" width="12.5703125" style="108" customWidth="1"/>
    <col min="11801" max="11801" width="17.7109375" style="108" customWidth="1"/>
    <col min="11802" max="11802" width="12.140625" style="108" customWidth="1"/>
    <col min="11803" max="11803" width="30.5703125" style="108" customWidth="1"/>
    <col min="11804" max="11807" width="8.140625" style="108" customWidth="1"/>
    <col min="11808" max="11808" width="9.42578125" style="108" customWidth="1"/>
    <col min="11809" max="11809" width="8.140625" style="108" customWidth="1"/>
    <col min="11810" max="11814" width="7.85546875" style="108" customWidth="1"/>
    <col min="11815" max="11815" width="11.28515625" style="108" customWidth="1"/>
    <col min="11816" max="11816" width="2.28515625" style="108" customWidth="1"/>
    <col min="11817" max="11817" width="19.42578125" style="108"/>
    <col min="11818" max="11843" width="11.28515625" style="108" customWidth="1"/>
    <col min="11844" max="11855" width="8.85546875" style="108" customWidth="1"/>
    <col min="11856" max="12033" width="19.42578125" style="108"/>
    <col min="12034" max="12036" width="11" style="108" customWidth="1"/>
    <col min="12037" max="12037" width="16.140625" style="108" customWidth="1"/>
    <col min="12038" max="12038" width="12.42578125" style="108" customWidth="1"/>
    <col min="12039" max="12039" width="14.28515625" style="108" customWidth="1"/>
    <col min="12040" max="12040" width="12" style="108" customWidth="1"/>
    <col min="12041" max="12041" width="16.7109375" style="108" customWidth="1"/>
    <col min="12042" max="12042" width="12" style="108" customWidth="1"/>
    <col min="12043" max="12043" width="16.28515625" style="108" customWidth="1"/>
    <col min="12044" max="12044" width="12.28515625" style="108" customWidth="1"/>
    <col min="12045" max="12045" width="17.42578125" style="108" customWidth="1"/>
    <col min="12046" max="12046" width="12" style="108" customWidth="1"/>
    <col min="12047" max="12047" width="16.5703125" style="108" customWidth="1"/>
    <col min="12048" max="12048" width="13.28515625" style="108" customWidth="1"/>
    <col min="12049" max="12049" width="16.5703125" style="108" customWidth="1"/>
    <col min="12050" max="12050" width="13.7109375" style="108" customWidth="1"/>
    <col min="12051" max="12051" width="15.7109375" style="108" customWidth="1"/>
    <col min="12052" max="12052" width="12.5703125" style="108" customWidth="1"/>
    <col min="12053" max="12053" width="19.140625" style="108" customWidth="1"/>
    <col min="12054" max="12054" width="12.28515625" style="108" customWidth="1"/>
    <col min="12055" max="12055" width="17.140625" style="108" customWidth="1"/>
    <col min="12056" max="12056" width="12.5703125" style="108" customWidth="1"/>
    <col min="12057" max="12057" width="17.7109375" style="108" customWidth="1"/>
    <col min="12058" max="12058" width="12.140625" style="108" customWidth="1"/>
    <col min="12059" max="12059" width="30.5703125" style="108" customWidth="1"/>
    <col min="12060" max="12063" width="8.140625" style="108" customWidth="1"/>
    <col min="12064" max="12064" width="9.42578125" style="108" customWidth="1"/>
    <col min="12065" max="12065" width="8.140625" style="108" customWidth="1"/>
    <col min="12066" max="12070" width="7.85546875" style="108" customWidth="1"/>
    <col min="12071" max="12071" width="11.28515625" style="108" customWidth="1"/>
    <col min="12072" max="12072" width="2.28515625" style="108" customWidth="1"/>
    <col min="12073" max="12073" width="19.42578125" style="108"/>
    <col min="12074" max="12099" width="11.28515625" style="108" customWidth="1"/>
    <col min="12100" max="12111" width="8.85546875" style="108" customWidth="1"/>
    <col min="12112" max="12289" width="19.42578125" style="108"/>
    <col min="12290" max="12292" width="11" style="108" customWidth="1"/>
    <col min="12293" max="12293" width="16.140625" style="108" customWidth="1"/>
    <col min="12294" max="12294" width="12.42578125" style="108" customWidth="1"/>
    <col min="12295" max="12295" width="14.28515625" style="108" customWidth="1"/>
    <col min="12296" max="12296" width="12" style="108" customWidth="1"/>
    <col min="12297" max="12297" width="16.7109375" style="108" customWidth="1"/>
    <col min="12298" max="12298" width="12" style="108" customWidth="1"/>
    <col min="12299" max="12299" width="16.28515625" style="108" customWidth="1"/>
    <col min="12300" max="12300" width="12.28515625" style="108" customWidth="1"/>
    <col min="12301" max="12301" width="17.42578125" style="108" customWidth="1"/>
    <col min="12302" max="12302" width="12" style="108" customWidth="1"/>
    <col min="12303" max="12303" width="16.5703125" style="108" customWidth="1"/>
    <col min="12304" max="12304" width="13.28515625" style="108" customWidth="1"/>
    <col min="12305" max="12305" width="16.5703125" style="108" customWidth="1"/>
    <col min="12306" max="12306" width="13.7109375" style="108" customWidth="1"/>
    <col min="12307" max="12307" width="15.7109375" style="108" customWidth="1"/>
    <col min="12308" max="12308" width="12.5703125" style="108" customWidth="1"/>
    <col min="12309" max="12309" width="19.140625" style="108" customWidth="1"/>
    <col min="12310" max="12310" width="12.28515625" style="108" customWidth="1"/>
    <col min="12311" max="12311" width="17.140625" style="108" customWidth="1"/>
    <col min="12312" max="12312" width="12.5703125" style="108" customWidth="1"/>
    <col min="12313" max="12313" width="17.7109375" style="108" customWidth="1"/>
    <col min="12314" max="12314" width="12.140625" style="108" customWidth="1"/>
    <col min="12315" max="12315" width="30.5703125" style="108" customWidth="1"/>
    <col min="12316" max="12319" width="8.140625" style="108" customWidth="1"/>
    <col min="12320" max="12320" width="9.42578125" style="108" customWidth="1"/>
    <col min="12321" max="12321" width="8.140625" style="108" customWidth="1"/>
    <col min="12322" max="12326" width="7.85546875" style="108" customWidth="1"/>
    <col min="12327" max="12327" width="11.28515625" style="108" customWidth="1"/>
    <col min="12328" max="12328" width="2.28515625" style="108" customWidth="1"/>
    <col min="12329" max="12329" width="19.42578125" style="108"/>
    <col min="12330" max="12355" width="11.28515625" style="108" customWidth="1"/>
    <col min="12356" max="12367" width="8.85546875" style="108" customWidth="1"/>
    <col min="12368" max="12545" width="19.42578125" style="108"/>
    <col min="12546" max="12548" width="11" style="108" customWidth="1"/>
    <col min="12549" max="12549" width="16.140625" style="108" customWidth="1"/>
    <col min="12550" max="12550" width="12.42578125" style="108" customWidth="1"/>
    <col min="12551" max="12551" width="14.28515625" style="108" customWidth="1"/>
    <col min="12552" max="12552" width="12" style="108" customWidth="1"/>
    <col min="12553" max="12553" width="16.7109375" style="108" customWidth="1"/>
    <col min="12554" max="12554" width="12" style="108" customWidth="1"/>
    <col min="12555" max="12555" width="16.28515625" style="108" customWidth="1"/>
    <col min="12556" max="12556" width="12.28515625" style="108" customWidth="1"/>
    <col min="12557" max="12557" width="17.42578125" style="108" customWidth="1"/>
    <col min="12558" max="12558" width="12" style="108" customWidth="1"/>
    <col min="12559" max="12559" width="16.5703125" style="108" customWidth="1"/>
    <col min="12560" max="12560" width="13.28515625" style="108" customWidth="1"/>
    <col min="12561" max="12561" width="16.5703125" style="108" customWidth="1"/>
    <col min="12562" max="12562" width="13.7109375" style="108" customWidth="1"/>
    <col min="12563" max="12563" width="15.7109375" style="108" customWidth="1"/>
    <col min="12564" max="12564" width="12.5703125" style="108" customWidth="1"/>
    <col min="12565" max="12565" width="19.140625" style="108" customWidth="1"/>
    <col min="12566" max="12566" width="12.28515625" style="108" customWidth="1"/>
    <col min="12567" max="12567" width="17.140625" style="108" customWidth="1"/>
    <col min="12568" max="12568" width="12.5703125" style="108" customWidth="1"/>
    <col min="12569" max="12569" width="17.7109375" style="108" customWidth="1"/>
    <col min="12570" max="12570" width="12.140625" style="108" customWidth="1"/>
    <col min="12571" max="12571" width="30.5703125" style="108" customWidth="1"/>
    <col min="12572" max="12575" width="8.140625" style="108" customWidth="1"/>
    <col min="12576" max="12576" width="9.42578125" style="108" customWidth="1"/>
    <col min="12577" max="12577" width="8.140625" style="108" customWidth="1"/>
    <col min="12578" max="12582" width="7.85546875" style="108" customWidth="1"/>
    <col min="12583" max="12583" width="11.28515625" style="108" customWidth="1"/>
    <col min="12584" max="12584" width="2.28515625" style="108" customWidth="1"/>
    <col min="12585" max="12585" width="19.42578125" style="108"/>
    <col min="12586" max="12611" width="11.28515625" style="108" customWidth="1"/>
    <col min="12612" max="12623" width="8.85546875" style="108" customWidth="1"/>
    <col min="12624" max="12801" width="19.42578125" style="108"/>
    <col min="12802" max="12804" width="11" style="108" customWidth="1"/>
    <col min="12805" max="12805" width="16.140625" style="108" customWidth="1"/>
    <col min="12806" max="12806" width="12.42578125" style="108" customWidth="1"/>
    <col min="12807" max="12807" width="14.28515625" style="108" customWidth="1"/>
    <col min="12808" max="12808" width="12" style="108" customWidth="1"/>
    <col min="12809" max="12809" width="16.7109375" style="108" customWidth="1"/>
    <col min="12810" max="12810" width="12" style="108" customWidth="1"/>
    <col min="12811" max="12811" width="16.28515625" style="108" customWidth="1"/>
    <col min="12812" max="12812" width="12.28515625" style="108" customWidth="1"/>
    <col min="12813" max="12813" width="17.42578125" style="108" customWidth="1"/>
    <col min="12814" max="12814" width="12" style="108" customWidth="1"/>
    <col min="12815" max="12815" width="16.5703125" style="108" customWidth="1"/>
    <col min="12816" max="12816" width="13.28515625" style="108" customWidth="1"/>
    <col min="12817" max="12817" width="16.5703125" style="108" customWidth="1"/>
    <col min="12818" max="12818" width="13.7109375" style="108" customWidth="1"/>
    <col min="12819" max="12819" width="15.7109375" style="108" customWidth="1"/>
    <col min="12820" max="12820" width="12.5703125" style="108" customWidth="1"/>
    <col min="12821" max="12821" width="19.140625" style="108" customWidth="1"/>
    <col min="12822" max="12822" width="12.28515625" style="108" customWidth="1"/>
    <col min="12823" max="12823" width="17.140625" style="108" customWidth="1"/>
    <col min="12824" max="12824" width="12.5703125" style="108" customWidth="1"/>
    <col min="12825" max="12825" width="17.7109375" style="108" customWidth="1"/>
    <col min="12826" max="12826" width="12.140625" style="108" customWidth="1"/>
    <col min="12827" max="12827" width="30.5703125" style="108" customWidth="1"/>
    <col min="12828" max="12831" width="8.140625" style="108" customWidth="1"/>
    <col min="12832" max="12832" width="9.42578125" style="108" customWidth="1"/>
    <col min="12833" max="12833" width="8.140625" style="108" customWidth="1"/>
    <col min="12834" max="12838" width="7.85546875" style="108" customWidth="1"/>
    <col min="12839" max="12839" width="11.28515625" style="108" customWidth="1"/>
    <col min="12840" max="12840" width="2.28515625" style="108" customWidth="1"/>
    <col min="12841" max="12841" width="19.42578125" style="108"/>
    <col min="12842" max="12867" width="11.28515625" style="108" customWidth="1"/>
    <col min="12868" max="12879" width="8.85546875" style="108" customWidth="1"/>
    <col min="12880" max="13057" width="19.42578125" style="108"/>
    <col min="13058" max="13060" width="11" style="108" customWidth="1"/>
    <col min="13061" max="13061" width="16.140625" style="108" customWidth="1"/>
    <col min="13062" max="13062" width="12.42578125" style="108" customWidth="1"/>
    <col min="13063" max="13063" width="14.28515625" style="108" customWidth="1"/>
    <col min="13064" max="13064" width="12" style="108" customWidth="1"/>
    <col min="13065" max="13065" width="16.7109375" style="108" customWidth="1"/>
    <col min="13066" max="13066" width="12" style="108" customWidth="1"/>
    <col min="13067" max="13067" width="16.28515625" style="108" customWidth="1"/>
    <col min="13068" max="13068" width="12.28515625" style="108" customWidth="1"/>
    <col min="13069" max="13069" width="17.42578125" style="108" customWidth="1"/>
    <col min="13070" max="13070" width="12" style="108" customWidth="1"/>
    <col min="13071" max="13071" width="16.5703125" style="108" customWidth="1"/>
    <col min="13072" max="13072" width="13.28515625" style="108" customWidth="1"/>
    <col min="13073" max="13073" width="16.5703125" style="108" customWidth="1"/>
    <col min="13074" max="13074" width="13.7109375" style="108" customWidth="1"/>
    <col min="13075" max="13075" width="15.7109375" style="108" customWidth="1"/>
    <col min="13076" max="13076" width="12.5703125" style="108" customWidth="1"/>
    <col min="13077" max="13077" width="19.140625" style="108" customWidth="1"/>
    <col min="13078" max="13078" width="12.28515625" style="108" customWidth="1"/>
    <col min="13079" max="13079" width="17.140625" style="108" customWidth="1"/>
    <col min="13080" max="13080" width="12.5703125" style="108" customWidth="1"/>
    <col min="13081" max="13081" width="17.7109375" style="108" customWidth="1"/>
    <col min="13082" max="13082" width="12.140625" style="108" customWidth="1"/>
    <col min="13083" max="13083" width="30.5703125" style="108" customWidth="1"/>
    <col min="13084" max="13087" width="8.140625" style="108" customWidth="1"/>
    <col min="13088" max="13088" width="9.42578125" style="108" customWidth="1"/>
    <col min="13089" max="13089" width="8.140625" style="108" customWidth="1"/>
    <col min="13090" max="13094" width="7.85546875" style="108" customWidth="1"/>
    <col min="13095" max="13095" width="11.28515625" style="108" customWidth="1"/>
    <col min="13096" max="13096" width="2.28515625" style="108" customWidth="1"/>
    <col min="13097" max="13097" width="19.42578125" style="108"/>
    <col min="13098" max="13123" width="11.28515625" style="108" customWidth="1"/>
    <col min="13124" max="13135" width="8.85546875" style="108" customWidth="1"/>
    <col min="13136" max="13313" width="19.42578125" style="108"/>
    <col min="13314" max="13316" width="11" style="108" customWidth="1"/>
    <col min="13317" max="13317" width="16.140625" style="108" customWidth="1"/>
    <col min="13318" max="13318" width="12.42578125" style="108" customWidth="1"/>
    <col min="13319" max="13319" width="14.28515625" style="108" customWidth="1"/>
    <col min="13320" max="13320" width="12" style="108" customWidth="1"/>
    <col min="13321" max="13321" width="16.7109375" style="108" customWidth="1"/>
    <col min="13322" max="13322" width="12" style="108" customWidth="1"/>
    <col min="13323" max="13323" width="16.28515625" style="108" customWidth="1"/>
    <col min="13324" max="13324" width="12.28515625" style="108" customWidth="1"/>
    <col min="13325" max="13325" width="17.42578125" style="108" customWidth="1"/>
    <col min="13326" max="13326" width="12" style="108" customWidth="1"/>
    <col min="13327" max="13327" width="16.5703125" style="108" customWidth="1"/>
    <col min="13328" max="13328" width="13.28515625" style="108" customWidth="1"/>
    <col min="13329" max="13329" width="16.5703125" style="108" customWidth="1"/>
    <col min="13330" max="13330" width="13.7109375" style="108" customWidth="1"/>
    <col min="13331" max="13331" width="15.7109375" style="108" customWidth="1"/>
    <col min="13332" max="13332" width="12.5703125" style="108" customWidth="1"/>
    <col min="13333" max="13333" width="19.140625" style="108" customWidth="1"/>
    <col min="13334" max="13334" width="12.28515625" style="108" customWidth="1"/>
    <col min="13335" max="13335" width="17.140625" style="108" customWidth="1"/>
    <col min="13336" max="13336" width="12.5703125" style="108" customWidth="1"/>
    <col min="13337" max="13337" width="17.7109375" style="108" customWidth="1"/>
    <col min="13338" max="13338" width="12.140625" style="108" customWidth="1"/>
    <col min="13339" max="13339" width="30.5703125" style="108" customWidth="1"/>
    <col min="13340" max="13343" width="8.140625" style="108" customWidth="1"/>
    <col min="13344" max="13344" width="9.42578125" style="108" customWidth="1"/>
    <col min="13345" max="13345" width="8.140625" style="108" customWidth="1"/>
    <col min="13346" max="13350" width="7.85546875" style="108" customWidth="1"/>
    <col min="13351" max="13351" width="11.28515625" style="108" customWidth="1"/>
    <col min="13352" max="13352" width="2.28515625" style="108" customWidth="1"/>
    <col min="13353" max="13353" width="19.42578125" style="108"/>
    <col min="13354" max="13379" width="11.28515625" style="108" customWidth="1"/>
    <col min="13380" max="13391" width="8.85546875" style="108" customWidth="1"/>
    <col min="13392" max="13569" width="19.42578125" style="108"/>
    <col min="13570" max="13572" width="11" style="108" customWidth="1"/>
    <col min="13573" max="13573" width="16.140625" style="108" customWidth="1"/>
    <col min="13574" max="13574" width="12.42578125" style="108" customWidth="1"/>
    <col min="13575" max="13575" width="14.28515625" style="108" customWidth="1"/>
    <col min="13576" max="13576" width="12" style="108" customWidth="1"/>
    <col min="13577" max="13577" width="16.7109375" style="108" customWidth="1"/>
    <col min="13578" max="13578" width="12" style="108" customWidth="1"/>
    <col min="13579" max="13579" width="16.28515625" style="108" customWidth="1"/>
    <col min="13580" max="13580" width="12.28515625" style="108" customWidth="1"/>
    <col min="13581" max="13581" width="17.42578125" style="108" customWidth="1"/>
    <col min="13582" max="13582" width="12" style="108" customWidth="1"/>
    <col min="13583" max="13583" width="16.5703125" style="108" customWidth="1"/>
    <col min="13584" max="13584" width="13.28515625" style="108" customWidth="1"/>
    <col min="13585" max="13585" width="16.5703125" style="108" customWidth="1"/>
    <col min="13586" max="13586" width="13.7109375" style="108" customWidth="1"/>
    <col min="13587" max="13587" width="15.7109375" style="108" customWidth="1"/>
    <col min="13588" max="13588" width="12.5703125" style="108" customWidth="1"/>
    <col min="13589" max="13589" width="19.140625" style="108" customWidth="1"/>
    <col min="13590" max="13590" width="12.28515625" style="108" customWidth="1"/>
    <col min="13591" max="13591" width="17.140625" style="108" customWidth="1"/>
    <col min="13592" max="13592" width="12.5703125" style="108" customWidth="1"/>
    <col min="13593" max="13593" width="17.7109375" style="108" customWidth="1"/>
    <col min="13594" max="13594" width="12.140625" style="108" customWidth="1"/>
    <col min="13595" max="13595" width="30.5703125" style="108" customWidth="1"/>
    <col min="13596" max="13599" width="8.140625" style="108" customWidth="1"/>
    <col min="13600" max="13600" width="9.42578125" style="108" customWidth="1"/>
    <col min="13601" max="13601" width="8.140625" style="108" customWidth="1"/>
    <col min="13602" max="13606" width="7.85546875" style="108" customWidth="1"/>
    <col min="13607" max="13607" width="11.28515625" style="108" customWidth="1"/>
    <col min="13608" max="13608" width="2.28515625" style="108" customWidth="1"/>
    <col min="13609" max="13609" width="19.42578125" style="108"/>
    <col min="13610" max="13635" width="11.28515625" style="108" customWidth="1"/>
    <col min="13636" max="13647" width="8.85546875" style="108" customWidth="1"/>
    <col min="13648" max="13825" width="19.42578125" style="108"/>
    <col min="13826" max="13828" width="11" style="108" customWidth="1"/>
    <col min="13829" max="13829" width="16.140625" style="108" customWidth="1"/>
    <col min="13830" max="13830" width="12.42578125" style="108" customWidth="1"/>
    <col min="13831" max="13831" width="14.28515625" style="108" customWidth="1"/>
    <col min="13832" max="13832" width="12" style="108" customWidth="1"/>
    <col min="13833" max="13833" width="16.7109375" style="108" customWidth="1"/>
    <col min="13834" max="13834" width="12" style="108" customWidth="1"/>
    <col min="13835" max="13835" width="16.28515625" style="108" customWidth="1"/>
    <col min="13836" max="13836" width="12.28515625" style="108" customWidth="1"/>
    <col min="13837" max="13837" width="17.42578125" style="108" customWidth="1"/>
    <col min="13838" max="13838" width="12" style="108" customWidth="1"/>
    <col min="13839" max="13839" width="16.5703125" style="108" customWidth="1"/>
    <col min="13840" max="13840" width="13.28515625" style="108" customWidth="1"/>
    <col min="13841" max="13841" width="16.5703125" style="108" customWidth="1"/>
    <col min="13842" max="13842" width="13.7109375" style="108" customWidth="1"/>
    <col min="13843" max="13843" width="15.7109375" style="108" customWidth="1"/>
    <col min="13844" max="13844" width="12.5703125" style="108" customWidth="1"/>
    <col min="13845" max="13845" width="19.140625" style="108" customWidth="1"/>
    <col min="13846" max="13846" width="12.28515625" style="108" customWidth="1"/>
    <col min="13847" max="13847" width="17.140625" style="108" customWidth="1"/>
    <col min="13848" max="13848" width="12.5703125" style="108" customWidth="1"/>
    <col min="13849" max="13849" width="17.7109375" style="108" customWidth="1"/>
    <col min="13850" max="13850" width="12.140625" style="108" customWidth="1"/>
    <col min="13851" max="13851" width="30.5703125" style="108" customWidth="1"/>
    <col min="13852" max="13855" width="8.140625" style="108" customWidth="1"/>
    <col min="13856" max="13856" width="9.42578125" style="108" customWidth="1"/>
    <col min="13857" max="13857" width="8.140625" style="108" customWidth="1"/>
    <col min="13858" max="13862" width="7.85546875" style="108" customWidth="1"/>
    <col min="13863" max="13863" width="11.28515625" style="108" customWidth="1"/>
    <col min="13864" max="13864" width="2.28515625" style="108" customWidth="1"/>
    <col min="13865" max="13865" width="19.42578125" style="108"/>
    <col min="13866" max="13891" width="11.28515625" style="108" customWidth="1"/>
    <col min="13892" max="13903" width="8.85546875" style="108" customWidth="1"/>
    <col min="13904" max="14081" width="19.42578125" style="108"/>
    <col min="14082" max="14084" width="11" style="108" customWidth="1"/>
    <col min="14085" max="14085" width="16.140625" style="108" customWidth="1"/>
    <col min="14086" max="14086" width="12.42578125" style="108" customWidth="1"/>
    <col min="14087" max="14087" width="14.28515625" style="108" customWidth="1"/>
    <col min="14088" max="14088" width="12" style="108" customWidth="1"/>
    <col min="14089" max="14089" width="16.7109375" style="108" customWidth="1"/>
    <col min="14090" max="14090" width="12" style="108" customWidth="1"/>
    <col min="14091" max="14091" width="16.28515625" style="108" customWidth="1"/>
    <col min="14092" max="14092" width="12.28515625" style="108" customWidth="1"/>
    <col min="14093" max="14093" width="17.42578125" style="108" customWidth="1"/>
    <col min="14094" max="14094" width="12" style="108" customWidth="1"/>
    <col min="14095" max="14095" width="16.5703125" style="108" customWidth="1"/>
    <col min="14096" max="14096" width="13.28515625" style="108" customWidth="1"/>
    <col min="14097" max="14097" width="16.5703125" style="108" customWidth="1"/>
    <col min="14098" max="14098" width="13.7109375" style="108" customWidth="1"/>
    <col min="14099" max="14099" width="15.7109375" style="108" customWidth="1"/>
    <col min="14100" max="14100" width="12.5703125" style="108" customWidth="1"/>
    <col min="14101" max="14101" width="19.140625" style="108" customWidth="1"/>
    <col min="14102" max="14102" width="12.28515625" style="108" customWidth="1"/>
    <col min="14103" max="14103" width="17.140625" style="108" customWidth="1"/>
    <col min="14104" max="14104" width="12.5703125" style="108" customWidth="1"/>
    <col min="14105" max="14105" width="17.7109375" style="108" customWidth="1"/>
    <col min="14106" max="14106" width="12.140625" style="108" customWidth="1"/>
    <col min="14107" max="14107" width="30.5703125" style="108" customWidth="1"/>
    <col min="14108" max="14111" width="8.140625" style="108" customWidth="1"/>
    <col min="14112" max="14112" width="9.42578125" style="108" customWidth="1"/>
    <col min="14113" max="14113" width="8.140625" style="108" customWidth="1"/>
    <col min="14114" max="14118" width="7.85546875" style="108" customWidth="1"/>
    <col min="14119" max="14119" width="11.28515625" style="108" customWidth="1"/>
    <col min="14120" max="14120" width="2.28515625" style="108" customWidth="1"/>
    <col min="14121" max="14121" width="19.42578125" style="108"/>
    <col min="14122" max="14147" width="11.28515625" style="108" customWidth="1"/>
    <col min="14148" max="14159" width="8.85546875" style="108" customWidth="1"/>
    <col min="14160" max="14337" width="19.42578125" style="108"/>
    <col min="14338" max="14340" width="11" style="108" customWidth="1"/>
    <col min="14341" max="14341" width="16.140625" style="108" customWidth="1"/>
    <col min="14342" max="14342" width="12.42578125" style="108" customWidth="1"/>
    <col min="14343" max="14343" width="14.28515625" style="108" customWidth="1"/>
    <col min="14344" max="14344" width="12" style="108" customWidth="1"/>
    <col min="14345" max="14345" width="16.7109375" style="108" customWidth="1"/>
    <col min="14346" max="14346" width="12" style="108" customWidth="1"/>
    <col min="14347" max="14347" width="16.28515625" style="108" customWidth="1"/>
    <col min="14348" max="14348" width="12.28515625" style="108" customWidth="1"/>
    <col min="14349" max="14349" width="17.42578125" style="108" customWidth="1"/>
    <col min="14350" max="14350" width="12" style="108" customWidth="1"/>
    <col min="14351" max="14351" width="16.5703125" style="108" customWidth="1"/>
    <col min="14352" max="14352" width="13.28515625" style="108" customWidth="1"/>
    <col min="14353" max="14353" width="16.5703125" style="108" customWidth="1"/>
    <col min="14354" max="14354" width="13.7109375" style="108" customWidth="1"/>
    <col min="14355" max="14355" width="15.7109375" style="108" customWidth="1"/>
    <col min="14356" max="14356" width="12.5703125" style="108" customWidth="1"/>
    <col min="14357" max="14357" width="19.140625" style="108" customWidth="1"/>
    <col min="14358" max="14358" width="12.28515625" style="108" customWidth="1"/>
    <col min="14359" max="14359" width="17.140625" style="108" customWidth="1"/>
    <col min="14360" max="14360" width="12.5703125" style="108" customWidth="1"/>
    <col min="14361" max="14361" width="17.7109375" style="108" customWidth="1"/>
    <col min="14362" max="14362" width="12.140625" style="108" customWidth="1"/>
    <col min="14363" max="14363" width="30.5703125" style="108" customWidth="1"/>
    <col min="14364" max="14367" width="8.140625" style="108" customWidth="1"/>
    <col min="14368" max="14368" width="9.42578125" style="108" customWidth="1"/>
    <col min="14369" max="14369" width="8.140625" style="108" customWidth="1"/>
    <col min="14370" max="14374" width="7.85546875" style="108" customWidth="1"/>
    <col min="14375" max="14375" width="11.28515625" style="108" customWidth="1"/>
    <col min="14376" max="14376" width="2.28515625" style="108" customWidth="1"/>
    <col min="14377" max="14377" width="19.42578125" style="108"/>
    <col min="14378" max="14403" width="11.28515625" style="108" customWidth="1"/>
    <col min="14404" max="14415" width="8.85546875" style="108" customWidth="1"/>
    <col min="14416" max="14593" width="19.42578125" style="108"/>
    <col min="14594" max="14596" width="11" style="108" customWidth="1"/>
    <col min="14597" max="14597" width="16.140625" style="108" customWidth="1"/>
    <col min="14598" max="14598" width="12.42578125" style="108" customWidth="1"/>
    <col min="14599" max="14599" width="14.28515625" style="108" customWidth="1"/>
    <col min="14600" max="14600" width="12" style="108" customWidth="1"/>
    <col min="14601" max="14601" width="16.7109375" style="108" customWidth="1"/>
    <col min="14602" max="14602" width="12" style="108" customWidth="1"/>
    <col min="14603" max="14603" width="16.28515625" style="108" customWidth="1"/>
    <col min="14604" max="14604" width="12.28515625" style="108" customWidth="1"/>
    <col min="14605" max="14605" width="17.42578125" style="108" customWidth="1"/>
    <col min="14606" max="14606" width="12" style="108" customWidth="1"/>
    <col min="14607" max="14607" width="16.5703125" style="108" customWidth="1"/>
    <col min="14608" max="14608" width="13.28515625" style="108" customWidth="1"/>
    <col min="14609" max="14609" width="16.5703125" style="108" customWidth="1"/>
    <col min="14610" max="14610" width="13.7109375" style="108" customWidth="1"/>
    <col min="14611" max="14611" width="15.7109375" style="108" customWidth="1"/>
    <col min="14612" max="14612" width="12.5703125" style="108" customWidth="1"/>
    <col min="14613" max="14613" width="19.140625" style="108" customWidth="1"/>
    <col min="14614" max="14614" width="12.28515625" style="108" customWidth="1"/>
    <col min="14615" max="14615" width="17.140625" style="108" customWidth="1"/>
    <col min="14616" max="14616" width="12.5703125" style="108" customWidth="1"/>
    <col min="14617" max="14617" width="17.7109375" style="108" customWidth="1"/>
    <col min="14618" max="14618" width="12.140625" style="108" customWidth="1"/>
    <col min="14619" max="14619" width="30.5703125" style="108" customWidth="1"/>
    <col min="14620" max="14623" width="8.140625" style="108" customWidth="1"/>
    <col min="14624" max="14624" width="9.42578125" style="108" customWidth="1"/>
    <col min="14625" max="14625" width="8.140625" style="108" customWidth="1"/>
    <col min="14626" max="14630" width="7.85546875" style="108" customWidth="1"/>
    <col min="14631" max="14631" width="11.28515625" style="108" customWidth="1"/>
    <col min="14632" max="14632" width="2.28515625" style="108" customWidth="1"/>
    <col min="14633" max="14633" width="19.42578125" style="108"/>
    <col min="14634" max="14659" width="11.28515625" style="108" customWidth="1"/>
    <col min="14660" max="14671" width="8.85546875" style="108" customWidth="1"/>
    <col min="14672" max="14849" width="19.42578125" style="108"/>
    <col min="14850" max="14852" width="11" style="108" customWidth="1"/>
    <col min="14853" max="14853" width="16.140625" style="108" customWidth="1"/>
    <col min="14854" max="14854" width="12.42578125" style="108" customWidth="1"/>
    <col min="14855" max="14855" width="14.28515625" style="108" customWidth="1"/>
    <col min="14856" max="14856" width="12" style="108" customWidth="1"/>
    <col min="14857" max="14857" width="16.7109375" style="108" customWidth="1"/>
    <col min="14858" max="14858" width="12" style="108" customWidth="1"/>
    <col min="14859" max="14859" width="16.28515625" style="108" customWidth="1"/>
    <col min="14860" max="14860" width="12.28515625" style="108" customWidth="1"/>
    <col min="14861" max="14861" width="17.42578125" style="108" customWidth="1"/>
    <col min="14862" max="14862" width="12" style="108" customWidth="1"/>
    <col min="14863" max="14863" width="16.5703125" style="108" customWidth="1"/>
    <col min="14864" max="14864" width="13.28515625" style="108" customWidth="1"/>
    <col min="14865" max="14865" width="16.5703125" style="108" customWidth="1"/>
    <col min="14866" max="14866" width="13.7109375" style="108" customWidth="1"/>
    <col min="14867" max="14867" width="15.7109375" style="108" customWidth="1"/>
    <col min="14868" max="14868" width="12.5703125" style="108" customWidth="1"/>
    <col min="14869" max="14869" width="19.140625" style="108" customWidth="1"/>
    <col min="14870" max="14870" width="12.28515625" style="108" customWidth="1"/>
    <col min="14871" max="14871" width="17.140625" style="108" customWidth="1"/>
    <col min="14872" max="14872" width="12.5703125" style="108" customWidth="1"/>
    <col min="14873" max="14873" width="17.7109375" style="108" customWidth="1"/>
    <col min="14874" max="14874" width="12.140625" style="108" customWidth="1"/>
    <col min="14875" max="14875" width="30.5703125" style="108" customWidth="1"/>
    <col min="14876" max="14879" width="8.140625" style="108" customWidth="1"/>
    <col min="14880" max="14880" width="9.42578125" style="108" customWidth="1"/>
    <col min="14881" max="14881" width="8.140625" style="108" customWidth="1"/>
    <col min="14882" max="14886" width="7.85546875" style="108" customWidth="1"/>
    <col min="14887" max="14887" width="11.28515625" style="108" customWidth="1"/>
    <col min="14888" max="14888" width="2.28515625" style="108" customWidth="1"/>
    <col min="14889" max="14889" width="19.42578125" style="108"/>
    <col min="14890" max="14915" width="11.28515625" style="108" customWidth="1"/>
    <col min="14916" max="14927" width="8.85546875" style="108" customWidth="1"/>
    <col min="14928" max="15105" width="19.42578125" style="108"/>
    <col min="15106" max="15108" width="11" style="108" customWidth="1"/>
    <col min="15109" max="15109" width="16.140625" style="108" customWidth="1"/>
    <col min="15110" max="15110" width="12.42578125" style="108" customWidth="1"/>
    <col min="15111" max="15111" width="14.28515625" style="108" customWidth="1"/>
    <col min="15112" max="15112" width="12" style="108" customWidth="1"/>
    <col min="15113" max="15113" width="16.7109375" style="108" customWidth="1"/>
    <col min="15114" max="15114" width="12" style="108" customWidth="1"/>
    <col min="15115" max="15115" width="16.28515625" style="108" customWidth="1"/>
    <col min="15116" max="15116" width="12.28515625" style="108" customWidth="1"/>
    <col min="15117" max="15117" width="17.42578125" style="108" customWidth="1"/>
    <col min="15118" max="15118" width="12" style="108" customWidth="1"/>
    <col min="15119" max="15119" width="16.5703125" style="108" customWidth="1"/>
    <col min="15120" max="15120" width="13.28515625" style="108" customWidth="1"/>
    <col min="15121" max="15121" width="16.5703125" style="108" customWidth="1"/>
    <col min="15122" max="15122" width="13.7109375" style="108" customWidth="1"/>
    <col min="15123" max="15123" width="15.7109375" style="108" customWidth="1"/>
    <col min="15124" max="15124" width="12.5703125" style="108" customWidth="1"/>
    <col min="15125" max="15125" width="19.140625" style="108" customWidth="1"/>
    <col min="15126" max="15126" width="12.28515625" style="108" customWidth="1"/>
    <col min="15127" max="15127" width="17.140625" style="108" customWidth="1"/>
    <col min="15128" max="15128" width="12.5703125" style="108" customWidth="1"/>
    <col min="15129" max="15129" width="17.7109375" style="108" customWidth="1"/>
    <col min="15130" max="15130" width="12.140625" style="108" customWidth="1"/>
    <col min="15131" max="15131" width="30.5703125" style="108" customWidth="1"/>
    <col min="15132" max="15135" width="8.140625" style="108" customWidth="1"/>
    <col min="15136" max="15136" width="9.42578125" style="108" customWidth="1"/>
    <col min="15137" max="15137" width="8.140625" style="108" customWidth="1"/>
    <col min="15138" max="15142" width="7.85546875" style="108" customWidth="1"/>
    <col min="15143" max="15143" width="11.28515625" style="108" customWidth="1"/>
    <col min="15144" max="15144" width="2.28515625" style="108" customWidth="1"/>
    <col min="15145" max="15145" width="19.42578125" style="108"/>
    <col min="15146" max="15171" width="11.28515625" style="108" customWidth="1"/>
    <col min="15172" max="15183" width="8.85546875" style="108" customWidth="1"/>
    <col min="15184" max="15361" width="19.42578125" style="108"/>
    <col min="15362" max="15364" width="11" style="108" customWidth="1"/>
    <col min="15365" max="15365" width="16.140625" style="108" customWidth="1"/>
    <col min="15366" max="15366" width="12.42578125" style="108" customWidth="1"/>
    <col min="15367" max="15367" width="14.28515625" style="108" customWidth="1"/>
    <col min="15368" max="15368" width="12" style="108" customWidth="1"/>
    <col min="15369" max="15369" width="16.7109375" style="108" customWidth="1"/>
    <col min="15370" max="15370" width="12" style="108" customWidth="1"/>
    <col min="15371" max="15371" width="16.28515625" style="108" customWidth="1"/>
    <col min="15372" max="15372" width="12.28515625" style="108" customWidth="1"/>
    <col min="15373" max="15373" width="17.42578125" style="108" customWidth="1"/>
    <col min="15374" max="15374" width="12" style="108" customWidth="1"/>
    <col min="15375" max="15375" width="16.5703125" style="108" customWidth="1"/>
    <col min="15376" max="15376" width="13.28515625" style="108" customWidth="1"/>
    <col min="15377" max="15377" width="16.5703125" style="108" customWidth="1"/>
    <col min="15378" max="15378" width="13.7109375" style="108" customWidth="1"/>
    <col min="15379" max="15379" width="15.7109375" style="108" customWidth="1"/>
    <col min="15380" max="15380" width="12.5703125" style="108" customWidth="1"/>
    <col min="15381" max="15381" width="19.140625" style="108" customWidth="1"/>
    <col min="15382" max="15382" width="12.28515625" style="108" customWidth="1"/>
    <col min="15383" max="15383" width="17.140625" style="108" customWidth="1"/>
    <col min="15384" max="15384" width="12.5703125" style="108" customWidth="1"/>
    <col min="15385" max="15385" width="17.7109375" style="108" customWidth="1"/>
    <col min="15386" max="15386" width="12.140625" style="108" customWidth="1"/>
    <col min="15387" max="15387" width="30.5703125" style="108" customWidth="1"/>
    <col min="15388" max="15391" width="8.140625" style="108" customWidth="1"/>
    <col min="15392" max="15392" width="9.42578125" style="108" customWidth="1"/>
    <col min="15393" max="15393" width="8.140625" style="108" customWidth="1"/>
    <col min="15394" max="15398" width="7.85546875" style="108" customWidth="1"/>
    <col min="15399" max="15399" width="11.28515625" style="108" customWidth="1"/>
    <col min="15400" max="15400" width="2.28515625" style="108" customWidth="1"/>
    <col min="15401" max="15401" width="19.42578125" style="108"/>
    <col min="15402" max="15427" width="11.28515625" style="108" customWidth="1"/>
    <col min="15428" max="15439" width="8.85546875" style="108" customWidth="1"/>
    <col min="15440" max="15617" width="19.42578125" style="108"/>
    <col min="15618" max="15620" width="11" style="108" customWidth="1"/>
    <col min="15621" max="15621" width="16.140625" style="108" customWidth="1"/>
    <col min="15622" max="15622" width="12.42578125" style="108" customWidth="1"/>
    <col min="15623" max="15623" width="14.28515625" style="108" customWidth="1"/>
    <col min="15624" max="15624" width="12" style="108" customWidth="1"/>
    <col min="15625" max="15625" width="16.7109375" style="108" customWidth="1"/>
    <col min="15626" max="15626" width="12" style="108" customWidth="1"/>
    <col min="15627" max="15627" width="16.28515625" style="108" customWidth="1"/>
    <col min="15628" max="15628" width="12.28515625" style="108" customWidth="1"/>
    <col min="15629" max="15629" width="17.42578125" style="108" customWidth="1"/>
    <col min="15630" max="15630" width="12" style="108" customWidth="1"/>
    <col min="15631" max="15631" width="16.5703125" style="108" customWidth="1"/>
    <col min="15632" max="15632" width="13.28515625" style="108" customWidth="1"/>
    <col min="15633" max="15633" width="16.5703125" style="108" customWidth="1"/>
    <col min="15634" max="15634" width="13.7109375" style="108" customWidth="1"/>
    <col min="15635" max="15635" width="15.7109375" style="108" customWidth="1"/>
    <col min="15636" max="15636" width="12.5703125" style="108" customWidth="1"/>
    <col min="15637" max="15637" width="19.140625" style="108" customWidth="1"/>
    <col min="15638" max="15638" width="12.28515625" style="108" customWidth="1"/>
    <col min="15639" max="15639" width="17.140625" style="108" customWidth="1"/>
    <col min="15640" max="15640" width="12.5703125" style="108" customWidth="1"/>
    <col min="15641" max="15641" width="17.7109375" style="108" customWidth="1"/>
    <col min="15642" max="15642" width="12.140625" style="108" customWidth="1"/>
    <col min="15643" max="15643" width="30.5703125" style="108" customWidth="1"/>
    <col min="15644" max="15647" width="8.140625" style="108" customWidth="1"/>
    <col min="15648" max="15648" width="9.42578125" style="108" customWidth="1"/>
    <col min="15649" max="15649" width="8.140625" style="108" customWidth="1"/>
    <col min="15650" max="15654" width="7.85546875" style="108" customWidth="1"/>
    <col min="15655" max="15655" width="11.28515625" style="108" customWidth="1"/>
    <col min="15656" max="15656" width="2.28515625" style="108" customWidth="1"/>
    <col min="15657" max="15657" width="19.42578125" style="108"/>
    <col min="15658" max="15683" width="11.28515625" style="108" customWidth="1"/>
    <col min="15684" max="15695" width="8.85546875" style="108" customWidth="1"/>
    <col min="15696" max="15873" width="19.42578125" style="108"/>
    <col min="15874" max="15876" width="11" style="108" customWidth="1"/>
    <col min="15877" max="15877" width="16.140625" style="108" customWidth="1"/>
    <col min="15878" max="15878" width="12.42578125" style="108" customWidth="1"/>
    <col min="15879" max="15879" width="14.28515625" style="108" customWidth="1"/>
    <col min="15880" max="15880" width="12" style="108" customWidth="1"/>
    <col min="15881" max="15881" width="16.7109375" style="108" customWidth="1"/>
    <col min="15882" max="15882" width="12" style="108" customWidth="1"/>
    <col min="15883" max="15883" width="16.28515625" style="108" customWidth="1"/>
    <col min="15884" max="15884" width="12.28515625" style="108" customWidth="1"/>
    <col min="15885" max="15885" width="17.42578125" style="108" customWidth="1"/>
    <col min="15886" max="15886" width="12" style="108" customWidth="1"/>
    <col min="15887" max="15887" width="16.5703125" style="108" customWidth="1"/>
    <col min="15888" max="15888" width="13.28515625" style="108" customWidth="1"/>
    <col min="15889" max="15889" width="16.5703125" style="108" customWidth="1"/>
    <col min="15890" max="15890" width="13.7109375" style="108" customWidth="1"/>
    <col min="15891" max="15891" width="15.7109375" style="108" customWidth="1"/>
    <col min="15892" max="15892" width="12.5703125" style="108" customWidth="1"/>
    <col min="15893" max="15893" width="19.140625" style="108" customWidth="1"/>
    <col min="15894" max="15894" width="12.28515625" style="108" customWidth="1"/>
    <col min="15895" max="15895" width="17.140625" style="108" customWidth="1"/>
    <col min="15896" max="15896" width="12.5703125" style="108" customWidth="1"/>
    <col min="15897" max="15897" width="17.7109375" style="108" customWidth="1"/>
    <col min="15898" max="15898" width="12.140625" style="108" customWidth="1"/>
    <col min="15899" max="15899" width="30.5703125" style="108" customWidth="1"/>
    <col min="15900" max="15903" width="8.140625" style="108" customWidth="1"/>
    <col min="15904" max="15904" width="9.42578125" style="108" customWidth="1"/>
    <col min="15905" max="15905" width="8.140625" style="108" customWidth="1"/>
    <col min="15906" max="15910" width="7.85546875" style="108" customWidth="1"/>
    <col min="15911" max="15911" width="11.28515625" style="108" customWidth="1"/>
    <col min="15912" max="15912" width="2.28515625" style="108" customWidth="1"/>
    <col min="15913" max="15913" width="19.42578125" style="108"/>
    <col min="15914" max="15939" width="11.28515625" style="108" customWidth="1"/>
    <col min="15940" max="15951" width="8.85546875" style="108" customWidth="1"/>
    <col min="15952" max="16129" width="19.42578125" style="108"/>
    <col min="16130" max="16132" width="11" style="108" customWidth="1"/>
    <col min="16133" max="16133" width="16.140625" style="108" customWidth="1"/>
    <col min="16134" max="16134" width="12.42578125" style="108" customWidth="1"/>
    <col min="16135" max="16135" width="14.28515625" style="108" customWidth="1"/>
    <col min="16136" max="16136" width="12" style="108" customWidth="1"/>
    <col min="16137" max="16137" width="16.7109375" style="108" customWidth="1"/>
    <col min="16138" max="16138" width="12" style="108" customWidth="1"/>
    <col min="16139" max="16139" width="16.28515625" style="108" customWidth="1"/>
    <col min="16140" max="16140" width="12.28515625" style="108" customWidth="1"/>
    <col min="16141" max="16141" width="17.42578125" style="108" customWidth="1"/>
    <col min="16142" max="16142" width="12" style="108" customWidth="1"/>
    <col min="16143" max="16143" width="16.5703125" style="108" customWidth="1"/>
    <col min="16144" max="16144" width="13.28515625" style="108" customWidth="1"/>
    <col min="16145" max="16145" width="16.5703125" style="108" customWidth="1"/>
    <col min="16146" max="16146" width="13.7109375" style="108" customWidth="1"/>
    <col min="16147" max="16147" width="15.7109375" style="108" customWidth="1"/>
    <col min="16148" max="16148" width="12.5703125" style="108" customWidth="1"/>
    <col min="16149" max="16149" width="19.140625" style="108" customWidth="1"/>
    <col min="16150" max="16150" width="12.28515625" style="108" customWidth="1"/>
    <col min="16151" max="16151" width="17.140625" style="108" customWidth="1"/>
    <col min="16152" max="16152" width="12.5703125" style="108" customWidth="1"/>
    <col min="16153" max="16153" width="17.7109375" style="108" customWidth="1"/>
    <col min="16154" max="16154" width="12.140625" style="108" customWidth="1"/>
    <col min="16155" max="16155" width="30.5703125" style="108" customWidth="1"/>
    <col min="16156" max="16159" width="8.140625" style="108" customWidth="1"/>
    <col min="16160" max="16160" width="9.42578125" style="108" customWidth="1"/>
    <col min="16161" max="16161" width="8.140625" style="108" customWidth="1"/>
    <col min="16162" max="16166" width="7.85546875" style="108" customWidth="1"/>
    <col min="16167" max="16167" width="11.28515625" style="108" customWidth="1"/>
    <col min="16168" max="16168" width="2.28515625" style="108" customWidth="1"/>
    <col min="16169" max="16169" width="19.42578125" style="108"/>
    <col min="16170" max="16195" width="11.28515625" style="108" customWidth="1"/>
    <col min="16196" max="16207" width="8.85546875" style="108" customWidth="1"/>
    <col min="16208" max="16384" width="19.42578125" style="108"/>
  </cols>
  <sheetData>
    <row r="1" spans="1:79" ht="15.95" customHeight="1">
      <c r="A1" s="1053" t="s">
        <v>0</v>
      </c>
      <c r="B1" s="1053"/>
      <c r="C1" s="1053"/>
      <c r="D1" s="1053"/>
      <c r="E1" s="1053"/>
      <c r="F1" s="1053"/>
      <c r="G1" s="1053"/>
      <c r="H1" s="1053"/>
      <c r="I1" s="1053"/>
      <c r="J1" s="1053"/>
      <c r="K1" s="1053"/>
      <c r="L1" s="1053"/>
      <c r="M1" s="1053"/>
      <c r="N1" s="1053"/>
      <c r="O1" s="1053"/>
      <c r="P1" s="1053"/>
      <c r="Q1" s="1053"/>
      <c r="R1" s="1053"/>
      <c r="S1" s="1053"/>
      <c r="T1" s="1053"/>
      <c r="U1" s="1053"/>
      <c r="V1" s="1053"/>
      <c r="W1" s="1053"/>
      <c r="X1" s="1053"/>
      <c r="Y1" s="1053"/>
      <c r="Z1" s="1053"/>
      <c r="AA1" s="1053"/>
      <c r="AB1" s="1053"/>
      <c r="AC1" s="1053"/>
      <c r="AD1" s="1053"/>
      <c r="AE1" s="1053"/>
      <c r="AF1" s="1053"/>
      <c r="AG1" s="1053"/>
      <c r="AH1" s="1053"/>
      <c r="AI1" s="1053"/>
      <c r="AJ1" s="1053"/>
      <c r="AK1" s="1053"/>
      <c r="AL1" s="1053"/>
      <c r="AM1" s="1053"/>
      <c r="AN1" s="1053"/>
      <c r="AO1" s="1053"/>
      <c r="AP1" s="1053"/>
      <c r="AQ1" s="1053"/>
      <c r="AR1" s="1053"/>
      <c r="AS1" s="1053"/>
      <c r="AT1" s="1053"/>
      <c r="AU1" s="1053"/>
      <c r="AV1" s="1053"/>
      <c r="AW1" s="1053"/>
      <c r="AX1" s="1053"/>
      <c r="AY1" s="1053"/>
      <c r="AZ1" s="1053"/>
      <c r="BA1" s="1053"/>
      <c r="BB1" s="1053"/>
      <c r="BC1" s="1053"/>
      <c r="BD1" s="1053"/>
      <c r="BE1" s="1053"/>
      <c r="BF1" s="1053"/>
      <c r="BG1" s="1053"/>
      <c r="BH1" s="1053"/>
      <c r="BI1" s="1053"/>
      <c r="BJ1" s="1053"/>
      <c r="BK1" s="1053"/>
      <c r="BL1" s="1053"/>
      <c r="BM1" s="1053"/>
      <c r="BN1" s="1053"/>
      <c r="BO1" s="1053"/>
      <c r="BP1" s="1053"/>
      <c r="BQ1" s="1053"/>
      <c r="BR1" s="1053"/>
      <c r="BS1" s="1053"/>
      <c r="BT1" s="1053"/>
      <c r="BU1" s="1053"/>
      <c r="BV1" s="1053"/>
      <c r="BW1" s="1053"/>
      <c r="BX1" s="1053"/>
      <c r="BY1" s="1054" t="s">
        <v>1</v>
      </c>
      <c r="BZ1" s="1054"/>
      <c r="CA1" s="1054"/>
    </row>
    <row r="2" spans="1:79" ht="15.95" customHeight="1">
      <c r="A2" s="1053" t="s">
        <v>2</v>
      </c>
      <c r="B2" s="1053"/>
      <c r="C2" s="1053"/>
      <c r="D2" s="1053"/>
      <c r="E2" s="1053"/>
      <c r="F2" s="1053"/>
      <c r="G2" s="1053"/>
      <c r="H2" s="1053"/>
      <c r="I2" s="1053"/>
      <c r="J2" s="1053"/>
      <c r="K2" s="1053"/>
      <c r="L2" s="1053"/>
      <c r="M2" s="1053"/>
      <c r="N2" s="1053"/>
      <c r="O2" s="1053"/>
      <c r="P2" s="1053"/>
      <c r="Q2" s="1053"/>
      <c r="R2" s="1053"/>
      <c r="S2" s="1053"/>
      <c r="T2" s="1053"/>
      <c r="U2" s="1053"/>
      <c r="V2" s="1053"/>
      <c r="W2" s="1053"/>
      <c r="X2" s="1053"/>
      <c r="Y2" s="1053"/>
      <c r="Z2" s="1053"/>
      <c r="AA2" s="1053"/>
      <c r="AB2" s="1053"/>
      <c r="AC2" s="1053"/>
      <c r="AD2" s="1053"/>
      <c r="AE2" s="1053"/>
      <c r="AF2" s="1053"/>
      <c r="AG2" s="1053"/>
      <c r="AH2" s="1053"/>
      <c r="AI2" s="1053"/>
      <c r="AJ2" s="1053"/>
      <c r="AK2" s="1053"/>
      <c r="AL2" s="1053"/>
      <c r="AM2" s="1053"/>
      <c r="AN2" s="1053"/>
      <c r="AO2" s="1053"/>
      <c r="AP2" s="1053"/>
      <c r="AQ2" s="1053"/>
      <c r="AR2" s="1053"/>
      <c r="AS2" s="1053"/>
      <c r="AT2" s="1053"/>
      <c r="AU2" s="1053"/>
      <c r="AV2" s="1053"/>
      <c r="AW2" s="1053"/>
      <c r="AX2" s="1053"/>
      <c r="AY2" s="1053"/>
      <c r="AZ2" s="1053"/>
      <c r="BA2" s="1053"/>
      <c r="BB2" s="1053"/>
      <c r="BC2" s="1053"/>
      <c r="BD2" s="1053"/>
      <c r="BE2" s="1053"/>
      <c r="BF2" s="1053"/>
      <c r="BG2" s="1053"/>
      <c r="BH2" s="1053"/>
      <c r="BI2" s="1053"/>
      <c r="BJ2" s="1053"/>
      <c r="BK2" s="1053"/>
      <c r="BL2" s="1053"/>
      <c r="BM2" s="1053"/>
      <c r="BN2" s="1053"/>
      <c r="BO2" s="1053"/>
      <c r="BP2" s="1053"/>
      <c r="BQ2" s="1053"/>
      <c r="BR2" s="1053"/>
      <c r="BS2" s="1053"/>
      <c r="BT2" s="1053"/>
      <c r="BU2" s="1053"/>
      <c r="BV2" s="1053"/>
      <c r="BW2" s="1053"/>
      <c r="BX2" s="1053"/>
      <c r="BY2" s="1054" t="s">
        <v>3</v>
      </c>
      <c r="BZ2" s="1054"/>
      <c r="CA2" s="1054"/>
    </row>
    <row r="3" spans="1:79" ht="26.1" customHeight="1">
      <c r="A3" s="1053" t="s">
        <v>222</v>
      </c>
      <c r="B3" s="1053"/>
      <c r="C3" s="1053"/>
      <c r="D3" s="1053"/>
      <c r="E3" s="1053"/>
      <c r="F3" s="1053"/>
      <c r="G3" s="1053"/>
      <c r="H3" s="1053"/>
      <c r="I3" s="1053"/>
      <c r="J3" s="1053"/>
      <c r="K3" s="1053"/>
      <c r="L3" s="1053"/>
      <c r="M3" s="1053"/>
      <c r="N3" s="1053"/>
      <c r="O3" s="1053"/>
      <c r="P3" s="1053"/>
      <c r="Q3" s="1053"/>
      <c r="R3" s="1053"/>
      <c r="S3" s="1053"/>
      <c r="T3" s="1053"/>
      <c r="U3" s="1053"/>
      <c r="V3" s="1053"/>
      <c r="W3" s="1053"/>
      <c r="X3" s="1053"/>
      <c r="Y3" s="1053"/>
      <c r="Z3" s="1053"/>
      <c r="AA3" s="1053"/>
      <c r="AB3" s="1053"/>
      <c r="AC3" s="1053"/>
      <c r="AD3" s="1053"/>
      <c r="AE3" s="1053"/>
      <c r="AF3" s="1053"/>
      <c r="AG3" s="1053"/>
      <c r="AH3" s="1053"/>
      <c r="AI3" s="1053"/>
      <c r="AJ3" s="1053"/>
      <c r="AK3" s="1053"/>
      <c r="AL3" s="1053"/>
      <c r="AM3" s="1053"/>
      <c r="AN3" s="1053"/>
      <c r="AO3" s="1053"/>
      <c r="AP3" s="1053"/>
      <c r="AQ3" s="1053"/>
      <c r="AR3" s="1053"/>
      <c r="AS3" s="1053"/>
      <c r="AT3" s="1053"/>
      <c r="AU3" s="1053"/>
      <c r="AV3" s="1053"/>
      <c r="AW3" s="1053"/>
      <c r="AX3" s="1053"/>
      <c r="AY3" s="1053"/>
      <c r="AZ3" s="1053"/>
      <c r="BA3" s="1053"/>
      <c r="BB3" s="1053"/>
      <c r="BC3" s="1053"/>
      <c r="BD3" s="1053"/>
      <c r="BE3" s="1053"/>
      <c r="BF3" s="1053"/>
      <c r="BG3" s="1053"/>
      <c r="BH3" s="1053"/>
      <c r="BI3" s="1053"/>
      <c r="BJ3" s="1053"/>
      <c r="BK3" s="1053"/>
      <c r="BL3" s="1053"/>
      <c r="BM3" s="1053"/>
      <c r="BN3" s="1053"/>
      <c r="BO3" s="1053"/>
      <c r="BP3" s="1053"/>
      <c r="BQ3" s="1053"/>
      <c r="BR3" s="1053"/>
      <c r="BS3" s="1053"/>
      <c r="BT3" s="1053"/>
      <c r="BU3" s="1053"/>
      <c r="BV3" s="1053"/>
      <c r="BW3" s="1053"/>
      <c r="BX3" s="1053"/>
      <c r="BY3" s="1054" t="s">
        <v>5</v>
      </c>
      <c r="BZ3" s="1054"/>
      <c r="CA3" s="1054"/>
    </row>
    <row r="4" spans="1:79" ht="15.95" customHeight="1">
      <c r="A4" s="1053" t="s">
        <v>223</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c r="AK4" s="1053"/>
      <c r="AL4" s="1053"/>
      <c r="AM4" s="1053"/>
      <c r="AN4" s="1053"/>
      <c r="AO4" s="1053"/>
      <c r="AP4" s="1053"/>
      <c r="AQ4" s="1053"/>
      <c r="AR4" s="1053"/>
      <c r="AS4" s="1053"/>
      <c r="AT4" s="1053"/>
      <c r="AU4" s="1053"/>
      <c r="AV4" s="1053"/>
      <c r="AW4" s="1053"/>
      <c r="AX4" s="1053"/>
      <c r="AY4" s="1053"/>
      <c r="AZ4" s="1053"/>
      <c r="BA4" s="1053"/>
      <c r="BB4" s="1053"/>
      <c r="BC4" s="1053"/>
      <c r="BD4" s="1053"/>
      <c r="BE4" s="1053"/>
      <c r="BF4" s="1053"/>
      <c r="BG4" s="1053"/>
      <c r="BH4" s="1053"/>
      <c r="BI4" s="1053"/>
      <c r="BJ4" s="1053"/>
      <c r="BK4" s="1053"/>
      <c r="BL4" s="1053"/>
      <c r="BM4" s="1053"/>
      <c r="BN4" s="1053"/>
      <c r="BO4" s="1053"/>
      <c r="BP4" s="1053"/>
      <c r="BQ4" s="1053"/>
      <c r="BR4" s="1053"/>
      <c r="BS4" s="1053"/>
      <c r="BT4" s="1053"/>
      <c r="BU4" s="1053"/>
      <c r="BV4" s="1053"/>
      <c r="BW4" s="1053"/>
      <c r="BX4" s="1053"/>
      <c r="BY4" s="1055" t="s">
        <v>224</v>
      </c>
      <c r="BZ4" s="1056"/>
      <c r="CA4" s="1057"/>
    </row>
    <row r="5" spans="1:79" ht="26.1" customHeight="1">
      <c r="A5" s="1058" t="s">
        <v>122</v>
      </c>
      <c r="B5" s="1058"/>
      <c r="C5" s="1058"/>
      <c r="D5" s="1058"/>
      <c r="E5" s="1058"/>
      <c r="F5" s="1058"/>
      <c r="G5" s="1058"/>
      <c r="H5" s="1058"/>
      <c r="I5" s="1058"/>
      <c r="J5" s="1058"/>
      <c r="K5" s="1058"/>
      <c r="L5" s="1058"/>
      <c r="M5" s="1058"/>
      <c r="N5" s="1058"/>
      <c r="O5" s="1058"/>
      <c r="P5" s="1058"/>
      <c r="Q5" s="1058"/>
      <c r="R5" s="1058"/>
      <c r="S5" s="1058"/>
      <c r="T5" s="1058"/>
      <c r="U5" s="1058"/>
      <c r="V5" s="1058"/>
      <c r="W5" s="1058"/>
      <c r="X5" s="1058"/>
      <c r="Y5" s="1058"/>
      <c r="Z5" s="1058"/>
      <c r="AA5" s="1058"/>
      <c r="AB5" s="1058"/>
      <c r="AC5" s="1058"/>
      <c r="AD5" s="1058"/>
      <c r="AE5" s="1058"/>
      <c r="AF5" s="1058"/>
      <c r="AG5" s="1058"/>
      <c r="AH5" s="1058"/>
      <c r="AI5" s="1058"/>
      <c r="AJ5" s="1058"/>
      <c r="AK5" s="1058"/>
      <c r="AL5" s="1058"/>
      <c r="AM5" s="1058"/>
      <c r="AO5" s="1058" t="s">
        <v>225</v>
      </c>
      <c r="AP5" s="1058"/>
      <c r="AQ5" s="1058"/>
      <c r="AR5" s="1058"/>
      <c r="AS5" s="1058"/>
      <c r="AT5" s="1058"/>
      <c r="AU5" s="1058"/>
      <c r="AV5" s="1058"/>
      <c r="AW5" s="1058"/>
      <c r="AX5" s="1058"/>
      <c r="AY5" s="1058"/>
      <c r="AZ5" s="1058"/>
      <c r="BA5" s="1058"/>
      <c r="BB5" s="1058"/>
      <c r="BC5" s="1058"/>
      <c r="BD5" s="1058"/>
      <c r="BE5" s="1058"/>
      <c r="BF5" s="1058"/>
      <c r="BG5" s="1058"/>
      <c r="BH5" s="1058"/>
      <c r="BI5" s="1058"/>
      <c r="BJ5" s="1058"/>
      <c r="BK5" s="1058"/>
      <c r="BL5" s="1058"/>
      <c r="BM5" s="1058"/>
      <c r="BN5" s="1058"/>
      <c r="BO5" s="1058"/>
      <c r="BP5" s="1058"/>
      <c r="BQ5" s="1058"/>
      <c r="BR5" s="1058"/>
      <c r="BS5" s="1058"/>
      <c r="BT5" s="1058"/>
      <c r="BU5" s="1058"/>
      <c r="BV5" s="1058"/>
      <c r="BW5" s="1058"/>
      <c r="BX5" s="1058"/>
      <c r="BY5" s="1059"/>
      <c r="BZ5" s="1059"/>
      <c r="CA5" s="1059"/>
    </row>
    <row r="6" spans="1:79" ht="28.5">
      <c r="A6" s="150" t="s">
        <v>226</v>
      </c>
      <c r="B6" s="1060" t="s">
        <v>530</v>
      </c>
      <c r="C6" s="1060"/>
      <c r="D6" s="1060"/>
      <c r="E6" s="1060"/>
      <c r="F6" s="1060"/>
      <c r="G6" s="1060"/>
      <c r="H6" s="1060"/>
      <c r="I6" s="1060"/>
      <c r="J6" s="1060"/>
      <c r="K6" s="1060"/>
      <c r="L6" s="1060"/>
      <c r="M6" s="1060"/>
      <c r="N6" s="1060"/>
      <c r="O6" s="1060"/>
      <c r="P6" s="1060"/>
      <c r="Q6" s="1060"/>
      <c r="R6" s="1060"/>
      <c r="S6" s="1060"/>
      <c r="T6" s="1060"/>
      <c r="U6" s="1060"/>
      <c r="V6" s="1060"/>
      <c r="W6" s="1060"/>
      <c r="X6" s="1060"/>
      <c r="Y6" s="1060"/>
      <c r="Z6" s="1060"/>
      <c r="AA6" s="1060"/>
      <c r="AB6" s="1060"/>
      <c r="AC6" s="1060"/>
      <c r="AD6" s="1060"/>
      <c r="AE6" s="1060"/>
      <c r="AF6" s="1060"/>
      <c r="AG6" s="1060"/>
      <c r="AH6" s="1060"/>
      <c r="AI6" s="1060"/>
      <c r="AJ6" s="1060"/>
      <c r="AK6" s="1060"/>
      <c r="AL6" s="1060"/>
      <c r="AM6" s="1060"/>
      <c r="AN6" s="1060"/>
      <c r="AO6" s="1060"/>
      <c r="AP6" s="1060"/>
      <c r="AQ6" s="1060"/>
      <c r="AR6" s="1060"/>
      <c r="AS6" s="1060"/>
      <c r="AT6" s="1060"/>
      <c r="AU6" s="1060"/>
      <c r="AV6" s="1060"/>
      <c r="AW6" s="1060"/>
      <c r="AX6" s="1060"/>
      <c r="AY6" s="1060"/>
      <c r="AZ6" s="1060"/>
      <c r="BA6" s="1060"/>
      <c r="BB6" s="1060"/>
      <c r="BC6" s="1060"/>
      <c r="BD6" s="1060"/>
      <c r="BE6" s="1060"/>
      <c r="BF6" s="1060"/>
      <c r="BG6" s="1060"/>
      <c r="BH6" s="1060"/>
      <c r="BI6" s="1060"/>
      <c r="BJ6" s="1060"/>
      <c r="BK6" s="1060"/>
      <c r="BL6" s="1060"/>
      <c r="BM6" s="1060"/>
      <c r="BN6" s="1060"/>
      <c r="BO6" s="1060"/>
      <c r="BP6" s="1060"/>
      <c r="BQ6" s="1060"/>
      <c r="BR6" s="1060"/>
      <c r="BS6" s="1060"/>
      <c r="BT6" s="1060"/>
      <c r="BU6" s="1060"/>
      <c r="BV6" s="1060"/>
      <c r="BW6" s="1060"/>
      <c r="BX6" s="1060"/>
      <c r="BY6" s="1060"/>
      <c r="BZ6" s="1060"/>
      <c r="CA6" s="1060"/>
    </row>
    <row r="7" spans="1:79" ht="29.1" customHeight="1">
      <c r="A7" s="151" t="s">
        <v>227</v>
      </c>
      <c r="B7" s="1051" t="s">
        <v>23</v>
      </c>
      <c r="C7" s="1052"/>
      <c r="D7" s="1052"/>
      <c r="E7" s="1052"/>
      <c r="F7" s="1052"/>
      <c r="G7" s="1052"/>
      <c r="H7" s="1052"/>
      <c r="I7" s="1052"/>
      <c r="J7" s="1052"/>
      <c r="K7" s="1052"/>
      <c r="L7" s="1052"/>
      <c r="M7" s="1052"/>
      <c r="N7" s="1052"/>
      <c r="O7" s="1052"/>
      <c r="P7" s="1052"/>
      <c r="Q7" s="1052"/>
      <c r="R7" s="1052"/>
      <c r="S7" s="1052"/>
      <c r="T7" s="1052"/>
      <c r="U7" s="1052"/>
      <c r="V7" s="1052"/>
      <c r="W7" s="1052"/>
      <c r="X7" s="1052"/>
      <c r="Y7" s="1052"/>
      <c r="Z7" s="1052"/>
      <c r="AA7" s="1052"/>
      <c r="AB7" s="1052"/>
      <c r="AC7" s="1052"/>
      <c r="AD7" s="1052"/>
      <c r="AE7" s="1052"/>
      <c r="AF7" s="1052"/>
      <c r="AG7" s="1052"/>
      <c r="AH7" s="1052"/>
      <c r="AI7" s="1052"/>
      <c r="AJ7" s="1052"/>
      <c r="AK7" s="1052"/>
      <c r="AL7" s="1052"/>
      <c r="AM7" s="1052"/>
      <c r="AN7" s="1052"/>
      <c r="AO7" s="1052"/>
      <c r="AP7" s="1052"/>
      <c r="AQ7" s="1052"/>
      <c r="AR7" s="1052"/>
      <c r="AS7" s="1052"/>
      <c r="AT7" s="1052"/>
      <c r="AU7" s="1052"/>
      <c r="AV7" s="1052"/>
      <c r="AW7" s="1052"/>
      <c r="AX7" s="1052"/>
      <c r="AY7" s="1052"/>
      <c r="AZ7" s="1052"/>
      <c r="BA7" s="1052"/>
      <c r="BB7" s="1052"/>
      <c r="BC7" s="1052"/>
      <c r="BD7" s="1052"/>
      <c r="BE7" s="1052"/>
      <c r="BF7" s="1052"/>
      <c r="BG7" s="1052"/>
      <c r="BH7" s="1052"/>
      <c r="BI7" s="1052"/>
      <c r="BJ7" s="1052"/>
      <c r="BK7" s="1052"/>
      <c r="BL7" s="1052"/>
      <c r="BM7" s="1052"/>
      <c r="BN7" s="1052"/>
      <c r="BO7" s="1052"/>
      <c r="BP7" s="1052"/>
      <c r="BQ7" s="1052"/>
      <c r="BR7" s="1052"/>
      <c r="BS7" s="1052"/>
      <c r="BT7" s="1052"/>
      <c r="BU7" s="1052"/>
      <c r="BV7" s="1052"/>
      <c r="BW7" s="1052"/>
      <c r="BX7" s="1052"/>
      <c r="BY7" s="1052"/>
      <c r="BZ7" s="1052"/>
      <c r="CA7" s="649"/>
    </row>
    <row r="8" spans="1:79"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79" ht="30" customHeight="1">
      <c r="A9" s="1045" t="s">
        <v>228</v>
      </c>
      <c r="B9" s="1042" t="s">
        <v>29</v>
      </c>
      <c r="C9" s="1044"/>
      <c r="D9" s="1042" t="s">
        <v>30</v>
      </c>
      <c r="E9" s="1044"/>
      <c r="F9" s="1042" t="s">
        <v>31</v>
      </c>
      <c r="G9" s="1044"/>
      <c r="H9" s="1042" t="s">
        <v>32</v>
      </c>
      <c r="I9" s="1044"/>
      <c r="J9" s="1042" t="s">
        <v>33</v>
      </c>
      <c r="K9" s="1044"/>
      <c r="L9" s="1042" t="s">
        <v>34</v>
      </c>
      <c r="M9" s="1044"/>
      <c r="N9" s="1042" t="s">
        <v>35</v>
      </c>
      <c r="O9" s="1044"/>
      <c r="P9" s="1042" t="s">
        <v>36</v>
      </c>
      <c r="Q9" s="1044"/>
      <c r="R9" s="1042" t="s">
        <v>37</v>
      </c>
      <c r="S9" s="1044"/>
      <c r="T9" s="1042" t="s">
        <v>38</v>
      </c>
      <c r="U9" s="1044"/>
      <c r="V9" s="1042" t="s">
        <v>39</v>
      </c>
      <c r="W9" s="1044"/>
      <c r="X9" s="1042" t="s">
        <v>40</v>
      </c>
      <c r="Y9" s="1044"/>
      <c r="Z9" s="1042" t="s">
        <v>229</v>
      </c>
      <c r="AA9" s="1044"/>
      <c r="AB9" s="1042" t="s">
        <v>230</v>
      </c>
      <c r="AC9" s="1043"/>
      <c r="AD9" s="1043"/>
      <c r="AE9" s="1043"/>
      <c r="AF9" s="1043"/>
      <c r="AG9" s="1044"/>
      <c r="AH9" s="1042" t="s">
        <v>231</v>
      </c>
      <c r="AI9" s="1043"/>
      <c r="AJ9" s="1043"/>
      <c r="AK9" s="1043"/>
      <c r="AL9" s="1043"/>
      <c r="AM9" s="1044"/>
      <c r="AO9" s="1045" t="s">
        <v>228</v>
      </c>
      <c r="AP9" s="1042" t="s">
        <v>29</v>
      </c>
      <c r="AQ9" s="1044"/>
      <c r="AR9" s="1042" t="s">
        <v>30</v>
      </c>
      <c r="AS9" s="1044"/>
      <c r="AT9" s="1042" t="s">
        <v>31</v>
      </c>
      <c r="AU9" s="1044"/>
      <c r="AV9" s="1042" t="s">
        <v>32</v>
      </c>
      <c r="AW9" s="1044"/>
      <c r="AX9" s="1042" t="s">
        <v>33</v>
      </c>
      <c r="AY9" s="1044"/>
      <c r="AZ9" s="1042" t="s">
        <v>34</v>
      </c>
      <c r="BA9" s="1044"/>
      <c r="BB9" s="1042" t="s">
        <v>35</v>
      </c>
      <c r="BC9" s="1044"/>
      <c r="BD9" s="1042" t="s">
        <v>36</v>
      </c>
      <c r="BE9" s="1044"/>
      <c r="BF9" s="1042" t="s">
        <v>37</v>
      </c>
      <c r="BG9" s="1044"/>
      <c r="BH9" s="1042" t="s">
        <v>38</v>
      </c>
      <c r="BI9" s="1044"/>
      <c r="BJ9" s="1042" t="s">
        <v>39</v>
      </c>
      <c r="BK9" s="1044"/>
      <c r="BL9" s="1042" t="s">
        <v>40</v>
      </c>
      <c r="BM9" s="1044"/>
      <c r="BN9" s="1042" t="s">
        <v>229</v>
      </c>
      <c r="BO9" s="1044"/>
      <c r="BP9" s="1042" t="s">
        <v>230</v>
      </c>
      <c r="BQ9" s="1043"/>
      <c r="BR9" s="1043"/>
      <c r="BS9" s="1043"/>
      <c r="BT9" s="1043"/>
      <c r="BU9" s="1044"/>
      <c r="BV9" s="1042" t="s">
        <v>231</v>
      </c>
      <c r="BW9" s="1043"/>
      <c r="BX9" s="1043"/>
      <c r="BY9" s="1043"/>
      <c r="BZ9" s="1043"/>
      <c r="CA9" s="1044"/>
    </row>
    <row r="10" spans="1:79" ht="36" customHeight="1">
      <c r="A10" s="1046"/>
      <c r="B10" s="452" t="s">
        <v>232</v>
      </c>
      <c r="C10" s="452" t="s">
        <v>233</v>
      </c>
      <c r="D10" s="452" t="s">
        <v>232</v>
      </c>
      <c r="E10" s="452" t="s">
        <v>233</v>
      </c>
      <c r="F10" s="452" t="s">
        <v>232</v>
      </c>
      <c r="G10" s="452" t="s">
        <v>233</v>
      </c>
      <c r="H10" s="452" t="s">
        <v>232</v>
      </c>
      <c r="I10" s="452" t="s">
        <v>233</v>
      </c>
      <c r="J10" s="452" t="s">
        <v>232</v>
      </c>
      <c r="K10" s="452" t="s">
        <v>233</v>
      </c>
      <c r="L10" s="452" t="s">
        <v>232</v>
      </c>
      <c r="M10" s="452" t="s">
        <v>233</v>
      </c>
      <c r="N10" s="452" t="s">
        <v>232</v>
      </c>
      <c r="O10" s="452" t="s">
        <v>233</v>
      </c>
      <c r="P10" s="452" t="s">
        <v>232</v>
      </c>
      <c r="Q10" s="452" t="s">
        <v>233</v>
      </c>
      <c r="R10" s="452" t="s">
        <v>232</v>
      </c>
      <c r="S10" s="452" t="s">
        <v>233</v>
      </c>
      <c r="T10" s="452" t="s">
        <v>232</v>
      </c>
      <c r="U10" s="452" t="s">
        <v>233</v>
      </c>
      <c r="V10" s="452" t="s">
        <v>232</v>
      </c>
      <c r="W10" s="452" t="s">
        <v>233</v>
      </c>
      <c r="X10" s="452" t="s">
        <v>232</v>
      </c>
      <c r="Y10" s="452" t="s">
        <v>233</v>
      </c>
      <c r="Z10" s="452" t="s">
        <v>232</v>
      </c>
      <c r="AA10" s="452" t="s">
        <v>233</v>
      </c>
      <c r="AB10" s="173" t="s">
        <v>234</v>
      </c>
      <c r="AC10" s="173" t="s">
        <v>235</v>
      </c>
      <c r="AD10" s="173" t="s">
        <v>236</v>
      </c>
      <c r="AE10" s="173" t="s">
        <v>237</v>
      </c>
      <c r="AF10" s="174" t="s">
        <v>238</v>
      </c>
      <c r="AG10" s="173" t="s">
        <v>239</v>
      </c>
      <c r="AH10" s="452" t="s">
        <v>240</v>
      </c>
      <c r="AI10" s="143" t="s">
        <v>241</v>
      </c>
      <c r="AJ10" s="452" t="s">
        <v>242</v>
      </c>
      <c r="AK10" s="452" t="s">
        <v>243</v>
      </c>
      <c r="AL10" s="452" t="s">
        <v>244</v>
      </c>
      <c r="AM10" s="452" t="s">
        <v>245</v>
      </c>
      <c r="AO10" s="1046"/>
      <c r="AP10" s="452" t="s">
        <v>232</v>
      </c>
      <c r="AQ10" s="452" t="s">
        <v>233</v>
      </c>
      <c r="AR10" s="452" t="s">
        <v>232</v>
      </c>
      <c r="AS10" s="548" t="s">
        <v>233</v>
      </c>
      <c r="AT10" s="452" t="s">
        <v>232</v>
      </c>
      <c r="AU10" s="452" t="s">
        <v>233</v>
      </c>
      <c r="AV10" s="452" t="s">
        <v>232</v>
      </c>
      <c r="AW10" s="452" t="s">
        <v>233</v>
      </c>
      <c r="AX10" s="452" t="s">
        <v>232</v>
      </c>
      <c r="AY10" s="452" t="s">
        <v>233</v>
      </c>
      <c r="AZ10" s="452" t="s">
        <v>232</v>
      </c>
      <c r="BA10" s="452" t="s">
        <v>233</v>
      </c>
      <c r="BB10" s="452" t="s">
        <v>232</v>
      </c>
      <c r="BC10" s="452" t="s">
        <v>233</v>
      </c>
      <c r="BD10" s="452" t="s">
        <v>232</v>
      </c>
      <c r="BE10" s="452" t="s">
        <v>233</v>
      </c>
      <c r="BF10" s="452" t="s">
        <v>232</v>
      </c>
      <c r="BG10" s="452" t="s">
        <v>233</v>
      </c>
      <c r="BH10" s="452" t="s">
        <v>232</v>
      </c>
      <c r="BI10" s="452" t="s">
        <v>233</v>
      </c>
      <c r="BJ10" s="452" t="s">
        <v>232</v>
      </c>
      <c r="BK10" s="452" t="s">
        <v>233</v>
      </c>
      <c r="BL10" s="452" t="s">
        <v>232</v>
      </c>
      <c r="BM10" s="452" t="s">
        <v>233</v>
      </c>
      <c r="BN10" s="452" t="s">
        <v>232</v>
      </c>
      <c r="BO10" s="452" t="s">
        <v>233</v>
      </c>
      <c r="BP10" s="173" t="s">
        <v>234</v>
      </c>
      <c r="BQ10" s="173" t="s">
        <v>235</v>
      </c>
      <c r="BR10" s="173" t="s">
        <v>236</v>
      </c>
      <c r="BS10" s="173" t="s">
        <v>237</v>
      </c>
      <c r="BT10" s="174" t="s">
        <v>238</v>
      </c>
      <c r="BU10" s="173" t="s">
        <v>239</v>
      </c>
      <c r="BV10" s="171" t="s">
        <v>240</v>
      </c>
      <c r="BW10" s="172" t="s">
        <v>241</v>
      </c>
      <c r="BX10" s="171" t="s">
        <v>242</v>
      </c>
      <c r="BY10" s="171" t="s">
        <v>243</v>
      </c>
      <c r="BZ10" s="171" t="s">
        <v>244</v>
      </c>
      <c r="CA10" s="171" t="s">
        <v>245</v>
      </c>
    </row>
    <row r="11" spans="1:79">
      <c r="A11" s="144" t="s">
        <v>246</v>
      </c>
      <c r="B11" s="144">
        <v>0</v>
      </c>
      <c r="C11" s="414">
        <v>0</v>
      </c>
      <c r="D11" s="144">
        <v>0</v>
      </c>
      <c r="E11" s="414">
        <v>0</v>
      </c>
      <c r="F11" s="144">
        <v>0</v>
      </c>
      <c r="G11" s="414">
        <v>0</v>
      </c>
      <c r="H11" s="144">
        <v>0</v>
      </c>
      <c r="I11" s="414">
        <v>0</v>
      </c>
      <c r="J11" s="144">
        <v>0</v>
      </c>
      <c r="K11" s="414">
        <v>0</v>
      </c>
      <c r="L11" s="144">
        <v>0</v>
      </c>
      <c r="M11" s="414">
        <v>0</v>
      </c>
      <c r="N11" s="144">
        <v>0</v>
      </c>
      <c r="O11" s="413">
        <v>0</v>
      </c>
      <c r="P11" s="145">
        <v>0</v>
      </c>
      <c r="Q11" s="413">
        <v>0</v>
      </c>
      <c r="R11" s="145">
        <v>0</v>
      </c>
      <c r="S11" s="413">
        <v>0</v>
      </c>
      <c r="T11" s="145">
        <v>0</v>
      </c>
      <c r="U11" s="413">
        <v>0</v>
      </c>
      <c r="V11" s="145">
        <v>0</v>
      </c>
      <c r="W11" s="413">
        <v>0</v>
      </c>
      <c r="X11" s="145">
        <v>0</v>
      </c>
      <c r="Y11" s="413">
        <v>0</v>
      </c>
      <c r="Z11" s="176">
        <f>B11+D11+F11+H11+J11+L11+N11+P11+R11+T11+V11+X11</f>
        <v>0</v>
      </c>
      <c r="AA11" s="152">
        <f>C11+E11+G11+I11+K11+M11+O11+Q11+S11+U11+W11+Y11</f>
        <v>0</v>
      </c>
      <c r="AB11" s="175"/>
      <c r="AC11" s="175"/>
      <c r="AD11" s="175"/>
      <c r="AE11" s="175"/>
      <c r="AF11" s="175"/>
      <c r="AG11" s="147"/>
      <c r="AH11" s="147"/>
      <c r="AI11" s="147"/>
      <c r="AJ11" s="147"/>
      <c r="AK11" s="147"/>
      <c r="AL11" s="147"/>
      <c r="AM11" s="148"/>
      <c r="AO11" s="144" t="s">
        <v>246</v>
      </c>
      <c r="AP11" s="144">
        <v>0</v>
      </c>
      <c r="AQ11" s="144">
        <v>0</v>
      </c>
      <c r="AR11" s="144">
        <v>0</v>
      </c>
      <c r="AS11" s="550"/>
      <c r="AT11" s="144"/>
      <c r="AU11" s="144"/>
      <c r="AV11" s="144"/>
      <c r="AW11" s="144"/>
      <c r="AX11" s="144"/>
      <c r="AY11" s="144"/>
      <c r="AZ11" s="144"/>
      <c r="BA11" s="144"/>
      <c r="BB11" s="144"/>
      <c r="BC11" s="145"/>
      <c r="BD11" s="145"/>
      <c r="BE11" s="145"/>
      <c r="BF11" s="145"/>
      <c r="BG11" s="145"/>
      <c r="BH11" s="145"/>
      <c r="BI11" s="145"/>
      <c r="BJ11" s="145"/>
      <c r="BK11" s="145"/>
      <c r="BL11" s="145"/>
      <c r="BM11" s="145"/>
      <c r="BN11" s="176">
        <f>AP11+AR11+AT11+AV11+AX11+AZ11+BB11+BD11+BF11+BH11+BJ11+BL11</f>
        <v>0</v>
      </c>
      <c r="BO11" s="152">
        <f>AQ11+AS11+AU11+AW11+AY11+BA11+BC11+BE11+BG11+BI11+BK11+BM11</f>
        <v>0</v>
      </c>
      <c r="BP11" s="147"/>
      <c r="BQ11" s="147"/>
      <c r="BR11" s="147"/>
      <c r="BS11" s="147"/>
      <c r="BT11" s="147"/>
      <c r="BU11" s="147"/>
      <c r="BV11" s="147"/>
      <c r="BW11" s="147"/>
      <c r="BX11" s="147"/>
      <c r="BY11" s="147"/>
      <c r="BZ11" s="147"/>
      <c r="CA11" s="148"/>
    </row>
    <row r="12" spans="1:79">
      <c r="A12" s="144" t="s">
        <v>247</v>
      </c>
      <c r="B12" s="144">
        <v>0</v>
      </c>
      <c r="C12" s="414">
        <v>0</v>
      </c>
      <c r="D12" s="144">
        <v>25</v>
      </c>
      <c r="E12" s="414">
        <f>343124.4*D12</f>
        <v>8578110</v>
      </c>
      <c r="F12" s="144">
        <v>25</v>
      </c>
      <c r="G12" s="414">
        <f>343124.4*F12</f>
        <v>8578110</v>
      </c>
      <c r="H12" s="144">
        <v>25</v>
      </c>
      <c r="I12" s="414">
        <f>343124.4*H12</f>
        <v>8578110</v>
      </c>
      <c r="J12" s="144">
        <v>25</v>
      </c>
      <c r="K12" s="414">
        <f>343124.4*J12</f>
        <v>8578110</v>
      </c>
      <c r="L12" s="144">
        <v>25</v>
      </c>
      <c r="M12" s="414">
        <f>343124.4*L12</f>
        <v>8578110</v>
      </c>
      <c r="N12" s="144">
        <v>25</v>
      </c>
      <c r="O12" s="413">
        <f>343124.4*N12</f>
        <v>8578110</v>
      </c>
      <c r="P12" s="145">
        <v>25</v>
      </c>
      <c r="Q12" s="413">
        <f>343124.4*P12</f>
        <v>8578110</v>
      </c>
      <c r="R12" s="145">
        <v>25</v>
      </c>
      <c r="S12" s="413">
        <f>343124.4*R12</f>
        <v>8578110</v>
      </c>
      <c r="T12" s="145">
        <v>25</v>
      </c>
      <c r="U12" s="413">
        <f>343124.4*T12</f>
        <v>8578110</v>
      </c>
      <c r="V12" s="145">
        <v>25</v>
      </c>
      <c r="W12" s="413">
        <f>343124.4*V12</f>
        <v>8578110</v>
      </c>
      <c r="X12" s="145">
        <v>10</v>
      </c>
      <c r="Y12" s="413">
        <f>343124.4*X12</f>
        <v>3431244</v>
      </c>
      <c r="Z12" s="176">
        <f t="shared" ref="Z12:AA31" si="0">B12+D12+F12+H12+J12+L12+N12+P12+R12+T12+V12+X12</f>
        <v>260</v>
      </c>
      <c r="AA12" s="152">
        <f t="shared" si="0"/>
        <v>89212344</v>
      </c>
      <c r="AB12" s="175"/>
      <c r="AC12" s="175"/>
      <c r="AD12" s="175"/>
      <c r="AE12" s="175"/>
      <c r="AF12" s="175"/>
      <c r="AG12" s="147"/>
      <c r="AH12" s="147"/>
      <c r="AI12" s="147"/>
      <c r="AJ12" s="147"/>
      <c r="AK12" s="147"/>
      <c r="AL12" s="147"/>
      <c r="AM12" s="147"/>
      <c r="AO12" s="144" t="s">
        <v>247</v>
      </c>
      <c r="AP12" s="144">
        <v>0</v>
      </c>
      <c r="AQ12" s="144">
        <v>0</v>
      </c>
      <c r="AR12" s="144">
        <v>7</v>
      </c>
      <c r="AS12" s="550"/>
      <c r="AT12" s="144"/>
      <c r="AU12" s="144"/>
      <c r="AV12" s="144"/>
      <c r="AW12" s="144"/>
      <c r="AX12" s="144"/>
      <c r="AY12" s="144"/>
      <c r="AZ12" s="144"/>
      <c r="BA12" s="144"/>
      <c r="BB12" s="144"/>
      <c r="BC12" s="145"/>
      <c r="BD12" s="145"/>
      <c r="BE12" s="145"/>
      <c r="BF12" s="145"/>
      <c r="BG12" s="145"/>
      <c r="BH12" s="145"/>
      <c r="BI12" s="145"/>
      <c r="BJ12" s="145"/>
      <c r="BK12" s="145"/>
      <c r="BL12" s="145"/>
      <c r="BM12" s="145"/>
      <c r="BN12" s="176">
        <f t="shared" ref="BN12:BO31" si="1">AP12+AR12+AT12+AV12+AX12+AZ12+BB12+BD12+BF12+BH12+BJ12+BL12</f>
        <v>7</v>
      </c>
      <c r="BO12" s="152">
        <f t="shared" si="1"/>
        <v>0</v>
      </c>
      <c r="BP12" s="147"/>
      <c r="BQ12" s="147"/>
      <c r="BR12" s="147"/>
      <c r="BS12" s="147"/>
      <c r="BT12" s="147"/>
      <c r="BU12" s="147"/>
      <c r="BV12" s="147"/>
      <c r="BW12" s="147"/>
      <c r="BX12" s="147"/>
      <c r="BY12" s="147"/>
      <c r="BZ12" s="147"/>
      <c r="CA12" s="147"/>
    </row>
    <row r="13" spans="1:79">
      <c r="A13" s="144" t="s">
        <v>248</v>
      </c>
      <c r="B13" s="144">
        <v>0</v>
      </c>
      <c r="C13" s="414">
        <v>0</v>
      </c>
      <c r="D13" s="144">
        <v>20</v>
      </c>
      <c r="E13" s="414">
        <f>343124.4*D13</f>
        <v>6862488</v>
      </c>
      <c r="F13" s="144">
        <v>20</v>
      </c>
      <c r="G13" s="414">
        <f t="shared" ref="G13:G31" si="2">343124.4*F13</f>
        <v>6862488</v>
      </c>
      <c r="H13" s="144">
        <v>20</v>
      </c>
      <c r="I13" s="414">
        <f t="shared" ref="I13:I31" si="3">343124.4*H13</f>
        <v>6862488</v>
      </c>
      <c r="J13" s="144">
        <v>20</v>
      </c>
      <c r="K13" s="414">
        <f t="shared" ref="K13:K31" si="4">343124.4*J13</f>
        <v>6862488</v>
      </c>
      <c r="L13" s="144">
        <v>20</v>
      </c>
      <c r="M13" s="414">
        <f t="shared" ref="M13:M31" si="5">343124.4*L13</f>
        <v>6862488</v>
      </c>
      <c r="N13" s="144">
        <v>20</v>
      </c>
      <c r="O13" s="413">
        <f t="shared" ref="O13:O31" si="6">343124.4*N13</f>
        <v>6862488</v>
      </c>
      <c r="P13" s="145">
        <v>20</v>
      </c>
      <c r="Q13" s="413">
        <f t="shared" ref="Q13:Q31" si="7">343124.4*P13</f>
        <v>6862488</v>
      </c>
      <c r="R13" s="145">
        <v>20</v>
      </c>
      <c r="S13" s="413">
        <f t="shared" ref="S13:S31" si="8">343124.4*R13</f>
        <v>6862488</v>
      </c>
      <c r="T13" s="145">
        <v>20</v>
      </c>
      <c r="U13" s="413">
        <f t="shared" ref="U13:U31" si="9">343124.4*T13</f>
        <v>6862488</v>
      </c>
      <c r="V13" s="145">
        <v>20</v>
      </c>
      <c r="W13" s="413">
        <f t="shared" ref="W13:W31" si="10">343124.4*V13</f>
        <v>6862488</v>
      </c>
      <c r="X13" s="145">
        <v>10</v>
      </c>
      <c r="Y13" s="413">
        <f t="shared" ref="Y13:Y14" si="11">343124.4*X13</f>
        <v>3431244</v>
      </c>
      <c r="Z13" s="176">
        <f t="shared" si="0"/>
        <v>210</v>
      </c>
      <c r="AA13" s="152">
        <f t="shared" si="0"/>
        <v>72056124</v>
      </c>
      <c r="AB13" s="175"/>
      <c r="AC13" s="175"/>
      <c r="AD13" s="175"/>
      <c r="AE13" s="175"/>
      <c r="AF13" s="175"/>
      <c r="AG13" s="147"/>
      <c r="AH13" s="147"/>
      <c r="AI13" s="147"/>
      <c r="AJ13" s="147"/>
      <c r="AK13" s="147"/>
      <c r="AL13" s="147"/>
      <c r="AM13" s="147"/>
      <c r="AO13" s="144" t="s">
        <v>248</v>
      </c>
      <c r="AP13" s="144">
        <v>0</v>
      </c>
      <c r="AQ13" s="144">
        <v>0</v>
      </c>
      <c r="AR13" s="144">
        <v>9</v>
      </c>
      <c r="AS13" s="550"/>
      <c r="AT13" s="144"/>
      <c r="AU13" s="144"/>
      <c r="AV13" s="144"/>
      <c r="AW13" s="144"/>
      <c r="AX13" s="144"/>
      <c r="AY13" s="144"/>
      <c r="AZ13" s="144"/>
      <c r="BA13" s="144"/>
      <c r="BB13" s="144"/>
      <c r="BC13" s="145"/>
      <c r="BD13" s="145"/>
      <c r="BE13" s="145"/>
      <c r="BF13" s="145"/>
      <c r="BG13" s="145"/>
      <c r="BH13" s="145"/>
      <c r="BI13" s="145"/>
      <c r="BJ13" s="145"/>
      <c r="BK13" s="145"/>
      <c r="BL13" s="145"/>
      <c r="BM13" s="145"/>
      <c r="BN13" s="176">
        <f t="shared" si="1"/>
        <v>9</v>
      </c>
      <c r="BO13" s="152">
        <f t="shared" si="1"/>
        <v>0</v>
      </c>
      <c r="BP13" s="147"/>
      <c r="BQ13" s="147"/>
      <c r="BR13" s="147"/>
      <c r="BS13" s="147"/>
      <c r="BT13" s="147"/>
      <c r="BU13" s="147"/>
      <c r="BV13" s="147"/>
      <c r="BW13" s="147"/>
      <c r="BX13" s="147"/>
      <c r="BY13" s="147"/>
      <c r="BZ13" s="147"/>
      <c r="CA13" s="147"/>
    </row>
    <row r="14" spans="1:79">
      <c r="A14" s="144" t="s">
        <v>249</v>
      </c>
      <c r="B14" s="144">
        <v>0</v>
      </c>
      <c r="C14" s="414">
        <v>0</v>
      </c>
      <c r="D14" s="144">
        <v>10</v>
      </c>
      <c r="E14" s="414">
        <f t="shared" ref="E14:E30" si="12">343124.4*D14</f>
        <v>3431244</v>
      </c>
      <c r="F14" s="144">
        <v>10</v>
      </c>
      <c r="G14" s="414">
        <f t="shared" si="2"/>
        <v>3431244</v>
      </c>
      <c r="H14" s="144">
        <v>10</v>
      </c>
      <c r="I14" s="414">
        <f t="shared" si="3"/>
        <v>3431244</v>
      </c>
      <c r="J14" s="144">
        <v>10</v>
      </c>
      <c r="K14" s="414">
        <f t="shared" si="4"/>
        <v>3431244</v>
      </c>
      <c r="L14" s="144">
        <v>10</v>
      </c>
      <c r="M14" s="414">
        <f t="shared" si="5"/>
        <v>3431244</v>
      </c>
      <c r="N14" s="144">
        <v>10</v>
      </c>
      <c r="O14" s="413">
        <f t="shared" si="6"/>
        <v>3431244</v>
      </c>
      <c r="P14" s="145">
        <v>10</v>
      </c>
      <c r="Q14" s="413">
        <f t="shared" si="7"/>
        <v>3431244</v>
      </c>
      <c r="R14" s="145">
        <v>10</v>
      </c>
      <c r="S14" s="413">
        <f t="shared" si="8"/>
        <v>3431244</v>
      </c>
      <c r="T14" s="145">
        <v>10</v>
      </c>
      <c r="U14" s="413">
        <f t="shared" si="9"/>
        <v>3431244</v>
      </c>
      <c r="V14" s="145">
        <v>10</v>
      </c>
      <c r="W14" s="413">
        <f t="shared" si="10"/>
        <v>3431244</v>
      </c>
      <c r="X14" s="145">
        <v>10</v>
      </c>
      <c r="Y14" s="413">
        <f t="shared" si="11"/>
        <v>3431244</v>
      </c>
      <c r="Z14" s="176">
        <f t="shared" si="0"/>
        <v>110</v>
      </c>
      <c r="AA14" s="152">
        <f t="shared" si="0"/>
        <v>37743684</v>
      </c>
      <c r="AB14" s="175"/>
      <c r="AC14" s="175"/>
      <c r="AD14" s="175"/>
      <c r="AE14" s="175"/>
      <c r="AF14" s="175"/>
      <c r="AG14" s="147"/>
      <c r="AH14" s="147"/>
      <c r="AI14" s="147"/>
      <c r="AJ14" s="147"/>
      <c r="AK14" s="147"/>
      <c r="AL14" s="147"/>
      <c r="AM14" s="147"/>
      <c r="AO14" s="144" t="s">
        <v>249</v>
      </c>
      <c r="AP14" s="144">
        <v>0</v>
      </c>
      <c r="AQ14" s="144">
        <v>0</v>
      </c>
      <c r="AR14" s="144">
        <v>7</v>
      </c>
      <c r="AS14" s="550"/>
      <c r="AT14" s="144"/>
      <c r="AU14" s="144"/>
      <c r="AV14" s="144"/>
      <c r="AW14" s="144"/>
      <c r="AX14" s="144"/>
      <c r="AY14" s="144"/>
      <c r="AZ14" s="144"/>
      <c r="BA14" s="144"/>
      <c r="BB14" s="144"/>
      <c r="BC14" s="145"/>
      <c r="BD14" s="145"/>
      <c r="BE14" s="145"/>
      <c r="BF14" s="145"/>
      <c r="BG14" s="145"/>
      <c r="BH14" s="145"/>
      <c r="BI14" s="145"/>
      <c r="BJ14" s="145"/>
      <c r="BK14" s="145"/>
      <c r="BL14" s="145"/>
      <c r="BM14" s="145"/>
      <c r="BN14" s="176">
        <f t="shared" si="1"/>
        <v>7</v>
      </c>
      <c r="BO14" s="152">
        <f t="shared" si="1"/>
        <v>0</v>
      </c>
      <c r="BP14" s="147"/>
      <c r="BQ14" s="147"/>
      <c r="BR14" s="147"/>
      <c r="BS14" s="147"/>
      <c r="BT14" s="147"/>
      <c r="BU14" s="147"/>
      <c r="BV14" s="147"/>
      <c r="BW14" s="147"/>
      <c r="BX14" s="147"/>
      <c r="BY14" s="147"/>
      <c r="BZ14" s="147"/>
      <c r="CA14" s="147"/>
    </row>
    <row r="15" spans="1:79">
      <c r="A15" s="144" t="s">
        <v>250</v>
      </c>
      <c r="B15" s="144">
        <v>0</v>
      </c>
      <c r="C15" s="414">
        <v>0</v>
      </c>
      <c r="D15" s="144">
        <v>40</v>
      </c>
      <c r="E15" s="414">
        <f t="shared" si="12"/>
        <v>13724976</v>
      </c>
      <c r="F15" s="144">
        <v>60</v>
      </c>
      <c r="G15" s="414">
        <f t="shared" si="2"/>
        <v>20587464</v>
      </c>
      <c r="H15" s="144">
        <v>60</v>
      </c>
      <c r="I15" s="414">
        <f t="shared" si="3"/>
        <v>20587464</v>
      </c>
      <c r="J15" s="144">
        <v>60</v>
      </c>
      <c r="K15" s="414">
        <f t="shared" si="4"/>
        <v>20587464</v>
      </c>
      <c r="L15" s="144">
        <v>60</v>
      </c>
      <c r="M15" s="414">
        <f t="shared" si="5"/>
        <v>20587464</v>
      </c>
      <c r="N15" s="144">
        <v>60</v>
      </c>
      <c r="O15" s="413">
        <f t="shared" si="6"/>
        <v>20587464</v>
      </c>
      <c r="P15" s="145">
        <v>60</v>
      </c>
      <c r="Q15" s="413">
        <f t="shared" si="7"/>
        <v>20587464</v>
      </c>
      <c r="R15" s="145">
        <v>60</v>
      </c>
      <c r="S15" s="413">
        <f t="shared" si="8"/>
        <v>20587464</v>
      </c>
      <c r="T15" s="145">
        <v>60</v>
      </c>
      <c r="U15" s="413">
        <f t="shared" si="9"/>
        <v>20587464</v>
      </c>
      <c r="V15" s="145">
        <v>60</v>
      </c>
      <c r="W15" s="413">
        <f t="shared" si="10"/>
        <v>20587464</v>
      </c>
      <c r="X15" s="145">
        <v>11</v>
      </c>
      <c r="Y15" s="413">
        <f t="shared" ref="Y15:Y31" si="13">343124.3*X15</f>
        <v>3774367.3</v>
      </c>
      <c r="Z15" s="176">
        <f t="shared" si="0"/>
        <v>591</v>
      </c>
      <c r="AA15" s="152">
        <f t="shared" si="0"/>
        <v>202786519.30000001</v>
      </c>
      <c r="AB15" s="175"/>
      <c r="AC15" s="175"/>
      <c r="AD15" s="175"/>
      <c r="AE15" s="175"/>
      <c r="AF15" s="175"/>
      <c r="AG15" s="147"/>
      <c r="AH15" s="147"/>
      <c r="AI15" s="147"/>
      <c r="AJ15" s="147"/>
      <c r="AK15" s="147"/>
      <c r="AL15" s="147"/>
      <c r="AM15" s="147"/>
      <c r="AO15" s="144" t="s">
        <v>250</v>
      </c>
      <c r="AP15" s="144">
        <v>0</v>
      </c>
      <c r="AQ15" s="144">
        <v>0</v>
      </c>
      <c r="AR15" s="144">
        <v>28</v>
      </c>
      <c r="AS15" s="550"/>
      <c r="AT15" s="144"/>
      <c r="AU15" s="144"/>
      <c r="AV15" s="144"/>
      <c r="AW15" s="144"/>
      <c r="AX15" s="144"/>
      <c r="AY15" s="144"/>
      <c r="AZ15" s="144"/>
      <c r="BA15" s="144"/>
      <c r="BB15" s="144"/>
      <c r="BC15" s="145"/>
      <c r="BD15" s="145"/>
      <c r="BE15" s="145"/>
      <c r="BF15" s="145"/>
      <c r="BG15" s="145"/>
      <c r="BH15" s="145"/>
      <c r="BI15" s="145"/>
      <c r="BJ15" s="145"/>
      <c r="BK15" s="145"/>
      <c r="BL15" s="145"/>
      <c r="BM15" s="145"/>
      <c r="BN15" s="176">
        <f t="shared" si="1"/>
        <v>28</v>
      </c>
      <c r="BO15" s="152">
        <f t="shared" si="1"/>
        <v>0</v>
      </c>
      <c r="BP15" s="147"/>
      <c r="BQ15" s="147"/>
      <c r="BR15" s="147"/>
      <c r="BS15" s="147"/>
      <c r="BT15" s="147"/>
      <c r="BU15" s="147"/>
      <c r="BV15" s="147"/>
      <c r="BW15" s="147"/>
      <c r="BX15" s="147"/>
      <c r="BY15" s="147"/>
      <c r="BZ15" s="147"/>
      <c r="CA15" s="147"/>
    </row>
    <row r="16" spans="1:79">
      <c r="A16" s="144" t="s">
        <v>251</v>
      </c>
      <c r="B16" s="144">
        <v>0</v>
      </c>
      <c r="C16" s="414">
        <v>0</v>
      </c>
      <c r="D16" s="144">
        <v>40</v>
      </c>
      <c r="E16" s="414">
        <f t="shared" si="12"/>
        <v>13724976</v>
      </c>
      <c r="F16" s="144">
        <v>103</v>
      </c>
      <c r="G16" s="414">
        <f t="shared" si="2"/>
        <v>35341813.200000003</v>
      </c>
      <c r="H16" s="144">
        <v>103</v>
      </c>
      <c r="I16" s="414">
        <f t="shared" si="3"/>
        <v>35341813.200000003</v>
      </c>
      <c r="J16" s="144">
        <v>103</v>
      </c>
      <c r="K16" s="414">
        <f t="shared" si="4"/>
        <v>35341813.200000003</v>
      </c>
      <c r="L16" s="144">
        <v>103</v>
      </c>
      <c r="M16" s="414">
        <f t="shared" si="5"/>
        <v>35341813.200000003</v>
      </c>
      <c r="N16" s="144">
        <v>103</v>
      </c>
      <c r="O16" s="413">
        <f t="shared" si="6"/>
        <v>35341813.200000003</v>
      </c>
      <c r="P16" s="145">
        <v>103</v>
      </c>
      <c r="Q16" s="413">
        <f t="shared" si="7"/>
        <v>35341813.200000003</v>
      </c>
      <c r="R16" s="145">
        <v>103</v>
      </c>
      <c r="S16" s="413">
        <f t="shared" si="8"/>
        <v>35341813.200000003</v>
      </c>
      <c r="T16" s="145">
        <v>103</v>
      </c>
      <c r="U16" s="413">
        <f t="shared" si="9"/>
        <v>35341813.200000003</v>
      </c>
      <c r="V16" s="145">
        <v>103</v>
      </c>
      <c r="W16" s="413">
        <f t="shared" si="10"/>
        <v>35341813.200000003</v>
      </c>
      <c r="X16" s="145">
        <v>11</v>
      </c>
      <c r="Y16" s="413">
        <f t="shared" si="13"/>
        <v>3774367.3</v>
      </c>
      <c r="Z16" s="176">
        <f t="shared" si="0"/>
        <v>978</v>
      </c>
      <c r="AA16" s="152">
        <f t="shared" si="0"/>
        <v>335575662.09999996</v>
      </c>
      <c r="AB16" s="175"/>
      <c r="AC16" s="175"/>
      <c r="AD16" s="175"/>
      <c r="AE16" s="175"/>
      <c r="AF16" s="175"/>
      <c r="AG16" s="147"/>
      <c r="AH16" s="147"/>
      <c r="AI16" s="147"/>
      <c r="AJ16" s="147"/>
      <c r="AK16" s="147"/>
      <c r="AL16" s="147"/>
      <c r="AM16" s="147"/>
      <c r="AO16" s="144" t="s">
        <v>251</v>
      </c>
      <c r="AP16" s="144">
        <v>0</v>
      </c>
      <c r="AQ16" s="144">
        <v>0</v>
      </c>
      <c r="AR16" s="144">
        <v>57</v>
      </c>
      <c r="AS16" s="550"/>
      <c r="AT16" s="144"/>
      <c r="AU16" s="144"/>
      <c r="AV16" s="144"/>
      <c r="AW16" s="144"/>
      <c r="AX16" s="144"/>
      <c r="AY16" s="144"/>
      <c r="AZ16" s="144"/>
      <c r="BA16" s="144"/>
      <c r="BB16" s="144"/>
      <c r="BC16" s="145"/>
      <c r="BD16" s="145"/>
      <c r="BE16" s="145"/>
      <c r="BF16" s="145"/>
      <c r="BG16" s="145"/>
      <c r="BH16" s="145"/>
      <c r="BI16" s="145"/>
      <c r="BJ16" s="145"/>
      <c r="BK16" s="145"/>
      <c r="BL16" s="145"/>
      <c r="BM16" s="145"/>
      <c r="BN16" s="176">
        <f t="shared" si="1"/>
        <v>57</v>
      </c>
      <c r="BO16" s="152">
        <f t="shared" si="1"/>
        <v>0</v>
      </c>
      <c r="BP16" s="147"/>
      <c r="BQ16" s="147"/>
      <c r="BR16" s="147"/>
      <c r="BS16" s="147"/>
      <c r="BT16" s="147"/>
      <c r="BU16" s="147"/>
      <c r="BV16" s="147"/>
      <c r="BW16" s="147"/>
      <c r="BX16" s="147"/>
      <c r="BY16" s="147"/>
      <c r="BZ16" s="147"/>
      <c r="CA16" s="147"/>
    </row>
    <row r="17" spans="1:79">
      <c r="A17" s="144" t="s">
        <v>252</v>
      </c>
      <c r="B17" s="144">
        <v>0</v>
      </c>
      <c r="C17" s="414">
        <v>0</v>
      </c>
      <c r="D17" s="144">
        <v>25</v>
      </c>
      <c r="E17" s="414">
        <f t="shared" si="12"/>
        <v>8578110</v>
      </c>
      <c r="F17" s="144">
        <v>25</v>
      </c>
      <c r="G17" s="414">
        <f t="shared" si="2"/>
        <v>8578110</v>
      </c>
      <c r="H17" s="144">
        <v>25</v>
      </c>
      <c r="I17" s="414">
        <f t="shared" si="3"/>
        <v>8578110</v>
      </c>
      <c r="J17" s="144">
        <v>25</v>
      </c>
      <c r="K17" s="414">
        <f t="shared" si="4"/>
        <v>8578110</v>
      </c>
      <c r="L17" s="144">
        <v>25</v>
      </c>
      <c r="M17" s="414">
        <f t="shared" si="5"/>
        <v>8578110</v>
      </c>
      <c r="N17" s="144">
        <v>25</v>
      </c>
      <c r="O17" s="413">
        <f t="shared" si="6"/>
        <v>8578110</v>
      </c>
      <c r="P17" s="145">
        <v>25</v>
      </c>
      <c r="Q17" s="413">
        <f t="shared" si="7"/>
        <v>8578110</v>
      </c>
      <c r="R17" s="145">
        <v>25</v>
      </c>
      <c r="S17" s="413">
        <f t="shared" si="8"/>
        <v>8578110</v>
      </c>
      <c r="T17" s="145">
        <v>25</v>
      </c>
      <c r="U17" s="413">
        <f t="shared" si="9"/>
        <v>8578110</v>
      </c>
      <c r="V17" s="145">
        <v>25</v>
      </c>
      <c r="W17" s="413">
        <f t="shared" si="10"/>
        <v>8578110</v>
      </c>
      <c r="X17" s="145">
        <v>10</v>
      </c>
      <c r="Y17" s="413">
        <f>343124.4*X17</f>
        <v>3431244</v>
      </c>
      <c r="Z17" s="176">
        <f t="shared" si="0"/>
        <v>260</v>
      </c>
      <c r="AA17" s="152">
        <f t="shared" si="0"/>
        <v>89212344</v>
      </c>
      <c r="AB17" s="175"/>
      <c r="AC17" s="175"/>
      <c r="AD17" s="175"/>
      <c r="AE17" s="175"/>
      <c r="AF17" s="175"/>
      <c r="AG17" s="147"/>
      <c r="AH17" s="147"/>
      <c r="AI17" s="147"/>
      <c r="AJ17" s="147"/>
      <c r="AK17" s="147"/>
      <c r="AL17" s="147"/>
      <c r="AM17" s="147"/>
      <c r="AO17" s="144" t="s">
        <v>252</v>
      </c>
      <c r="AP17" s="144">
        <v>0</v>
      </c>
      <c r="AQ17" s="144">
        <v>0</v>
      </c>
      <c r="AR17" s="144">
        <v>11</v>
      </c>
      <c r="AS17" s="550"/>
      <c r="AT17" s="144"/>
      <c r="AU17" s="144"/>
      <c r="AV17" s="144"/>
      <c r="AW17" s="144"/>
      <c r="AX17" s="144"/>
      <c r="AY17" s="144"/>
      <c r="AZ17" s="144"/>
      <c r="BA17" s="144"/>
      <c r="BB17" s="144"/>
      <c r="BC17" s="145"/>
      <c r="BD17" s="145"/>
      <c r="BE17" s="145"/>
      <c r="BF17" s="145"/>
      <c r="BG17" s="145"/>
      <c r="BH17" s="145"/>
      <c r="BI17" s="145"/>
      <c r="BJ17" s="145"/>
      <c r="BK17" s="145"/>
      <c r="BL17" s="145"/>
      <c r="BM17" s="145"/>
      <c r="BN17" s="176">
        <f t="shared" si="1"/>
        <v>11</v>
      </c>
      <c r="BO17" s="152">
        <f t="shared" si="1"/>
        <v>0</v>
      </c>
      <c r="BP17" s="147"/>
      <c r="BQ17" s="147"/>
      <c r="BR17" s="147"/>
      <c r="BS17" s="147"/>
      <c r="BT17" s="147"/>
      <c r="BU17" s="147"/>
      <c r="BV17" s="147"/>
      <c r="BW17" s="147"/>
      <c r="BX17" s="147"/>
      <c r="BY17" s="147"/>
      <c r="BZ17" s="147"/>
      <c r="CA17" s="147"/>
    </row>
    <row r="18" spans="1:79">
      <c r="A18" s="144" t="s">
        <v>253</v>
      </c>
      <c r="B18" s="144">
        <v>0</v>
      </c>
      <c r="C18" s="414">
        <v>0</v>
      </c>
      <c r="D18" s="144">
        <v>50</v>
      </c>
      <c r="E18" s="414">
        <f t="shared" si="12"/>
        <v>17156220</v>
      </c>
      <c r="F18" s="144">
        <v>65</v>
      </c>
      <c r="G18" s="414">
        <f t="shared" si="2"/>
        <v>22303086</v>
      </c>
      <c r="H18" s="144">
        <v>65</v>
      </c>
      <c r="I18" s="414">
        <f t="shared" si="3"/>
        <v>22303086</v>
      </c>
      <c r="J18" s="144">
        <v>65</v>
      </c>
      <c r="K18" s="414">
        <f t="shared" si="4"/>
        <v>22303086</v>
      </c>
      <c r="L18" s="144">
        <v>65</v>
      </c>
      <c r="M18" s="414">
        <f t="shared" si="5"/>
        <v>22303086</v>
      </c>
      <c r="N18" s="144">
        <v>65</v>
      </c>
      <c r="O18" s="413">
        <f t="shared" si="6"/>
        <v>22303086</v>
      </c>
      <c r="P18" s="145">
        <v>65</v>
      </c>
      <c r="Q18" s="413">
        <f t="shared" si="7"/>
        <v>22303086</v>
      </c>
      <c r="R18" s="145">
        <v>65</v>
      </c>
      <c r="S18" s="413">
        <f t="shared" si="8"/>
        <v>22303086</v>
      </c>
      <c r="T18" s="145">
        <v>65</v>
      </c>
      <c r="U18" s="413">
        <f t="shared" si="9"/>
        <v>22303086</v>
      </c>
      <c r="V18" s="145">
        <v>65</v>
      </c>
      <c r="W18" s="413">
        <f t="shared" si="10"/>
        <v>22303086</v>
      </c>
      <c r="X18" s="145">
        <v>11</v>
      </c>
      <c r="Y18" s="413">
        <f t="shared" si="13"/>
        <v>3774367.3</v>
      </c>
      <c r="Z18" s="176">
        <f t="shared" si="0"/>
        <v>646</v>
      </c>
      <c r="AA18" s="152">
        <f t="shared" si="0"/>
        <v>221658361.30000001</v>
      </c>
      <c r="AB18" s="175"/>
      <c r="AC18" s="175"/>
      <c r="AD18" s="175"/>
      <c r="AE18" s="175"/>
      <c r="AF18" s="175"/>
      <c r="AG18" s="147"/>
      <c r="AH18" s="147"/>
      <c r="AI18" s="147"/>
      <c r="AJ18" s="147"/>
      <c r="AK18" s="147"/>
      <c r="AL18" s="147"/>
      <c r="AM18" s="147"/>
      <c r="AO18" s="144" t="s">
        <v>253</v>
      </c>
      <c r="AP18" s="144">
        <v>0</v>
      </c>
      <c r="AQ18" s="144">
        <v>0</v>
      </c>
      <c r="AR18" s="144">
        <v>111</v>
      </c>
      <c r="AS18" s="550"/>
      <c r="AT18" s="144"/>
      <c r="AU18" s="144"/>
      <c r="AV18" s="144"/>
      <c r="AW18" s="144"/>
      <c r="AX18" s="144"/>
      <c r="AY18" s="144"/>
      <c r="AZ18" s="144"/>
      <c r="BA18" s="144"/>
      <c r="BB18" s="144"/>
      <c r="BC18" s="145"/>
      <c r="BD18" s="145"/>
      <c r="BE18" s="145"/>
      <c r="BF18" s="145"/>
      <c r="BG18" s="145"/>
      <c r="BH18" s="145"/>
      <c r="BI18" s="145"/>
      <c r="BJ18" s="145"/>
      <c r="BK18" s="145"/>
      <c r="BL18" s="145"/>
      <c r="BM18" s="145"/>
      <c r="BN18" s="176">
        <f t="shared" si="1"/>
        <v>111</v>
      </c>
      <c r="BO18" s="152">
        <f t="shared" si="1"/>
        <v>0</v>
      </c>
      <c r="BP18" s="147"/>
      <c r="BQ18" s="147"/>
      <c r="BR18" s="147"/>
      <c r="BS18" s="147"/>
      <c r="BT18" s="147"/>
      <c r="BU18" s="147"/>
      <c r="BV18" s="147"/>
      <c r="BW18" s="147"/>
      <c r="BX18" s="147"/>
      <c r="BY18" s="147"/>
      <c r="BZ18" s="147"/>
      <c r="CA18" s="147"/>
    </row>
    <row r="19" spans="1:79">
      <c r="A19" s="144" t="s">
        <v>254</v>
      </c>
      <c r="B19" s="144">
        <v>0</v>
      </c>
      <c r="C19" s="414">
        <v>0</v>
      </c>
      <c r="D19" s="144">
        <v>50</v>
      </c>
      <c r="E19" s="414">
        <f t="shared" si="12"/>
        <v>17156220</v>
      </c>
      <c r="F19" s="144">
        <v>70</v>
      </c>
      <c r="G19" s="414">
        <f t="shared" si="2"/>
        <v>24018708</v>
      </c>
      <c r="H19" s="144">
        <v>70</v>
      </c>
      <c r="I19" s="414">
        <f t="shared" si="3"/>
        <v>24018708</v>
      </c>
      <c r="J19" s="144">
        <v>70</v>
      </c>
      <c r="K19" s="414">
        <f t="shared" si="4"/>
        <v>24018708</v>
      </c>
      <c r="L19" s="144">
        <v>70</v>
      </c>
      <c r="M19" s="414">
        <f t="shared" si="5"/>
        <v>24018708</v>
      </c>
      <c r="N19" s="144">
        <v>70</v>
      </c>
      <c r="O19" s="413">
        <f t="shared" si="6"/>
        <v>24018708</v>
      </c>
      <c r="P19" s="145">
        <v>70</v>
      </c>
      <c r="Q19" s="413">
        <f t="shared" si="7"/>
        <v>24018708</v>
      </c>
      <c r="R19" s="145">
        <v>70</v>
      </c>
      <c r="S19" s="413">
        <f t="shared" si="8"/>
        <v>24018708</v>
      </c>
      <c r="T19" s="145">
        <v>70</v>
      </c>
      <c r="U19" s="413">
        <f t="shared" si="9"/>
        <v>24018708</v>
      </c>
      <c r="V19" s="145">
        <v>70</v>
      </c>
      <c r="W19" s="413">
        <f t="shared" si="10"/>
        <v>24018708</v>
      </c>
      <c r="X19" s="145">
        <v>11</v>
      </c>
      <c r="Y19" s="413">
        <f t="shared" si="13"/>
        <v>3774367.3</v>
      </c>
      <c r="Z19" s="176">
        <f t="shared" si="0"/>
        <v>691</v>
      </c>
      <c r="AA19" s="152">
        <f t="shared" si="0"/>
        <v>237098959.30000001</v>
      </c>
      <c r="AB19" s="175"/>
      <c r="AC19" s="175"/>
      <c r="AD19" s="175"/>
      <c r="AE19" s="175"/>
      <c r="AF19" s="175"/>
      <c r="AG19" s="147"/>
      <c r="AH19" s="147"/>
      <c r="AI19" s="147"/>
      <c r="AJ19" s="147"/>
      <c r="AK19" s="147"/>
      <c r="AL19" s="147"/>
      <c r="AM19" s="147"/>
      <c r="AO19" s="144" t="s">
        <v>254</v>
      </c>
      <c r="AP19" s="144">
        <v>0</v>
      </c>
      <c r="AQ19" s="144">
        <v>0</v>
      </c>
      <c r="AR19" s="144">
        <v>44</v>
      </c>
      <c r="AS19" s="550"/>
      <c r="AT19" s="144"/>
      <c r="AU19" s="144"/>
      <c r="AV19" s="144"/>
      <c r="AW19" s="144"/>
      <c r="AX19" s="144"/>
      <c r="AY19" s="144"/>
      <c r="AZ19" s="144"/>
      <c r="BA19" s="144"/>
      <c r="BB19" s="144"/>
      <c r="BC19" s="145"/>
      <c r="BD19" s="145"/>
      <c r="BE19" s="145"/>
      <c r="BF19" s="145"/>
      <c r="BG19" s="145"/>
      <c r="BH19" s="145"/>
      <c r="BI19" s="145"/>
      <c r="BJ19" s="145"/>
      <c r="BK19" s="145"/>
      <c r="BL19" s="145"/>
      <c r="BM19" s="145"/>
      <c r="BN19" s="176">
        <f t="shared" si="1"/>
        <v>44</v>
      </c>
      <c r="BO19" s="152">
        <f t="shared" si="1"/>
        <v>0</v>
      </c>
      <c r="BP19" s="147"/>
      <c r="BQ19" s="147"/>
      <c r="BR19" s="147"/>
      <c r="BS19" s="147"/>
      <c r="BT19" s="147"/>
      <c r="BU19" s="147"/>
      <c r="BV19" s="147"/>
      <c r="BW19" s="147"/>
      <c r="BX19" s="147"/>
      <c r="BY19" s="147"/>
      <c r="BZ19" s="147"/>
      <c r="CA19" s="147"/>
    </row>
    <row r="20" spans="1:79">
      <c r="A20" s="144" t="s">
        <v>255</v>
      </c>
      <c r="B20" s="144">
        <v>0</v>
      </c>
      <c r="C20" s="414">
        <v>0</v>
      </c>
      <c r="D20" s="144">
        <v>25</v>
      </c>
      <c r="E20" s="414">
        <f t="shared" si="12"/>
        <v>8578110</v>
      </c>
      <c r="F20" s="144">
        <v>25</v>
      </c>
      <c r="G20" s="414">
        <f t="shared" si="2"/>
        <v>8578110</v>
      </c>
      <c r="H20" s="144">
        <v>25</v>
      </c>
      <c r="I20" s="414">
        <f t="shared" si="3"/>
        <v>8578110</v>
      </c>
      <c r="J20" s="144">
        <v>25</v>
      </c>
      <c r="K20" s="414">
        <f t="shared" si="4"/>
        <v>8578110</v>
      </c>
      <c r="L20" s="144">
        <v>25</v>
      </c>
      <c r="M20" s="414">
        <f t="shared" si="5"/>
        <v>8578110</v>
      </c>
      <c r="N20" s="144">
        <v>25</v>
      </c>
      <c r="O20" s="413">
        <f t="shared" si="6"/>
        <v>8578110</v>
      </c>
      <c r="P20" s="145">
        <v>25</v>
      </c>
      <c r="Q20" s="413">
        <f t="shared" si="7"/>
        <v>8578110</v>
      </c>
      <c r="R20" s="145">
        <v>25</v>
      </c>
      <c r="S20" s="413">
        <f t="shared" si="8"/>
        <v>8578110</v>
      </c>
      <c r="T20" s="145">
        <v>25</v>
      </c>
      <c r="U20" s="413">
        <f t="shared" si="9"/>
        <v>8578110</v>
      </c>
      <c r="V20" s="145">
        <v>25</v>
      </c>
      <c r="W20" s="413">
        <f t="shared" si="10"/>
        <v>8578110</v>
      </c>
      <c r="X20" s="145">
        <v>10</v>
      </c>
      <c r="Y20" s="413">
        <f>343124.4*X20</f>
        <v>3431244</v>
      </c>
      <c r="Z20" s="176">
        <f t="shared" si="0"/>
        <v>260</v>
      </c>
      <c r="AA20" s="152">
        <f t="shared" si="0"/>
        <v>89212344</v>
      </c>
      <c r="AB20" s="175"/>
      <c r="AC20" s="175"/>
      <c r="AD20" s="175"/>
      <c r="AE20" s="175"/>
      <c r="AF20" s="175"/>
      <c r="AG20" s="147"/>
      <c r="AH20" s="147"/>
      <c r="AI20" s="147"/>
      <c r="AJ20" s="147"/>
      <c r="AK20" s="147"/>
      <c r="AL20" s="147"/>
      <c r="AM20" s="147"/>
      <c r="AO20" s="144" t="s">
        <v>255</v>
      </c>
      <c r="AP20" s="144">
        <v>0</v>
      </c>
      <c r="AQ20" s="144">
        <v>0</v>
      </c>
      <c r="AR20" s="144">
        <v>11</v>
      </c>
      <c r="AS20" s="550"/>
      <c r="AT20" s="144"/>
      <c r="AU20" s="144"/>
      <c r="AV20" s="144"/>
      <c r="AW20" s="144"/>
      <c r="AX20" s="144"/>
      <c r="AY20" s="144"/>
      <c r="AZ20" s="144"/>
      <c r="BA20" s="144"/>
      <c r="BB20" s="144"/>
      <c r="BC20" s="145"/>
      <c r="BD20" s="145"/>
      <c r="BE20" s="145"/>
      <c r="BF20" s="145"/>
      <c r="BG20" s="145"/>
      <c r="BH20" s="145"/>
      <c r="BI20" s="145"/>
      <c r="BJ20" s="145"/>
      <c r="BK20" s="145"/>
      <c r="BL20" s="145"/>
      <c r="BM20" s="145"/>
      <c r="BN20" s="176">
        <f t="shared" si="1"/>
        <v>11</v>
      </c>
      <c r="BO20" s="152">
        <f t="shared" si="1"/>
        <v>0</v>
      </c>
      <c r="BP20" s="147"/>
      <c r="BQ20" s="147"/>
      <c r="BR20" s="147"/>
      <c r="BS20" s="147"/>
      <c r="BT20" s="147"/>
      <c r="BU20" s="147"/>
      <c r="BV20" s="147"/>
      <c r="BW20" s="147"/>
      <c r="BX20" s="147"/>
      <c r="BY20" s="147"/>
      <c r="BZ20" s="147"/>
      <c r="CA20" s="147"/>
    </row>
    <row r="21" spans="1:79">
      <c r="A21" s="144" t="s">
        <v>256</v>
      </c>
      <c r="B21" s="144">
        <v>0</v>
      </c>
      <c r="C21" s="414">
        <v>0</v>
      </c>
      <c r="D21" s="144">
        <v>50</v>
      </c>
      <c r="E21" s="414">
        <f t="shared" si="12"/>
        <v>17156220</v>
      </c>
      <c r="F21" s="144">
        <v>60</v>
      </c>
      <c r="G21" s="414">
        <f t="shared" si="2"/>
        <v>20587464</v>
      </c>
      <c r="H21" s="144">
        <v>60</v>
      </c>
      <c r="I21" s="414">
        <f t="shared" si="3"/>
        <v>20587464</v>
      </c>
      <c r="J21" s="144">
        <v>60</v>
      </c>
      <c r="K21" s="414">
        <f t="shared" si="4"/>
        <v>20587464</v>
      </c>
      <c r="L21" s="144">
        <v>60</v>
      </c>
      <c r="M21" s="414">
        <f t="shared" si="5"/>
        <v>20587464</v>
      </c>
      <c r="N21" s="144">
        <v>60</v>
      </c>
      <c r="O21" s="413">
        <f t="shared" si="6"/>
        <v>20587464</v>
      </c>
      <c r="P21" s="145">
        <v>60</v>
      </c>
      <c r="Q21" s="413">
        <f t="shared" si="7"/>
        <v>20587464</v>
      </c>
      <c r="R21" s="145">
        <v>60</v>
      </c>
      <c r="S21" s="413">
        <f t="shared" si="8"/>
        <v>20587464</v>
      </c>
      <c r="T21" s="145">
        <v>60</v>
      </c>
      <c r="U21" s="413">
        <f t="shared" si="9"/>
        <v>20587464</v>
      </c>
      <c r="V21" s="145">
        <v>60</v>
      </c>
      <c r="W21" s="413">
        <f t="shared" si="10"/>
        <v>20587464</v>
      </c>
      <c r="X21" s="145">
        <v>11</v>
      </c>
      <c r="Y21" s="413">
        <f t="shared" si="13"/>
        <v>3774367.3</v>
      </c>
      <c r="Z21" s="176">
        <f t="shared" si="0"/>
        <v>601</v>
      </c>
      <c r="AA21" s="152">
        <f t="shared" si="0"/>
        <v>206217763.30000001</v>
      </c>
      <c r="AB21" s="175"/>
      <c r="AC21" s="175"/>
      <c r="AD21" s="175"/>
      <c r="AE21" s="175"/>
      <c r="AF21" s="175"/>
      <c r="AG21" s="147"/>
      <c r="AH21" s="147"/>
      <c r="AI21" s="147"/>
      <c r="AJ21" s="147"/>
      <c r="AK21" s="147"/>
      <c r="AL21" s="147"/>
      <c r="AM21" s="147"/>
      <c r="AO21" s="144" t="s">
        <v>256</v>
      </c>
      <c r="AP21" s="144">
        <v>0</v>
      </c>
      <c r="AQ21" s="144">
        <v>0</v>
      </c>
      <c r="AR21" s="144">
        <v>24</v>
      </c>
      <c r="AS21" s="550"/>
      <c r="AT21" s="144"/>
      <c r="AU21" s="144"/>
      <c r="AV21" s="144"/>
      <c r="AW21" s="144"/>
      <c r="AX21" s="144"/>
      <c r="AY21" s="144"/>
      <c r="AZ21" s="144"/>
      <c r="BA21" s="144"/>
      <c r="BB21" s="144"/>
      <c r="BC21" s="145"/>
      <c r="BD21" s="145"/>
      <c r="BE21" s="145"/>
      <c r="BF21" s="145"/>
      <c r="BG21" s="145"/>
      <c r="BH21" s="145"/>
      <c r="BI21" s="145"/>
      <c r="BJ21" s="145"/>
      <c r="BK21" s="145"/>
      <c r="BL21" s="145"/>
      <c r="BM21" s="145"/>
      <c r="BN21" s="176">
        <f t="shared" si="1"/>
        <v>24</v>
      </c>
      <c r="BO21" s="152">
        <f t="shared" si="1"/>
        <v>0</v>
      </c>
      <c r="BP21" s="147"/>
      <c r="BQ21" s="147"/>
      <c r="BR21" s="147"/>
      <c r="BS21" s="147"/>
      <c r="BT21" s="147"/>
      <c r="BU21" s="147"/>
      <c r="BV21" s="147"/>
      <c r="BW21" s="147"/>
      <c r="BX21" s="147"/>
      <c r="BY21" s="147"/>
      <c r="BZ21" s="147"/>
      <c r="CA21" s="147"/>
    </row>
    <row r="22" spans="1:79">
      <c r="A22" s="144" t="s">
        <v>257</v>
      </c>
      <c r="B22" s="144">
        <v>0</v>
      </c>
      <c r="C22" s="414">
        <v>0</v>
      </c>
      <c r="D22" s="144">
        <v>50</v>
      </c>
      <c r="E22" s="414">
        <f t="shared" si="12"/>
        <v>17156220</v>
      </c>
      <c r="F22" s="144">
        <v>70</v>
      </c>
      <c r="G22" s="414">
        <f t="shared" si="2"/>
        <v>24018708</v>
      </c>
      <c r="H22" s="144">
        <v>70</v>
      </c>
      <c r="I22" s="414">
        <f t="shared" si="3"/>
        <v>24018708</v>
      </c>
      <c r="J22" s="144">
        <v>70</v>
      </c>
      <c r="K22" s="414">
        <f t="shared" si="4"/>
        <v>24018708</v>
      </c>
      <c r="L22" s="144">
        <v>70</v>
      </c>
      <c r="M22" s="414">
        <f t="shared" si="5"/>
        <v>24018708</v>
      </c>
      <c r="N22" s="144">
        <v>70</v>
      </c>
      <c r="O22" s="413">
        <f t="shared" si="6"/>
        <v>24018708</v>
      </c>
      <c r="P22" s="145">
        <v>70</v>
      </c>
      <c r="Q22" s="413">
        <f t="shared" si="7"/>
        <v>24018708</v>
      </c>
      <c r="R22" s="145">
        <v>70</v>
      </c>
      <c r="S22" s="413">
        <f t="shared" si="8"/>
        <v>24018708</v>
      </c>
      <c r="T22" s="145">
        <v>70</v>
      </c>
      <c r="U22" s="413">
        <f t="shared" si="9"/>
        <v>24018708</v>
      </c>
      <c r="V22" s="145">
        <v>70</v>
      </c>
      <c r="W22" s="413">
        <f t="shared" si="10"/>
        <v>24018708</v>
      </c>
      <c r="X22" s="145">
        <v>11</v>
      </c>
      <c r="Y22" s="413">
        <f t="shared" si="13"/>
        <v>3774367.3</v>
      </c>
      <c r="Z22" s="176">
        <f t="shared" si="0"/>
        <v>691</v>
      </c>
      <c r="AA22" s="152">
        <f t="shared" si="0"/>
        <v>237098959.30000001</v>
      </c>
      <c r="AB22" s="175"/>
      <c r="AC22" s="175"/>
      <c r="AD22" s="175"/>
      <c r="AE22" s="175"/>
      <c r="AF22" s="175"/>
      <c r="AG22" s="147"/>
      <c r="AH22" s="147"/>
      <c r="AI22" s="147"/>
      <c r="AJ22" s="147"/>
      <c r="AK22" s="147"/>
      <c r="AL22" s="147"/>
      <c r="AM22" s="147"/>
      <c r="AO22" s="144" t="s">
        <v>257</v>
      </c>
      <c r="AP22" s="144">
        <v>0</v>
      </c>
      <c r="AQ22" s="144">
        <v>0</v>
      </c>
      <c r="AR22" s="144">
        <v>94</v>
      </c>
      <c r="AS22" s="550"/>
      <c r="AT22" s="144"/>
      <c r="AU22" s="144"/>
      <c r="AV22" s="144"/>
      <c r="AW22" s="144"/>
      <c r="AX22" s="144"/>
      <c r="AY22" s="144"/>
      <c r="AZ22" s="144"/>
      <c r="BA22" s="144"/>
      <c r="BB22" s="144"/>
      <c r="BC22" s="145"/>
      <c r="BD22" s="145"/>
      <c r="BE22" s="145"/>
      <c r="BF22" s="145"/>
      <c r="BG22" s="145"/>
      <c r="BH22" s="145"/>
      <c r="BI22" s="145"/>
      <c r="BJ22" s="145"/>
      <c r="BK22" s="145"/>
      <c r="BL22" s="145"/>
      <c r="BM22" s="145"/>
      <c r="BN22" s="176">
        <f t="shared" si="1"/>
        <v>94</v>
      </c>
      <c r="BO22" s="152">
        <f t="shared" si="1"/>
        <v>0</v>
      </c>
      <c r="BP22" s="147"/>
      <c r="BQ22" s="147"/>
      <c r="BR22" s="147"/>
      <c r="BS22" s="147"/>
      <c r="BT22" s="147"/>
      <c r="BU22" s="147"/>
      <c r="BV22" s="147"/>
      <c r="BW22" s="147"/>
      <c r="BX22" s="147"/>
      <c r="BY22" s="147"/>
      <c r="BZ22" s="147"/>
      <c r="CA22" s="147"/>
    </row>
    <row r="23" spans="1:79">
      <c r="A23" s="144" t="s">
        <v>258</v>
      </c>
      <c r="B23" s="144">
        <v>0</v>
      </c>
      <c r="C23" s="414">
        <v>0</v>
      </c>
      <c r="D23" s="144">
        <v>10</v>
      </c>
      <c r="E23" s="414">
        <f t="shared" si="12"/>
        <v>3431244</v>
      </c>
      <c r="F23" s="144">
        <v>10</v>
      </c>
      <c r="G23" s="414">
        <f t="shared" si="2"/>
        <v>3431244</v>
      </c>
      <c r="H23" s="144">
        <v>10</v>
      </c>
      <c r="I23" s="414">
        <f t="shared" si="3"/>
        <v>3431244</v>
      </c>
      <c r="J23" s="144">
        <v>10</v>
      </c>
      <c r="K23" s="414">
        <f t="shared" si="4"/>
        <v>3431244</v>
      </c>
      <c r="L23" s="144">
        <v>10</v>
      </c>
      <c r="M23" s="414">
        <f t="shared" si="5"/>
        <v>3431244</v>
      </c>
      <c r="N23" s="144">
        <v>10</v>
      </c>
      <c r="O23" s="413">
        <f t="shared" si="6"/>
        <v>3431244</v>
      </c>
      <c r="P23" s="145">
        <v>10</v>
      </c>
      <c r="Q23" s="413">
        <f t="shared" si="7"/>
        <v>3431244</v>
      </c>
      <c r="R23" s="145">
        <v>10</v>
      </c>
      <c r="S23" s="413">
        <f t="shared" si="8"/>
        <v>3431244</v>
      </c>
      <c r="T23" s="145">
        <v>10</v>
      </c>
      <c r="U23" s="413">
        <f t="shared" si="9"/>
        <v>3431244</v>
      </c>
      <c r="V23" s="145">
        <v>10</v>
      </c>
      <c r="W23" s="413">
        <f t="shared" si="10"/>
        <v>3431244</v>
      </c>
      <c r="X23" s="145">
        <v>10</v>
      </c>
      <c r="Y23" s="413">
        <f>343124.4*X23</f>
        <v>3431244</v>
      </c>
      <c r="Z23" s="176">
        <f t="shared" si="0"/>
        <v>110</v>
      </c>
      <c r="AA23" s="152">
        <f t="shared" si="0"/>
        <v>37743684</v>
      </c>
      <c r="AB23" s="175"/>
      <c r="AC23" s="175"/>
      <c r="AD23" s="175"/>
      <c r="AE23" s="175"/>
      <c r="AF23" s="175"/>
      <c r="AG23" s="147"/>
      <c r="AH23" s="147"/>
      <c r="AI23" s="147"/>
      <c r="AJ23" s="147"/>
      <c r="AK23" s="147"/>
      <c r="AL23" s="147"/>
      <c r="AM23" s="147"/>
      <c r="AO23" s="144" t="s">
        <v>258</v>
      </c>
      <c r="AP23" s="144">
        <v>0</v>
      </c>
      <c r="AQ23" s="144">
        <v>0</v>
      </c>
      <c r="AR23" s="144">
        <v>8</v>
      </c>
      <c r="AS23" s="550"/>
      <c r="AT23" s="144"/>
      <c r="AU23" s="144"/>
      <c r="AV23" s="144"/>
      <c r="AW23" s="144"/>
      <c r="AX23" s="144"/>
      <c r="AY23" s="144"/>
      <c r="AZ23" s="144"/>
      <c r="BA23" s="144"/>
      <c r="BB23" s="144"/>
      <c r="BC23" s="145"/>
      <c r="BD23" s="145"/>
      <c r="BE23" s="145"/>
      <c r="BF23" s="145"/>
      <c r="BG23" s="145"/>
      <c r="BH23" s="145"/>
      <c r="BI23" s="145"/>
      <c r="BJ23" s="145"/>
      <c r="BK23" s="145"/>
      <c r="BL23" s="145"/>
      <c r="BM23" s="145"/>
      <c r="BN23" s="176">
        <f t="shared" si="1"/>
        <v>8</v>
      </c>
      <c r="BO23" s="152">
        <f t="shared" si="1"/>
        <v>0</v>
      </c>
      <c r="BP23" s="147"/>
      <c r="BQ23" s="147"/>
      <c r="BR23" s="147"/>
      <c r="BS23" s="147"/>
      <c r="BT23" s="147"/>
      <c r="BU23" s="147"/>
      <c r="BV23" s="147"/>
      <c r="BW23" s="147"/>
      <c r="BX23" s="147"/>
      <c r="BY23" s="147"/>
      <c r="BZ23" s="147"/>
      <c r="CA23" s="147"/>
    </row>
    <row r="24" spans="1:79">
      <c r="A24" s="144" t="s">
        <v>259</v>
      </c>
      <c r="B24" s="144">
        <v>0</v>
      </c>
      <c r="C24" s="414">
        <v>0</v>
      </c>
      <c r="D24" s="144">
        <v>10</v>
      </c>
      <c r="E24" s="414">
        <f t="shared" si="12"/>
        <v>3431244</v>
      </c>
      <c r="F24" s="144">
        <v>10</v>
      </c>
      <c r="G24" s="414">
        <f t="shared" si="2"/>
        <v>3431244</v>
      </c>
      <c r="H24" s="144">
        <v>10</v>
      </c>
      <c r="I24" s="414">
        <f t="shared" si="3"/>
        <v>3431244</v>
      </c>
      <c r="J24" s="144">
        <v>10</v>
      </c>
      <c r="K24" s="414">
        <f t="shared" si="4"/>
        <v>3431244</v>
      </c>
      <c r="L24" s="144">
        <v>10</v>
      </c>
      <c r="M24" s="414">
        <f t="shared" si="5"/>
        <v>3431244</v>
      </c>
      <c r="N24" s="144">
        <v>10</v>
      </c>
      <c r="O24" s="413">
        <f t="shared" si="6"/>
        <v>3431244</v>
      </c>
      <c r="P24" s="145">
        <v>10</v>
      </c>
      <c r="Q24" s="413">
        <f t="shared" si="7"/>
        <v>3431244</v>
      </c>
      <c r="R24" s="145">
        <v>10</v>
      </c>
      <c r="S24" s="413">
        <f t="shared" si="8"/>
        <v>3431244</v>
      </c>
      <c r="T24" s="145">
        <v>10</v>
      </c>
      <c r="U24" s="413">
        <f t="shared" si="9"/>
        <v>3431244</v>
      </c>
      <c r="V24" s="145">
        <v>10</v>
      </c>
      <c r="W24" s="413">
        <f t="shared" si="10"/>
        <v>3431244</v>
      </c>
      <c r="X24" s="145">
        <v>10</v>
      </c>
      <c r="Y24" s="413">
        <f>343124.4*X24</f>
        <v>3431244</v>
      </c>
      <c r="Z24" s="176">
        <f t="shared" si="0"/>
        <v>110</v>
      </c>
      <c r="AA24" s="152">
        <f t="shared" si="0"/>
        <v>37743684</v>
      </c>
      <c r="AB24" s="175"/>
      <c r="AC24" s="175"/>
      <c r="AD24" s="175"/>
      <c r="AE24" s="175"/>
      <c r="AF24" s="175"/>
      <c r="AG24" s="147"/>
      <c r="AH24" s="147"/>
      <c r="AI24" s="147"/>
      <c r="AJ24" s="147"/>
      <c r="AK24" s="147"/>
      <c r="AL24" s="147"/>
      <c r="AM24" s="147"/>
      <c r="AO24" s="144" t="s">
        <v>259</v>
      </c>
      <c r="AP24" s="144">
        <v>0</v>
      </c>
      <c r="AQ24" s="144">
        <v>0</v>
      </c>
      <c r="AR24" s="144">
        <v>15</v>
      </c>
      <c r="AS24" s="550"/>
      <c r="AT24" s="144"/>
      <c r="AU24" s="144"/>
      <c r="AV24" s="144"/>
      <c r="AW24" s="144"/>
      <c r="AX24" s="144"/>
      <c r="AY24" s="144"/>
      <c r="AZ24" s="144"/>
      <c r="BA24" s="144"/>
      <c r="BB24" s="144"/>
      <c r="BC24" s="145"/>
      <c r="BD24" s="145"/>
      <c r="BE24" s="145"/>
      <c r="BF24" s="145"/>
      <c r="BG24" s="145"/>
      <c r="BH24" s="145"/>
      <c r="BI24" s="145"/>
      <c r="BJ24" s="145"/>
      <c r="BK24" s="145"/>
      <c r="BL24" s="145"/>
      <c r="BM24" s="145"/>
      <c r="BN24" s="176">
        <f t="shared" si="1"/>
        <v>15</v>
      </c>
      <c r="BO24" s="152">
        <f t="shared" si="1"/>
        <v>0</v>
      </c>
      <c r="BP24" s="147"/>
      <c r="BQ24" s="147"/>
      <c r="BR24" s="147"/>
      <c r="BS24" s="147"/>
      <c r="BT24" s="147"/>
      <c r="BU24" s="147"/>
      <c r="BV24" s="147"/>
      <c r="BW24" s="147"/>
      <c r="BX24" s="147"/>
      <c r="BY24" s="147"/>
      <c r="BZ24" s="147"/>
      <c r="CA24" s="147"/>
    </row>
    <row r="25" spans="1:79">
      <c r="A25" s="144" t="s">
        <v>260</v>
      </c>
      <c r="B25" s="144">
        <v>0</v>
      </c>
      <c r="C25" s="414">
        <v>0</v>
      </c>
      <c r="D25" s="144">
        <v>10</v>
      </c>
      <c r="E25" s="414">
        <f t="shared" si="12"/>
        <v>3431244</v>
      </c>
      <c r="F25" s="144">
        <v>10</v>
      </c>
      <c r="G25" s="414">
        <f t="shared" si="2"/>
        <v>3431244</v>
      </c>
      <c r="H25" s="144">
        <v>10</v>
      </c>
      <c r="I25" s="414">
        <f t="shared" si="3"/>
        <v>3431244</v>
      </c>
      <c r="J25" s="144">
        <v>10</v>
      </c>
      <c r="K25" s="414">
        <f t="shared" si="4"/>
        <v>3431244</v>
      </c>
      <c r="L25" s="144">
        <v>10</v>
      </c>
      <c r="M25" s="414">
        <f t="shared" si="5"/>
        <v>3431244</v>
      </c>
      <c r="N25" s="144">
        <v>10</v>
      </c>
      <c r="O25" s="413">
        <f t="shared" si="6"/>
        <v>3431244</v>
      </c>
      <c r="P25" s="145">
        <v>10</v>
      </c>
      <c r="Q25" s="413">
        <f t="shared" si="7"/>
        <v>3431244</v>
      </c>
      <c r="R25" s="145">
        <v>10</v>
      </c>
      <c r="S25" s="413">
        <f t="shared" si="8"/>
        <v>3431244</v>
      </c>
      <c r="T25" s="145">
        <v>10</v>
      </c>
      <c r="U25" s="413">
        <f t="shared" si="9"/>
        <v>3431244</v>
      </c>
      <c r="V25" s="145">
        <v>10</v>
      </c>
      <c r="W25" s="413">
        <f t="shared" si="10"/>
        <v>3431244</v>
      </c>
      <c r="X25" s="145">
        <v>10</v>
      </c>
      <c r="Y25" s="413">
        <f t="shared" si="13"/>
        <v>3431243</v>
      </c>
      <c r="Z25" s="176">
        <f t="shared" si="0"/>
        <v>110</v>
      </c>
      <c r="AA25" s="152">
        <f t="shared" si="0"/>
        <v>37743683</v>
      </c>
      <c r="AB25" s="175"/>
      <c r="AC25" s="175"/>
      <c r="AD25" s="175"/>
      <c r="AE25" s="175"/>
      <c r="AF25" s="175"/>
      <c r="AG25" s="147"/>
      <c r="AH25" s="147"/>
      <c r="AI25" s="147"/>
      <c r="AJ25" s="147"/>
      <c r="AK25" s="147"/>
      <c r="AL25" s="147"/>
      <c r="AM25" s="147"/>
      <c r="AO25" s="144" t="s">
        <v>260</v>
      </c>
      <c r="AP25" s="144">
        <v>0</v>
      </c>
      <c r="AQ25" s="144">
        <v>0</v>
      </c>
      <c r="AR25" s="144">
        <v>9</v>
      </c>
      <c r="AS25" s="550"/>
      <c r="AT25" s="144"/>
      <c r="AU25" s="144"/>
      <c r="AV25" s="144"/>
      <c r="AW25" s="144"/>
      <c r="AX25" s="144"/>
      <c r="AY25" s="144"/>
      <c r="AZ25" s="144"/>
      <c r="BA25" s="144"/>
      <c r="BB25" s="144"/>
      <c r="BC25" s="145"/>
      <c r="BD25" s="145"/>
      <c r="BE25" s="145"/>
      <c r="BF25" s="145"/>
      <c r="BG25" s="145"/>
      <c r="BH25" s="145"/>
      <c r="BI25" s="145"/>
      <c r="BJ25" s="145"/>
      <c r="BK25" s="145"/>
      <c r="BL25" s="145"/>
      <c r="BM25" s="145"/>
      <c r="BN25" s="176">
        <f t="shared" si="1"/>
        <v>9</v>
      </c>
      <c r="BO25" s="152">
        <f t="shared" si="1"/>
        <v>0</v>
      </c>
      <c r="BP25" s="147"/>
      <c r="BQ25" s="147"/>
      <c r="BR25" s="147"/>
      <c r="BS25" s="147"/>
      <c r="BT25" s="147"/>
      <c r="BU25" s="147"/>
      <c r="BV25" s="147"/>
      <c r="BW25" s="147"/>
      <c r="BX25" s="147"/>
      <c r="BY25" s="147"/>
      <c r="BZ25" s="147"/>
      <c r="CA25" s="147"/>
    </row>
    <row r="26" spans="1:79">
      <c r="A26" s="144" t="s">
        <v>261</v>
      </c>
      <c r="B26" s="144">
        <v>0</v>
      </c>
      <c r="C26" s="414">
        <v>0</v>
      </c>
      <c r="D26" s="144">
        <v>5</v>
      </c>
      <c r="E26" s="414">
        <f t="shared" si="12"/>
        <v>1715622</v>
      </c>
      <c r="F26" s="144">
        <v>5</v>
      </c>
      <c r="G26" s="414">
        <f t="shared" si="2"/>
        <v>1715622</v>
      </c>
      <c r="H26" s="144">
        <v>5</v>
      </c>
      <c r="I26" s="414">
        <f t="shared" si="3"/>
        <v>1715622</v>
      </c>
      <c r="J26" s="144">
        <v>5</v>
      </c>
      <c r="K26" s="414">
        <f t="shared" si="4"/>
        <v>1715622</v>
      </c>
      <c r="L26" s="144">
        <v>5</v>
      </c>
      <c r="M26" s="414">
        <f t="shared" si="5"/>
        <v>1715622</v>
      </c>
      <c r="N26" s="144">
        <v>5</v>
      </c>
      <c r="O26" s="413">
        <f t="shared" si="6"/>
        <v>1715622</v>
      </c>
      <c r="P26" s="145">
        <v>5</v>
      </c>
      <c r="Q26" s="413">
        <f t="shared" si="7"/>
        <v>1715622</v>
      </c>
      <c r="R26" s="145">
        <v>5</v>
      </c>
      <c r="S26" s="413">
        <f t="shared" si="8"/>
        <v>1715622</v>
      </c>
      <c r="T26" s="145">
        <v>5</v>
      </c>
      <c r="U26" s="413">
        <f t="shared" si="9"/>
        <v>1715622</v>
      </c>
      <c r="V26" s="145">
        <v>5</v>
      </c>
      <c r="W26" s="413">
        <f t="shared" si="10"/>
        <v>1715622</v>
      </c>
      <c r="X26" s="145">
        <v>10</v>
      </c>
      <c r="Y26" s="413">
        <f t="shared" si="13"/>
        <v>3431243</v>
      </c>
      <c r="Z26" s="176">
        <f t="shared" si="0"/>
        <v>60</v>
      </c>
      <c r="AA26" s="152">
        <f t="shared" si="0"/>
        <v>20587463</v>
      </c>
      <c r="AB26" s="175"/>
      <c r="AC26" s="175"/>
      <c r="AD26" s="175"/>
      <c r="AE26" s="175"/>
      <c r="AF26" s="175"/>
      <c r="AG26" s="147"/>
      <c r="AH26" s="147"/>
      <c r="AI26" s="147"/>
      <c r="AJ26" s="147"/>
      <c r="AK26" s="147"/>
      <c r="AL26" s="147"/>
      <c r="AM26" s="147"/>
      <c r="AO26" s="144" t="s">
        <v>261</v>
      </c>
      <c r="AP26" s="144">
        <v>0</v>
      </c>
      <c r="AQ26" s="144">
        <v>0</v>
      </c>
      <c r="AR26" s="144">
        <v>9</v>
      </c>
      <c r="AS26" s="550"/>
      <c r="AT26" s="144"/>
      <c r="AU26" s="144"/>
      <c r="AV26" s="144"/>
      <c r="AW26" s="144"/>
      <c r="AX26" s="144"/>
      <c r="AY26" s="144"/>
      <c r="AZ26" s="144"/>
      <c r="BA26" s="144"/>
      <c r="BB26" s="144"/>
      <c r="BC26" s="145"/>
      <c r="BD26" s="145"/>
      <c r="BE26" s="145"/>
      <c r="BF26" s="145"/>
      <c r="BG26" s="145"/>
      <c r="BH26" s="145"/>
      <c r="BI26" s="145"/>
      <c r="BJ26" s="145"/>
      <c r="BK26" s="145"/>
      <c r="BL26" s="145"/>
      <c r="BM26" s="145"/>
      <c r="BN26" s="176">
        <f t="shared" si="1"/>
        <v>9</v>
      </c>
      <c r="BO26" s="152">
        <f t="shared" si="1"/>
        <v>0</v>
      </c>
      <c r="BP26" s="147"/>
      <c r="BQ26" s="147"/>
      <c r="BR26" s="147"/>
      <c r="BS26" s="147"/>
      <c r="BT26" s="147"/>
      <c r="BU26" s="147"/>
      <c r="BV26" s="147"/>
      <c r="BW26" s="147"/>
      <c r="BX26" s="147"/>
      <c r="BY26" s="147"/>
      <c r="BZ26" s="147"/>
      <c r="CA26" s="147"/>
    </row>
    <row r="27" spans="1:79">
      <c r="A27" s="144" t="s">
        <v>262</v>
      </c>
      <c r="B27" s="144">
        <v>0</v>
      </c>
      <c r="C27" s="414">
        <v>0</v>
      </c>
      <c r="D27" s="144">
        <v>15</v>
      </c>
      <c r="E27" s="414">
        <f t="shared" si="12"/>
        <v>5146866</v>
      </c>
      <c r="F27" s="144">
        <v>15</v>
      </c>
      <c r="G27" s="414">
        <f t="shared" si="2"/>
        <v>5146866</v>
      </c>
      <c r="H27" s="144">
        <v>15</v>
      </c>
      <c r="I27" s="414">
        <f t="shared" si="3"/>
        <v>5146866</v>
      </c>
      <c r="J27" s="144">
        <v>15</v>
      </c>
      <c r="K27" s="414">
        <f t="shared" si="4"/>
        <v>5146866</v>
      </c>
      <c r="L27" s="144">
        <v>15</v>
      </c>
      <c r="M27" s="414">
        <f t="shared" si="5"/>
        <v>5146866</v>
      </c>
      <c r="N27" s="144">
        <v>15</v>
      </c>
      <c r="O27" s="413">
        <f t="shared" si="6"/>
        <v>5146866</v>
      </c>
      <c r="P27" s="145">
        <v>15</v>
      </c>
      <c r="Q27" s="413">
        <f t="shared" si="7"/>
        <v>5146866</v>
      </c>
      <c r="R27" s="145">
        <v>15</v>
      </c>
      <c r="S27" s="413">
        <f t="shared" si="8"/>
        <v>5146866</v>
      </c>
      <c r="T27" s="145">
        <v>15</v>
      </c>
      <c r="U27" s="413">
        <f t="shared" si="9"/>
        <v>5146866</v>
      </c>
      <c r="V27" s="145">
        <v>15</v>
      </c>
      <c r="W27" s="413">
        <f t="shared" si="10"/>
        <v>5146866</v>
      </c>
      <c r="X27" s="145">
        <v>10</v>
      </c>
      <c r="Y27" s="413">
        <f t="shared" si="13"/>
        <v>3431243</v>
      </c>
      <c r="Z27" s="176">
        <f t="shared" si="0"/>
        <v>160</v>
      </c>
      <c r="AA27" s="152">
        <f t="shared" si="0"/>
        <v>54899903</v>
      </c>
      <c r="AB27" s="175"/>
      <c r="AC27" s="175"/>
      <c r="AD27" s="175"/>
      <c r="AE27" s="175"/>
      <c r="AF27" s="175"/>
      <c r="AG27" s="147"/>
      <c r="AH27" s="147"/>
      <c r="AI27" s="147"/>
      <c r="AJ27" s="147"/>
      <c r="AK27" s="147"/>
      <c r="AL27" s="147"/>
      <c r="AM27" s="147"/>
      <c r="AO27" s="144" t="s">
        <v>262</v>
      </c>
      <c r="AP27" s="144">
        <v>0</v>
      </c>
      <c r="AQ27" s="144">
        <v>0</v>
      </c>
      <c r="AR27" s="144">
        <v>5</v>
      </c>
      <c r="AS27" s="550"/>
      <c r="AT27" s="144"/>
      <c r="AU27" s="144"/>
      <c r="AV27" s="144"/>
      <c r="AW27" s="144"/>
      <c r="AX27" s="144"/>
      <c r="AY27" s="144"/>
      <c r="AZ27" s="144"/>
      <c r="BA27" s="144"/>
      <c r="BB27" s="144"/>
      <c r="BC27" s="145"/>
      <c r="BD27" s="145"/>
      <c r="BE27" s="145"/>
      <c r="BF27" s="145"/>
      <c r="BG27" s="145"/>
      <c r="BH27" s="145"/>
      <c r="BI27" s="145"/>
      <c r="BJ27" s="145"/>
      <c r="BK27" s="145"/>
      <c r="BL27" s="145"/>
      <c r="BM27" s="145"/>
      <c r="BN27" s="176">
        <f t="shared" si="1"/>
        <v>5</v>
      </c>
      <c r="BO27" s="152">
        <f t="shared" si="1"/>
        <v>0</v>
      </c>
      <c r="BP27" s="147"/>
      <c r="BQ27" s="147"/>
      <c r="BR27" s="147"/>
      <c r="BS27" s="147"/>
      <c r="BT27" s="147"/>
      <c r="BU27" s="147"/>
      <c r="BV27" s="147"/>
      <c r="BW27" s="147"/>
      <c r="BX27" s="147"/>
      <c r="BY27" s="147"/>
      <c r="BZ27" s="147"/>
      <c r="CA27" s="147"/>
    </row>
    <row r="28" spans="1:79">
      <c r="A28" s="144" t="s">
        <v>263</v>
      </c>
      <c r="B28" s="144">
        <v>0</v>
      </c>
      <c r="C28" s="414">
        <v>0</v>
      </c>
      <c r="D28" s="144">
        <v>5</v>
      </c>
      <c r="E28" s="414">
        <f t="shared" si="12"/>
        <v>1715622</v>
      </c>
      <c r="F28" s="144">
        <v>5</v>
      </c>
      <c r="G28" s="414">
        <f t="shared" si="2"/>
        <v>1715622</v>
      </c>
      <c r="H28" s="144">
        <v>5</v>
      </c>
      <c r="I28" s="414">
        <f t="shared" si="3"/>
        <v>1715622</v>
      </c>
      <c r="J28" s="144">
        <v>5</v>
      </c>
      <c r="K28" s="414">
        <f t="shared" si="4"/>
        <v>1715622</v>
      </c>
      <c r="L28" s="144">
        <v>5</v>
      </c>
      <c r="M28" s="414">
        <f t="shared" si="5"/>
        <v>1715622</v>
      </c>
      <c r="N28" s="144">
        <v>5</v>
      </c>
      <c r="O28" s="413">
        <f t="shared" si="6"/>
        <v>1715622</v>
      </c>
      <c r="P28" s="145">
        <v>5</v>
      </c>
      <c r="Q28" s="413">
        <f t="shared" si="7"/>
        <v>1715622</v>
      </c>
      <c r="R28" s="145">
        <v>5</v>
      </c>
      <c r="S28" s="413">
        <f t="shared" si="8"/>
        <v>1715622</v>
      </c>
      <c r="T28" s="145">
        <v>5</v>
      </c>
      <c r="U28" s="413">
        <f t="shared" si="9"/>
        <v>1715622</v>
      </c>
      <c r="V28" s="145">
        <v>5</v>
      </c>
      <c r="W28" s="413">
        <f t="shared" si="10"/>
        <v>1715622</v>
      </c>
      <c r="X28" s="145">
        <v>10</v>
      </c>
      <c r="Y28" s="413">
        <f t="shared" si="13"/>
        <v>3431243</v>
      </c>
      <c r="Z28" s="176">
        <f t="shared" si="0"/>
        <v>60</v>
      </c>
      <c r="AA28" s="152">
        <f t="shared" si="0"/>
        <v>20587463</v>
      </c>
      <c r="AB28" s="175"/>
      <c r="AC28" s="175"/>
      <c r="AD28" s="175"/>
      <c r="AE28" s="175"/>
      <c r="AF28" s="175"/>
      <c r="AG28" s="147"/>
      <c r="AH28" s="147"/>
      <c r="AI28" s="147"/>
      <c r="AJ28" s="147"/>
      <c r="AK28" s="147"/>
      <c r="AL28" s="147"/>
      <c r="AM28" s="147"/>
      <c r="AO28" s="144" t="s">
        <v>263</v>
      </c>
      <c r="AP28" s="144">
        <v>0</v>
      </c>
      <c r="AQ28" s="144">
        <v>0</v>
      </c>
      <c r="AR28" s="144">
        <v>1</v>
      </c>
      <c r="AS28" s="550"/>
      <c r="AT28" s="144"/>
      <c r="AU28" s="144"/>
      <c r="AV28" s="144"/>
      <c r="AW28" s="144"/>
      <c r="AX28" s="144"/>
      <c r="AY28" s="144"/>
      <c r="AZ28" s="144"/>
      <c r="BA28" s="144"/>
      <c r="BB28" s="144"/>
      <c r="BC28" s="145"/>
      <c r="BD28" s="145"/>
      <c r="BE28" s="145"/>
      <c r="BF28" s="145"/>
      <c r="BG28" s="145"/>
      <c r="BH28" s="145"/>
      <c r="BI28" s="145"/>
      <c r="BJ28" s="145"/>
      <c r="BK28" s="145"/>
      <c r="BL28" s="145"/>
      <c r="BM28" s="145"/>
      <c r="BN28" s="176">
        <f t="shared" si="1"/>
        <v>1</v>
      </c>
      <c r="BO28" s="152">
        <f t="shared" si="1"/>
        <v>0</v>
      </c>
      <c r="BP28" s="147"/>
      <c r="BQ28" s="147"/>
      <c r="BR28" s="147"/>
      <c r="BS28" s="147"/>
      <c r="BT28" s="147"/>
      <c r="BU28" s="147"/>
      <c r="BV28" s="147"/>
      <c r="BW28" s="147"/>
      <c r="BX28" s="147"/>
      <c r="BY28" s="147"/>
      <c r="BZ28" s="147"/>
      <c r="CA28" s="147"/>
    </row>
    <row r="29" spans="1:79">
      <c r="A29" s="144" t="s">
        <v>264</v>
      </c>
      <c r="B29" s="144">
        <v>0</v>
      </c>
      <c r="C29" s="414">
        <v>0</v>
      </c>
      <c r="D29" s="144">
        <v>30</v>
      </c>
      <c r="E29" s="414">
        <f t="shared" si="12"/>
        <v>10293732</v>
      </c>
      <c r="F29" s="144">
        <v>55</v>
      </c>
      <c r="G29" s="414">
        <f t="shared" si="2"/>
        <v>18871842</v>
      </c>
      <c r="H29" s="144">
        <v>55</v>
      </c>
      <c r="I29" s="414">
        <f t="shared" si="3"/>
        <v>18871842</v>
      </c>
      <c r="J29" s="144">
        <v>55</v>
      </c>
      <c r="K29" s="414">
        <f t="shared" si="4"/>
        <v>18871842</v>
      </c>
      <c r="L29" s="144">
        <v>55</v>
      </c>
      <c r="M29" s="414">
        <f t="shared" si="5"/>
        <v>18871842</v>
      </c>
      <c r="N29" s="144">
        <v>55</v>
      </c>
      <c r="O29" s="413">
        <f t="shared" si="6"/>
        <v>18871842</v>
      </c>
      <c r="P29" s="145">
        <v>55</v>
      </c>
      <c r="Q29" s="413">
        <f t="shared" si="7"/>
        <v>18871842</v>
      </c>
      <c r="R29" s="145">
        <v>55</v>
      </c>
      <c r="S29" s="413">
        <f t="shared" si="8"/>
        <v>18871842</v>
      </c>
      <c r="T29" s="145">
        <v>55</v>
      </c>
      <c r="U29" s="413">
        <f t="shared" si="9"/>
        <v>18871842</v>
      </c>
      <c r="V29" s="145">
        <v>55</v>
      </c>
      <c r="W29" s="413">
        <f t="shared" si="10"/>
        <v>18871842</v>
      </c>
      <c r="X29" s="145">
        <v>11</v>
      </c>
      <c r="Y29" s="413">
        <f t="shared" si="13"/>
        <v>3774367.3</v>
      </c>
      <c r="Z29" s="176">
        <f t="shared" si="0"/>
        <v>536</v>
      </c>
      <c r="AA29" s="152">
        <f t="shared" si="0"/>
        <v>183914677.30000001</v>
      </c>
      <c r="AB29" s="175"/>
      <c r="AC29" s="175"/>
      <c r="AD29" s="175"/>
      <c r="AE29" s="175"/>
      <c r="AF29" s="175"/>
      <c r="AG29" s="147"/>
      <c r="AH29" s="147"/>
      <c r="AI29" s="147"/>
      <c r="AJ29" s="147"/>
      <c r="AK29" s="147"/>
      <c r="AL29" s="147"/>
      <c r="AM29" s="147"/>
      <c r="AO29" s="144" t="s">
        <v>264</v>
      </c>
      <c r="AP29" s="144">
        <v>0</v>
      </c>
      <c r="AQ29" s="144">
        <v>0</v>
      </c>
      <c r="AR29" s="144">
        <v>11</v>
      </c>
      <c r="AS29" s="550"/>
      <c r="AT29" s="144"/>
      <c r="AU29" s="144"/>
      <c r="AV29" s="144"/>
      <c r="AW29" s="144"/>
      <c r="AX29" s="144"/>
      <c r="AY29" s="144"/>
      <c r="AZ29" s="144"/>
      <c r="BA29" s="144"/>
      <c r="BB29" s="144"/>
      <c r="BC29" s="145"/>
      <c r="BD29" s="145"/>
      <c r="BE29" s="145"/>
      <c r="BF29" s="145"/>
      <c r="BG29" s="145"/>
      <c r="BH29" s="145"/>
      <c r="BI29" s="145"/>
      <c r="BJ29" s="145"/>
      <c r="BK29" s="145"/>
      <c r="BL29" s="145"/>
      <c r="BM29" s="145"/>
      <c r="BN29" s="176">
        <f t="shared" si="1"/>
        <v>11</v>
      </c>
      <c r="BO29" s="152">
        <f t="shared" si="1"/>
        <v>0</v>
      </c>
      <c r="BP29" s="147"/>
      <c r="BQ29" s="147"/>
      <c r="BR29" s="147"/>
      <c r="BS29" s="147"/>
      <c r="BT29" s="147"/>
      <c r="BU29" s="147"/>
      <c r="BV29" s="147"/>
      <c r="BW29" s="147"/>
      <c r="BX29" s="147"/>
      <c r="BY29" s="147"/>
      <c r="BZ29" s="147"/>
      <c r="CA29" s="147"/>
    </row>
    <row r="30" spans="1:79">
      <c r="A30" s="144" t="s">
        <v>265</v>
      </c>
      <c r="B30" s="144">
        <v>0</v>
      </c>
      <c r="C30" s="414">
        <v>0</v>
      </c>
      <c r="D30" s="144">
        <v>30</v>
      </c>
      <c r="E30" s="414">
        <f t="shared" si="12"/>
        <v>10293732</v>
      </c>
      <c r="F30" s="144">
        <v>55</v>
      </c>
      <c r="G30" s="414">
        <f t="shared" si="2"/>
        <v>18871842</v>
      </c>
      <c r="H30" s="144">
        <v>55</v>
      </c>
      <c r="I30" s="414">
        <f t="shared" si="3"/>
        <v>18871842</v>
      </c>
      <c r="J30" s="144">
        <v>55</v>
      </c>
      <c r="K30" s="414">
        <f t="shared" si="4"/>
        <v>18871842</v>
      </c>
      <c r="L30" s="144">
        <v>55</v>
      </c>
      <c r="M30" s="414">
        <f t="shared" si="5"/>
        <v>18871842</v>
      </c>
      <c r="N30" s="144">
        <v>55</v>
      </c>
      <c r="O30" s="413">
        <f t="shared" si="6"/>
        <v>18871842</v>
      </c>
      <c r="P30" s="145">
        <v>55</v>
      </c>
      <c r="Q30" s="413">
        <f t="shared" si="7"/>
        <v>18871842</v>
      </c>
      <c r="R30" s="145">
        <v>55</v>
      </c>
      <c r="S30" s="413">
        <f t="shared" si="8"/>
        <v>18871842</v>
      </c>
      <c r="T30" s="145">
        <v>55</v>
      </c>
      <c r="U30" s="413">
        <f t="shared" si="9"/>
        <v>18871842</v>
      </c>
      <c r="V30" s="145">
        <v>55</v>
      </c>
      <c r="W30" s="413">
        <f t="shared" si="10"/>
        <v>18871842</v>
      </c>
      <c r="X30" s="145">
        <v>11</v>
      </c>
      <c r="Y30" s="413">
        <f t="shared" si="13"/>
        <v>3774367.3</v>
      </c>
      <c r="Z30" s="176">
        <f t="shared" si="0"/>
        <v>536</v>
      </c>
      <c r="AA30" s="152">
        <f t="shared" si="0"/>
        <v>183914677.30000001</v>
      </c>
      <c r="AB30" s="175"/>
      <c r="AC30" s="175"/>
      <c r="AD30" s="175"/>
      <c r="AE30" s="175"/>
      <c r="AF30" s="175"/>
      <c r="AG30" s="147"/>
      <c r="AH30" s="147"/>
      <c r="AI30" s="147"/>
      <c r="AJ30" s="147"/>
      <c r="AK30" s="147"/>
      <c r="AL30" s="147"/>
      <c r="AM30" s="147"/>
      <c r="AO30" s="144" t="s">
        <v>265</v>
      </c>
      <c r="AP30" s="144">
        <v>0</v>
      </c>
      <c r="AQ30" s="144">
        <v>0</v>
      </c>
      <c r="AR30" s="144">
        <v>69</v>
      </c>
      <c r="AS30" s="550"/>
      <c r="AT30" s="144"/>
      <c r="AU30" s="144"/>
      <c r="AV30" s="144"/>
      <c r="AW30" s="144"/>
      <c r="AX30" s="144"/>
      <c r="AY30" s="144"/>
      <c r="AZ30" s="144"/>
      <c r="BA30" s="144"/>
      <c r="BB30" s="144"/>
      <c r="BC30" s="145"/>
      <c r="BD30" s="145"/>
      <c r="BE30" s="145"/>
      <c r="BF30" s="145"/>
      <c r="BG30" s="145"/>
      <c r="BH30" s="145"/>
      <c r="BI30" s="145"/>
      <c r="BJ30" s="145"/>
      <c r="BK30" s="145"/>
      <c r="BL30" s="145"/>
      <c r="BM30" s="145"/>
      <c r="BN30" s="176">
        <f t="shared" si="1"/>
        <v>69</v>
      </c>
      <c r="BO30" s="152">
        <f t="shared" si="1"/>
        <v>0</v>
      </c>
      <c r="BP30" s="147"/>
      <c r="BQ30" s="147"/>
      <c r="BR30" s="147"/>
      <c r="BS30" s="147"/>
      <c r="BT30" s="147"/>
      <c r="BU30" s="147"/>
      <c r="BV30" s="147"/>
      <c r="BW30" s="147"/>
      <c r="BX30" s="147"/>
      <c r="BY30" s="147"/>
      <c r="BZ30" s="147"/>
      <c r="CA30" s="147"/>
    </row>
    <row r="31" spans="1:79">
      <c r="A31" s="144" t="s">
        <v>266</v>
      </c>
      <c r="B31" s="144">
        <v>0</v>
      </c>
      <c r="C31" s="414">
        <v>0</v>
      </c>
      <c r="D31" s="144">
        <v>0</v>
      </c>
      <c r="E31" s="414">
        <f t="shared" ref="E31" si="14">360428.6*D31</f>
        <v>0</v>
      </c>
      <c r="F31" s="144">
        <v>2</v>
      </c>
      <c r="G31" s="414">
        <f t="shared" si="2"/>
        <v>686248.8</v>
      </c>
      <c r="H31" s="144">
        <v>2</v>
      </c>
      <c r="I31" s="414">
        <f t="shared" si="3"/>
        <v>686248.8</v>
      </c>
      <c r="J31" s="144">
        <v>2</v>
      </c>
      <c r="K31" s="414">
        <f t="shared" si="4"/>
        <v>686248.8</v>
      </c>
      <c r="L31" s="144">
        <v>2</v>
      </c>
      <c r="M31" s="414">
        <f t="shared" si="5"/>
        <v>686248.8</v>
      </c>
      <c r="N31" s="144">
        <v>2</v>
      </c>
      <c r="O31" s="413">
        <f t="shared" si="6"/>
        <v>686248.8</v>
      </c>
      <c r="P31" s="145">
        <v>2</v>
      </c>
      <c r="Q31" s="413">
        <f t="shared" si="7"/>
        <v>686248.8</v>
      </c>
      <c r="R31" s="145">
        <v>2</v>
      </c>
      <c r="S31" s="413">
        <f t="shared" si="8"/>
        <v>686248.8</v>
      </c>
      <c r="T31" s="145">
        <v>2</v>
      </c>
      <c r="U31" s="413">
        <f t="shared" si="9"/>
        <v>686248.8</v>
      </c>
      <c r="V31" s="145">
        <v>2</v>
      </c>
      <c r="W31" s="413">
        <f t="shared" si="10"/>
        <v>686248.8</v>
      </c>
      <c r="X31" s="145">
        <v>2</v>
      </c>
      <c r="Y31" s="413">
        <f t="shared" si="13"/>
        <v>686248.6</v>
      </c>
      <c r="Z31" s="176">
        <f t="shared" si="0"/>
        <v>20</v>
      </c>
      <c r="AA31" s="152">
        <f t="shared" si="0"/>
        <v>6862487.7999999989</v>
      </c>
      <c r="AB31" s="175"/>
      <c r="AC31" s="175"/>
      <c r="AD31" s="175"/>
      <c r="AE31" s="175"/>
      <c r="AF31" s="175"/>
      <c r="AG31" s="147"/>
      <c r="AH31" s="147"/>
      <c r="AI31" s="147"/>
      <c r="AJ31" s="147"/>
      <c r="AK31" s="147"/>
      <c r="AL31" s="147"/>
      <c r="AM31" s="147"/>
      <c r="AO31" s="144" t="s">
        <v>266</v>
      </c>
      <c r="AP31" s="144">
        <v>0</v>
      </c>
      <c r="AQ31" s="144">
        <v>0</v>
      </c>
      <c r="AR31" s="144">
        <v>1</v>
      </c>
      <c r="AS31" s="550"/>
      <c r="AT31" s="144"/>
      <c r="AU31" s="144"/>
      <c r="AV31" s="144"/>
      <c r="AW31" s="144"/>
      <c r="AX31" s="144"/>
      <c r="AY31" s="144"/>
      <c r="AZ31" s="144"/>
      <c r="BA31" s="144"/>
      <c r="BB31" s="144"/>
      <c r="BC31" s="145"/>
      <c r="BD31" s="145"/>
      <c r="BE31" s="145"/>
      <c r="BF31" s="145"/>
      <c r="BG31" s="145"/>
      <c r="BH31" s="145"/>
      <c r="BI31" s="145"/>
      <c r="BJ31" s="145"/>
      <c r="BK31" s="145"/>
      <c r="BL31" s="145"/>
      <c r="BM31" s="145"/>
      <c r="BN31" s="176">
        <f t="shared" si="1"/>
        <v>1</v>
      </c>
      <c r="BO31" s="152">
        <f t="shared" si="1"/>
        <v>0</v>
      </c>
      <c r="BP31" s="147"/>
      <c r="BQ31" s="147"/>
      <c r="BR31" s="147"/>
      <c r="BS31" s="147"/>
      <c r="BT31" s="147"/>
      <c r="BU31" s="147"/>
      <c r="BV31" s="147"/>
      <c r="BW31" s="147"/>
      <c r="BX31" s="147"/>
      <c r="BY31" s="147"/>
      <c r="BZ31" s="147"/>
      <c r="CA31" s="147"/>
    </row>
    <row r="32" spans="1:79">
      <c r="A32" s="149" t="s">
        <v>267</v>
      </c>
      <c r="B32" s="146">
        <f>SUM(B11:B31)</f>
        <v>0</v>
      </c>
      <c r="C32" s="146">
        <f t="shared" ref="C32:AM32" si="15">SUM(C11:C31)</f>
        <v>0</v>
      </c>
      <c r="D32" s="146">
        <f t="shared" si="15"/>
        <v>500</v>
      </c>
      <c r="E32" s="415">
        <f t="shared" si="15"/>
        <v>171562200</v>
      </c>
      <c r="F32" s="146">
        <f t="shared" si="15"/>
        <v>700</v>
      </c>
      <c r="G32" s="415">
        <f t="shared" si="15"/>
        <v>240187080</v>
      </c>
      <c r="H32" s="146">
        <f t="shared" si="15"/>
        <v>700</v>
      </c>
      <c r="I32" s="415">
        <f t="shared" si="15"/>
        <v>240187080</v>
      </c>
      <c r="J32" s="146">
        <f t="shared" si="15"/>
        <v>700</v>
      </c>
      <c r="K32" s="415">
        <f t="shared" si="15"/>
        <v>240187080</v>
      </c>
      <c r="L32" s="146">
        <f t="shared" si="15"/>
        <v>700</v>
      </c>
      <c r="M32" s="415">
        <f t="shared" si="15"/>
        <v>240187080</v>
      </c>
      <c r="N32" s="146">
        <f t="shared" si="15"/>
        <v>700</v>
      </c>
      <c r="O32" s="415">
        <f t="shared" si="15"/>
        <v>240187080</v>
      </c>
      <c r="P32" s="146">
        <f t="shared" si="15"/>
        <v>700</v>
      </c>
      <c r="Q32" s="415">
        <f t="shared" si="15"/>
        <v>240187080</v>
      </c>
      <c r="R32" s="146">
        <f t="shared" si="15"/>
        <v>700</v>
      </c>
      <c r="S32" s="415">
        <f t="shared" si="15"/>
        <v>240187080</v>
      </c>
      <c r="T32" s="146">
        <f t="shared" si="15"/>
        <v>700</v>
      </c>
      <c r="U32" s="415">
        <f t="shared" si="15"/>
        <v>240187080</v>
      </c>
      <c r="V32" s="146">
        <f t="shared" si="15"/>
        <v>700</v>
      </c>
      <c r="W32" s="415">
        <f t="shared" si="15"/>
        <v>240187080</v>
      </c>
      <c r="X32" s="146">
        <f t="shared" si="15"/>
        <v>200</v>
      </c>
      <c r="Y32" s="415">
        <f t="shared" si="15"/>
        <v>68624866.999999985</v>
      </c>
      <c r="Z32" s="146">
        <f t="shared" si="15"/>
        <v>7000</v>
      </c>
      <c r="AA32" s="152">
        <f t="shared" si="15"/>
        <v>2401870787.0000005</v>
      </c>
      <c r="AB32" s="146">
        <f t="shared" si="15"/>
        <v>0</v>
      </c>
      <c r="AC32" s="146">
        <f t="shared" si="15"/>
        <v>0</v>
      </c>
      <c r="AD32" s="146">
        <f t="shared" si="15"/>
        <v>0</v>
      </c>
      <c r="AE32" s="146">
        <f t="shared" si="15"/>
        <v>0</v>
      </c>
      <c r="AF32" s="146">
        <f t="shared" si="15"/>
        <v>0</v>
      </c>
      <c r="AG32" s="146">
        <f t="shared" si="15"/>
        <v>0</v>
      </c>
      <c r="AH32" s="146">
        <f t="shared" si="15"/>
        <v>0</v>
      </c>
      <c r="AI32" s="146">
        <f t="shared" si="15"/>
        <v>0</v>
      </c>
      <c r="AJ32" s="146">
        <f t="shared" si="15"/>
        <v>0</v>
      </c>
      <c r="AK32" s="146">
        <f t="shared" si="15"/>
        <v>0</v>
      </c>
      <c r="AL32" s="146">
        <f t="shared" si="15"/>
        <v>0</v>
      </c>
      <c r="AM32" s="146">
        <f t="shared" si="15"/>
        <v>0</v>
      </c>
      <c r="AO32" s="149" t="s">
        <v>267</v>
      </c>
      <c r="AP32" s="146">
        <f t="shared" ref="AP32:BB32" si="16">SUM(AP11:AP31)</f>
        <v>0</v>
      </c>
      <c r="AQ32" s="146">
        <f t="shared" si="16"/>
        <v>0</v>
      </c>
      <c r="AR32" s="146">
        <f t="shared" si="16"/>
        <v>531</v>
      </c>
      <c r="AS32" s="546"/>
      <c r="AT32" s="146">
        <f t="shared" si="16"/>
        <v>0</v>
      </c>
      <c r="AU32" s="146">
        <f t="shared" si="16"/>
        <v>0</v>
      </c>
      <c r="AV32" s="146">
        <f t="shared" si="16"/>
        <v>0</v>
      </c>
      <c r="AW32" s="146">
        <f t="shared" si="16"/>
        <v>0</v>
      </c>
      <c r="AX32" s="146">
        <f t="shared" si="16"/>
        <v>0</v>
      </c>
      <c r="AY32" s="146">
        <f t="shared" si="16"/>
        <v>0</v>
      </c>
      <c r="AZ32" s="146">
        <f t="shared" si="16"/>
        <v>0</v>
      </c>
      <c r="BA32" s="146">
        <f t="shared" si="16"/>
        <v>0</v>
      </c>
      <c r="BB32" s="146">
        <f t="shared" si="16"/>
        <v>0</v>
      </c>
      <c r="BC32" s="146">
        <f>SUM(BC11:BC31)</f>
        <v>0</v>
      </c>
      <c r="BD32" s="146">
        <f t="shared" ref="BD32:CA32" si="17">SUM(BD11:BD31)</f>
        <v>0</v>
      </c>
      <c r="BE32" s="146">
        <f t="shared" si="17"/>
        <v>0</v>
      </c>
      <c r="BF32" s="146">
        <f t="shared" si="17"/>
        <v>0</v>
      </c>
      <c r="BG32" s="146">
        <f t="shared" si="17"/>
        <v>0</v>
      </c>
      <c r="BH32" s="146">
        <f t="shared" si="17"/>
        <v>0</v>
      </c>
      <c r="BI32" s="146">
        <f t="shared" si="17"/>
        <v>0</v>
      </c>
      <c r="BJ32" s="146">
        <f t="shared" si="17"/>
        <v>0</v>
      </c>
      <c r="BK32" s="146">
        <f t="shared" si="17"/>
        <v>0</v>
      </c>
      <c r="BL32" s="146">
        <f t="shared" si="17"/>
        <v>0</v>
      </c>
      <c r="BM32" s="146">
        <f t="shared" si="17"/>
        <v>0</v>
      </c>
      <c r="BN32" s="177">
        <f t="shared" si="17"/>
        <v>531</v>
      </c>
      <c r="BO32" s="153">
        <f t="shared" si="17"/>
        <v>0</v>
      </c>
      <c r="BP32" s="146">
        <f t="shared" si="17"/>
        <v>0</v>
      </c>
      <c r="BQ32" s="146">
        <f t="shared" si="17"/>
        <v>0</v>
      </c>
      <c r="BR32" s="146">
        <f t="shared" si="17"/>
        <v>0</v>
      </c>
      <c r="BS32" s="146">
        <f t="shared" si="17"/>
        <v>0</v>
      </c>
      <c r="BT32" s="146">
        <f t="shared" si="17"/>
        <v>0</v>
      </c>
      <c r="BU32" s="146">
        <f t="shared" si="17"/>
        <v>0</v>
      </c>
      <c r="BV32" s="146">
        <f t="shared" si="17"/>
        <v>0</v>
      </c>
      <c r="BW32" s="146">
        <f t="shared" si="17"/>
        <v>0</v>
      </c>
      <c r="BX32" s="146">
        <f t="shared" si="17"/>
        <v>0</v>
      </c>
      <c r="BY32" s="146">
        <f t="shared" si="17"/>
        <v>0</v>
      </c>
      <c r="BZ32" s="146">
        <f t="shared" si="17"/>
        <v>0</v>
      </c>
      <c r="CA32" s="146">
        <f t="shared" si="17"/>
        <v>0</v>
      </c>
    </row>
    <row r="33" spans="1:79" ht="89.25" customHeight="1">
      <c r="A33" s="558"/>
      <c r="B33" s="559"/>
      <c r="C33" s="559"/>
      <c r="D33" s="559"/>
      <c r="E33" s="560"/>
      <c r="F33" s="559"/>
      <c r="G33" s="560"/>
      <c r="H33" s="559"/>
      <c r="I33" s="560"/>
      <c r="J33" s="559"/>
      <c r="K33" s="560"/>
      <c r="L33" s="559"/>
      <c r="M33" s="560"/>
      <c r="N33" s="559"/>
      <c r="O33" s="560"/>
      <c r="P33" s="559"/>
      <c r="Q33" s="560"/>
      <c r="R33" s="559"/>
      <c r="S33" s="560"/>
      <c r="T33" s="559"/>
      <c r="U33" s="560"/>
      <c r="V33" s="559"/>
      <c r="W33" s="560"/>
      <c r="X33" s="559"/>
      <c r="Y33" s="560"/>
      <c r="Z33" s="559"/>
      <c r="AA33" s="561"/>
      <c r="AB33" s="559"/>
      <c r="AC33" s="559"/>
      <c r="AD33" s="559"/>
      <c r="AE33" s="559"/>
      <c r="AF33" s="559"/>
      <c r="AG33" s="559"/>
      <c r="AH33" s="559"/>
      <c r="AI33" s="559"/>
      <c r="AJ33" s="559"/>
      <c r="AK33" s="559"/>
      <c r="AL33" s="559"/>
      <c r="AM33" s="559"/>
      <c r="AO33" s="558"/>
      <c r="AP33" s="559"/>
      <c r="AQ33" s="559"/>
      <c r="AR33" s="559" t="s">
        <v>1106</v>
      </c>
      <c r="AS33" s="636" t="s">
        <v>1107</v>
      </c>
      <c r="AT33" s="559"/>
      <c r="AU33" s="559"/>
      <c r="AV33" s="559"/>
      <c r="AW33" s="559"/>
      <c r="AX33" s="559"/>
      <c r="AY33" s="559"/>
      <c r="AZ33" s="559"/>
      <c r="BA33" s="559"/>
      <c r="BB33" s="559"/>
      <c r="BC33" s="559"/>
      <c r="BD33" s="559"/>
      <c r="BE33" s="559"/>
      <c r="BF33" s="559"/>
      <c r="BG33" s="559"/>
      <c r="BH33" s="559"/>
      <c r="BI33" s="559"/>
      <c r="BJ33" s="559"/>
      <c r="BK33" s="559"/>
      <c r="BL33" s="559"/>
      <c r="BM33" s="559"/>
      <c r="BN33" s="562"/>
      <c r="BO33" s="563"/>
      <c r="BP33" s="559"/>
      <c r="BQ33" s="559"/>
      <c r="BR33" s="559"/>
      <c r="BS33" s="559"/>
      <c r="BT33" s="559"/>
      <c r="BU33" s="559"/>
      <c r="BV33" s="559"/>
      <c r="BW33" s="559"/>
      <c r="BX33" s="559"/>
      <c r="BY33" s="559"/>
      <c r="BZ33" s="559"/>
      <c r="CA33" s="559"/>
    </row>
    <row r="35" spans="1:79" ht="28.5">
      <c r="A35" s="150" t="s">
        <v>226</v>
      </c>
      <c r="B35" s="1047" t="s">
        <v>530</v>
      </c>
      <c r="C35" s="1047"/>
      <c r="D35" s="1047"/>
      <c r="E35" s="1047"/>
      <c r="F35" s="1047"/>
      <c r="G35" s="1047"/>
      <c r="H35" s="1047"/>
      <c r="I35" s="1047"/>
      <c r="J35" s="1047"/>
      <c r="K35" s="1047"/>
      <c r="L35" s="1047"/>
      <c r="M35" s="1047"/>
      <c r="N35" s="1047"/>
      <c r="O35" s="1047"/>
      <c r="P35" s="1047"/>
      <c r="Q35" s="1047"/>
      <c r="R35" s="1047"/>
      <c r="S35" s="1047"/>
      <c r="T35" s="1047"/>
      <c r="U35" s="1047"/>
      <c r="V35" s="1047"/>
      <c r="W35" s="1047"/>
      <c r="X35" s="1047"/>
      <c r="Y35" s="1047"/>
      <c r="Z35" s="1047"/>
      <c r="AA35" s="1047"/>
      <c r="AB35" s="1047"/>
      <c r="AC35" s="1047"/>
      <c r="AD35" s="1047"/>
      <c r="AE35" s="1047"/>
      <c r="AF35" s="1047"/>
      <c r="AG35" s="1047"/>
      <c r="AH35" s="1047"/>
      <c r="AI35" s="1047"/>
      <c r="AJ35" s="1047"/>
      <c r="AK35" s="1047"/>
      <c r="AL35" s="1047"/>
      <c r="AM35" s="1047"/>
      <c r="AN35" s="1047"/>
      <c r="AO35" s="1047"/>
      <c r="AP35" s="1047"/>
      <c r="AQ35" s="1047"/>
      <c r="AR35" s="1047"/>
      <c r="AS35" s="1047"/>
      <c r="AT35" s="1047"/>
      <c r="AU35" s="1047"/>
      <c r="AV35" s="1047"/>
      <c r="AW35" s="1047"/>
      <c r="AX35" s="1047"/>
      <c r="AY35" s="1047"/>
      <c r="AZ35" s="1047"/>
      <c r="BA35" s="1047"/>
      <c r="BB35" s="1047"/>
      <c r="BC35" s="1047"/>
      <c r="BD35" s="1047"/>
      <c r="BE35" s="1047"/>
      <c r="BF35" s="1047"/>
      <c r="BG35" s="1047"/>
      <c r="BH35" s="1047"/>
      <c r="BI35" s="1047"/>
      <c r="BJ35" s="1047"/>
      <c r="BK35" s="1047"/>
      <c r="BL35" s="1047"/>
      <c r="BM35" s="1047"/>
      <c r="BN35" s="1047"/>
      <c r="BO35" s="1047"/>
      <c r="BP35" s="1047"/>
      <c r="BQ35" s="1047"/>
      <c r="BR35" s="1047"/>
      <c r="BS35" s="1047"/>
      <c r="BT35" s="1047"/>
      <c r="BU35" s="1047"/>
      <c r="BV35" s="1047"/>
      <c r="BW35" s="1047"/>
      <c r="BX35" s="1047"/>
      <c r="BY35" s="1047"/>
      <c r="BZ35" s="1047"/>
      <c r="CA35" s="1047"/>
    </row>
    <row r="36" spans="1:79" ht="29.1" customHeight="1">
      <c r="A36" s="151" t="s">
        <v>227</v>
      </c>
      <c r="B36" s="1048" t="s">
        <v>170</v>
      </c>
      <c r="C36" s="1049"/>
      <c r="D36" s="1049"/>
      <c r="E36" s="1049"/>
      <c r="F36" s="1049"/>
      <c r="G36" s="1049"/>
      <c r="H36" s="1049"/>
      <c r="I36" s="1049"/>
      <c r="J36" s="1049"/>
      <c r="K36" s="1049"/>
      <c r="L36" s="1049"/>
      <c r="M36" s="1049"/>
      <c r="N36" s="1049"/>
      <c r="O36" s="1049"/>
      <c r="P36" s="1049"/>
      <c r="Q36" s="1049"/>
      <c r="R36" s="1049"/>
      <c r="S36" s="1049"/>
      <c r="T36" s="1049"/>
      <c r="U36" s="1049"/>
      <c r="V36" s="1049"/>
      <c r="W36" s="1049"/>
      <c r="X36" s="1049"/>
      <c r="Y36" s="1049"/>
      <c r="Z36" s="1049"/>
      <c r="AA36" s="1049"/>
      <c r="AB36" s="1049"/>
      <c r="AC36" s="1049"/>
      <c r="AD36" s="1049"/>
      <c r="AE36" s="1049"/>
      <c r="AF36" s="1049"/>
      <c r="AG36" s="1049"/>
      <c r="AH36" s="1049"/>
      <c r="AI36" s="1049"/>
      <c r="AJ36" s="1049"/>
      <c r="AK36" s="1049"/>
      <c r="AL36" s="1049"/>
      <c r="AM36" s="1049"/>
      <c r="AN36" s="1049"/>
      <c r="AO36" s="1049"/>
      <c r="AP36" s="1049"/>
      <c r="AQ36" s="1049"/>
      <c r="AR36" s="1049"/>
      <c r="AS36" s="1049"/>
      <c r="AT36" s="1049"/>
      <c r="AU36" s="1049"/>
      <c r="AV36" s="1049"/>
      <c r="AW36" s="1049"/>
      <c r="AX36" s="1049"/>
      <c r="AY36" s="1049"/>
      <c r="AZ36" s="1049"/>
      <c r="BA36" s="1049"/>
      <c r="BB36" s="1049"/>
      <c r="BC36" s="1049"/>
      <c r="BD36" s="1049"/>
      <c r="BE36" s="1049"/>
      <c r="BF36" s="1049"/>
      <c r="BG36" s="1049"/>
      <c r="BH36" s="1049"/>
      <c r="BI36" s="1049"/>
      <c r="BJ36" s="1049"/>
      <c r="BK36" s="1049"/>
      <c r="BL36" s="1049"/>
      <c r="BM36" s="1049"/>
      <c r="BN36" s="1049"/>
      <c r="BO36" s="1049"/>
      <c r="BP36" s="1049"/>
      <c r="BQ36" s="1049"/>
      <c r="BR36" s="1049"/>
      <c r="BS36" s="1049"/>
      <c r="BT36" s="1049"/>
      <c r="BU36" s="1049"/>
      <c r="BV36" s="1049"/>
      <c r="BW36" s="1049"/>
      <c r="BX36" s="1049"/>
      <c r="BY36" s="1049"/>
      <c r="BZ36" s="1049"/>
      <c r="CA36" s="1050"/>
    </row>
    <row r="37" spans="1:79" ht="6" customHeight="1">
      <c r="A37" s="141"/>
      <c r="B37" s="141"/>
      <c r="C37" s="141"/>
      <c r="D37" s="141"/>
      <c r="E37" s="141"/>
      <c r="F37" s="141"/>
      <c r="G37" s="141"/>
      <c r="H37" s="141"/>
      <c r="I37" s="141"/>
      <c r="J37" s="141"/>
      <c r="K37" s="141"/>
      <c r="L37" s="141"/>
      <c r="M37" s="1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O37" s="141"/>
      <c r="AP37" s="142"/>
      <c r="AQ37" s="142"/>
      <c r="AR37" s="142"/>
      <c r="AS37" s="142"/>
      <c r="AT37" s="142"/>
      <c r="AU37" s="142"/>
      <c r="AV37" s="142"/>
      <c r="AW37" s="142"/>
      <c r="AX37" s="142"/>
      <c r="AY37" s="142"/>
      <c r="AZ37" s="142"/>
      <c r="BA37" s="142"/>
    </row>
    <row r="38" spans="1:79" ht="30" customHeight="1">
      <c r="A38" s="1045" t="s">
        <v>228</v>
      </c>
      <c r="B38" s="1042" t="s">
        <v>29</v>
      </c>
      <c r="C38" s="1044"/>
      <c r="D38" s="1042" t="s">
        <v>30</v>
      </c>
      <c r="E38" s="1044"/>
      <c r="F38" s="1042" t="s">
        <v>31</v>
      </c>
      <c r="G38" s="1044"/>
      <c r="H38" s="1042" t="s">
        <v>32</v>
      </c>
      <c r="I38" s="1044"/>
      <c r="J38" s="1042" t="s">
        <v>33</v>
      </c>
      <c r="K38" s="1044"/>
      <c r="L38" s="1042" t="s">
        <v>34</v>
      </c>
      <c r="M38" s="1044"/>
      <c r="N38" s="1042" t="s">
        <v>35</v>
      </c>
      <c r="O38" s="1044"/>
      <c r="P38" s="1042" t="s">
        <v>36</v>
      </c>
      <c r="Q38" s="1044"/>
      <c r="R38" s="1042" t="s">
        <v>37</v>
      </c>
      <c r="S38" s="1044"/>
      <c r="T38" s="1042" t="s">
        <v>38</v>
      </c>
      <c r="U38" s="1044"/>
      <c r="V38" s="1042" t="s">
        <v>39</v>
      </c>
      <c r="W38" s="1044"/>
      <c r="X38" s="1042" t="s">
        <v>40</v>
      </c>
      <c r="Y38" s="1044"/>
      <c r="Z38" s="1042" t="s">
        <v>229</v>
      </c>
      <c r="AA38" s="1044"/>
      <c r="AB38" s="1042" t="s">
        <v>230</v>
      </c>
      <c r="AC38" s="1043"/>
      <c r="AD38" s="1043"/>
      <c r="AE38" s="1043"/>
      <c r="AF38" s="1043"/>
      <c r="AG38" s="1044"/>
      <c r="AH38" s="1042" t="s">
        <v>231</v>
      </c>
      <c r="AI38" s="1043"/>
      <c r="AJ38" s="1043"/>
      <c r="AK38" s="1043"/>
      <c r="AL38" s="1043"/>
      <c r="AM38" s="1044"/>
      <c r="AO38" s="1045" t="s">
        <v>228</v>
      </c>
      <c r="AP38" s="1042" t="s">
        <v>29</v>
      </c>
      <c r="AQ38" s="1044"/>
      <c r="AR38" s="1042" t="s">
        <v>30</v>
      </c>
      <c r="AS38" s="1044"/>
      <c r="AT38" s="1042" t="s">
        <v>31</v>
      </c>
      <c r="AU38" s="1044"/>
      <c r="AV38" s="1042" t="s">
        <v>32</v>
      </c>
      <c r="AW38" s="1044"/>
      <c r="AX38" s="1042" t="s">
        <v>33</v>
      </c>
      <c r="AY38" s="1044"/>
      <c r="AZ38" s="1042" t="s">
        <v>34</v>
      </c>
      <c r="BA38" s="1044"/>
      <c r="BB38" s="1042" t="s">
        <v>35</v>
      </c>
      <c r="BC38" s="1044"/>
      <c r="BD38" s="1042" t="s">
        <v>36</v>
      </c>
      <c r="BE38" s="1044"/>
      <c r="BF38" s="1042" t="s">
        <v>37</v>
      </c>
      <c r="BG38" s="1044"/>
      <c r="BH38" s="1042" t="s">
        <v>38</v>
      </c>
      <c r="BI38" s="1044"/>
      <c r="BJ38" s="1042" t="s">
        <v>39</v>
      </c>
      <c r="BK38" s="1044"/>
      <c r="BL38" s="1042" t="s">
        <v>40</v>
      </c>
      <c r="BM38" s="1044"/>
      <c r="BN38" s="1042" t="s">
        <v>229</v>
      </c>
      <c r="BO38" s="1044"/>
      <c r="BP38" s="1042" t="s">
        <v>230</v>
      </c>
      <c r="BQ38" s="1043"/>
      <c r="BR38" s="1043"/>
      <c r="BS38" s="1043"/>
      <c r="BT38" s="1043"/>
      <c r="BU38" s="1044"/>
      <c r="BV38" s="1042" t="s">
        <v>231</v>
      </c>
      <c r="BW38" s="1043"/>
      <c r="BX38" s="1043"/>
      <c r="BY38" s="1043"/>
      <c r="BZ38" s="1043"/>
      <c r="CA38" s="1044"/>
    </row>
    <row r="39" spans="1:79" ht="51.95" customHeight="1">
      <c r="A39" s="1046"/>
      <c r="B39" s="452" t="s">
        <v>232</v>
      </c>
      <c r="C39" s="452" t="s">
        <v>233</v>
      </c>
      <c r="D39" s="452" t="s">
        <v>232</v>
      </c>
      <c r="E39" s="452" t="s">
        <v>233</v>
      </c>
      <c r="F39" s="452" t="s">
        <v>232</v>
      </c>
      <c r="G39" s="452" t="s">
        <v>233</v>
      </c>
      <c r="H39" s="452" t="s">
        <v>232</v>
      </c>
      <c r="I39" s="452" t="s">
        <v>233</v>
      </c>
      <c r="J39" s="452" t="s">
        <v>232</v>
      </c>
      <c r="K39" s="452" t="s">
        <v>233</v>
      </c>
      <c r="L39" s="452" t="s">
        <v>232</v>
      </c>
      <c r="M39" s="452" t="s">
        <v>233</v>
      </c>
      <c r="N39" s="452" t="s">
        <v>232</v>
      </c>
      <c r="O39" s="452" t="s">
        <v>233</v>
      </c>
      <c r="P39" s="452" t="s">
        <v>232</v>
      </c>
      <c r="Q39" s="452" t="s">
        <v>233</v>
      </c>
      <c r="R39" s="452" t="s">
        <v>232</v>
      </c>
      <c r="S39" s="452" t="s">
        <v>233</v>
      </c>
      <c r="T39" s="452" t="s">
        <v>232</v>
      </c>
      <c r="U39" s="452" t="s">
        <v>233</v>
      </c>
      <c r="V39" s="452" t="s">
        <v>232</v>
      </c>
      <c r="W39" s="452" t="s">
        <v>233</v>
      </c>
      <c r="X39" s="452" t="s">
        <v>232</v>
      </c>
      <c r="Y39" s="452" t="s">
        <v>233</v>
      </c>
      <c r="Z39" s="452" t="s">
        <v>232</v>
      </c>
      <c r="AA39" s="452" t="s">
        <v>233</v>
      </c>
      <c r="AB39" s="173" t="s">
        <v>234</v>
      </c>
      <c r="AC39" s="173" t="s">
        <v>235</v>
      </c>
      <c r="AD39" s="173" t="s">
        <v>236</v>
      </c>
      <c r="AE39" s="173" t="s">
        <v>237</v>
      </c>
      <c r="AF39" s="174" t="s">
        <v>238</v>
      </c>
      <c r="AG39" s="173" t="s">
        <v>239</v>
      </c>
      <c r="AH39" s="452" t="s">
        <v>240</v>
      </c>
      <c r="AI39" s="143" t="s">
        <v>241</v>
      </c>
      <c r="AJ39" s="452" t="s">
        <v>242</v>
      </c>
      <c r="AK39" s="452" t="s">
        <v>243</v>
      </c>
      <c r="AL39" s="452" t="s">
        <v>244</v>
      </c>
      <c r="AM39" s="452" t="s">
        <v>245</v>
      </c>
      <c r="AO39" s="1046"/>
      <c r="AP39" s="452" t="s">
        <v>232</v>
      </c>
      <c r="AQ39" s="452" t="s">
        <v>233</v>
      </c>
      <c r="AR39" s="452" t="s">
        <v>232</v>
      </c>
      <c r="AS39" s="452" t="s">
        <v>233</v>
      </c>
      <c r="AT39" s="452" t="s">
        <v>232</v>
      </c>
      <c r="AU39" s="452" t="s">
        <v>233</v>
      </c>
      <c r="AV39" s="452" t="s">
        <v>232</v>
      </c>
      <c r="AW39" s="452" t="s">
        <v>233</v>
      </c>
      <c r="AX39" s="452" t="s">
        <v>232</v>
      </c>
      <c r="AY39" s="452" t="s">
        <v>233</v>
      </c>
      <c r="AZ39" s="452" t="s">
        <v>232</v>
      </c>
      <c r="BA39" s="452" t="s">
        <v>233</v>
      </c>
      <c r="BB39" s="452" t="s">
        <v>232</v>
      </c>
      <c r="BC39" s="452" t="s">
        <v>233</v>
      </c>
      <c r="BD39" s="452" t="s">
        <v>232</v>
      </c>
      <c r="BE39" s="452" t="s">
        <v>233</v>
      </c>
      <c r="BF39" s="452" t="s">
        <v>232</v>
      </c>
      <c r="BG39" s="452" t="s">
        <v>233</v>
      </c>
      <c r="BH39" s="452" t="s">
        <v>232</v>
      </c>
      <c r="BI39" s="452" t="s">
        <v>233</v>
      </c>
      <c r="BJ39" s="452" t="s">
        <v>232</v>
      </c>
      <c r="BK39" s="452" t="s">
        <v>233</v>
      </c>
      <c r="BL39" s="452" t="s">
        <v>232</v>
      </c>
      <c r="BM39" s="452" t="s">
        <v>233</v>
      </c>
      <c r="BN39" s="452" t="s">
        <v>232</v>
      </c>
      <c r="BO39" s="452" t="s">
        <v>233</v>
      </c>
      <c r="BP39" s="173" t="s">
        <v>234</v>
      </c>
      <c r="BQ39" s="173" t="s">
        <v>235</v>
      </c>
      <c r="BR39" s="173" t="s">
        <v>236</v>
      </c>
      <c r="BS39" s="173" t="s">
        <v>237</v>
      </c>
      <c r="BT39" s="174" t="s">
        <v>238</v>
      </c>
      <c r="BU39" s="173" t="s">
        <v>239</v>
      </c>
      <c r="BV39" s="452" t="s">
        <v>240</v>
      </c>
      <c r="BW39" s="143" t="s">
        <v>241</v>
      </c>
      <c r="BX39" s="452" t="s">
        <v>242</v>
      </c>
      <c r="BY39" s="452" t="s">
        <v>243</v>
      </c>
      <c r="BZ39" s="452" t="s">
        <v>244</v>
      </c>
      <c r="CA39" s="452" t="s">
        <v>245</v>
      </c>
    </row>
    <row r="40" spans="1:79">
      <c r="A40" s="144" t="s">
        <v>246</v>
      </c>
      <c r="B40" s="144">
        <v>0</v>
      </c>
      <c r="C40" s="414">
        <v>20050667</v>
      </c>
      <c r="D40" s="144">
        <v>0</v>
      </c>
      <c r="E40" s="414">
        <v>54590000</v>
      </c>
      <c r="F40" s="144">
        <v>1.0400000000000003E-2</v>
      </c>
      <c r="G40" s="414">
        <v>54590000</v>
      </c>
      <c r="H40" s="144">
        <v>2.0000000000000004E-2</v>
      </c>
      <c r="I40" s="414">
        <v>54590000</v>
      </c>
      <c r="J40" s="144">
        <v>2.0000000000000004E-2</v>
      </c>
      <c r="K40" s="414">
        <v>54590000</v>
      </c>
      <c r="L40" s="144">
        <v>2.0000000000000004E-2</v>
      </c>
      <c r="M40" s="414">
        <v>54590000</v>
      </c>
      <c r="N40" s="144">
        <v>2.0000000000000004E-2</v>
      </c>
      <c r="O40" s="413">
        <v>54590000</v>
      </c>
      <c r="P40" s="144">
        <v>2.0000000000000004E-2</v>
      </c>
      <c r="Q40" s="413">
        <v>54590000</v>
      </c>
      <c r="R40" s="144">
        <v>2.0000000000000004E-2</v>
      </c>
      <c r="S40" s="413">
        <v>54590000</v>
      </c>
      <c r="T40" s="144">
        <v>2.0000000000000004E-2</v>
      </c>
      <c r="U40" s="413">
        <v>54590000</v>
      </c>
      <c r="V40" s="144">
        <v>2.0000000000000004E-2</v>
      </c>
      <c r="W40" s="413">
        <v>54590000</v>
      </c>
      <c r="X40" s="144">
        <v>2.0000000000000004E-2</v>
      </c>
      <c r="Y40" s="413">
        <v>34539333</v>
      </c>
      <c r="Z40" s="454">
        <f>B40+D40+F40+H40+J40+L40+N40+P40+R40+T40+V40+X40</f>
        <v>0.19040000000000007</v>
      </c>
      <c r="AA40" s="152">
        <f t="shared" ref="Z40:AA60" si="18">C40+E40+G40+I40+K40+M40+O40+Q40+S40+U40+W40+Y40</f>
        <v>600490000</v>
      </c>
      <c r="AB40" s="147"/>
      <c r="AC40" s="147"/>
      <c r="AD40" s="147"/>
      <c r="AE40" s="147"/>
      <c r="AF40" s="147"/>
      <c r="AG40" s="147"/>
      <c r="AH40" s="147"/>
      <c r="AI40" s="147"/>
      <c r="AJ40" s="147"/>
      <c r="AK40" s="147"/>
      <c r="AL40" s="147"/>
      <c r="AM40" s="148"/>
      <c r="AO40" s="144" t="s">
        <v>246</v>
      </c>
      <c r="AP40" s="455">
        <f>'Meta 3'!D35</f>
        <v>0</v>
      </c>
      <c r="AQ40" s="414">
        <v>0</v>
      </c>
      <c r="AR40" s="455">
        <f>'Meta 3'!E35</f>
        <v>1.0480000000000003E-2</v>
      </c>
      <c r="AS40" s="414">
        <v>19535667</v>
      </c>
      <c r="AT40" s="455">
        <f>'Meta 3'!F35</f>
        <v>0</v>
      </c>
      <c r="AU40" s="414">
        <v>0</v>
      </c>
      <c r="AV40" s="455">
        <v>0</v>
      </c>
      <c r="AW40" s="144"/>
      <c r="AX40" s="455">
        <v>0</v>
      </c>
      <c r="AY40" s="144"/>
      <c r="AZ40" s="455">
        <v>0</v>
      </c>
      <c r="BA40" s="144"/>
      <c r="BB40" s="455">
        <v>0</v>
      </c>
      <c r="BC40" s="145"/>
      <c r="BD40" s="455">
        <v>0</v>
      </c>
      <c r="BE40" s="145"/>
      <c r="BF40" s="455">
        <v>0</v>
      </c>
      <c r="BG40" s="145"/>
      <c r="BH40" s="455">
        <v>0</v>
      </c>
      <c r="BI40" s="145"/>
      <c r="BJ40" s="455">
        <v>0</v>
      </c>
      <c r="BK40" s="145"/>
      <c r="BL40" s="455">
        <v>0</v>
      </c>
      <c r="BM40" s="145"/>
      <c r="BN40" s="456">
        <f>AP40+AR40+AT40+AV40+AX40+AZ40+BB40+BD40+BF40+BH40+BJ40+BL40</f>
        <v>1.0480000000000003E-2</v>
      </c>
      <c r="BO40" s="152">
        <f>AQ40+AS40+AU40+AW40+AY40+BA40+BC40+BE40+BG40+BI40+BK40+BM40</f>
        <v>19535667</v>
      </c>
      <c r="BP40" s="175"/>
      <c r="BQ40" s="175"/>
      <c r="BR40" s="175"/>
      <c r="BS40" s="175"/>
      <c r="BT40" s="147"/>
      <c r="BU40" s="147"/>
      <c r="BV40" s="147"/>
      <c r="BW40" s="147"/>
      <c r="BX40" s="147"/>
      <c r="BY40" s="147"/>
      <c r="BZ40" s="147"/>
      <c r="CA40" s="148"/>
    </row>
    <row r="41" spans="1:79">
      <c r="A41" s="144" t="s">
        <v>247</v>
      </c>
      <c r="B41" s="144"/>
      <c r="D41" s="144"/>
      <c r="F41" s="144"/>
      <c r="H41" s="144"/>
      <c r="J41" s="144"/>
      <c r="L41" s="144"/>
      <c r="N41" s="144"/>
      <c r="P41" s="145"/>
      <c r="R41" s="145"/>
      <c r="T41" s="145"/>
      <c r="V41" s="145"/>
      <c r="X41" s="145"/>
      <c r="Z41" s="176">
        <f t="shared" si="18"/>
        <v>0</v>
      </c>
      <c r="AA41" s="152">
        <f t="shared" si="18"/>
        <v>0</v>
      </c>
      <c r="AB41" s="147"/>
      <c r="AC41" s="147"/>
      <c r="AD41" s="147"/>
      <c r="AE41" s="147"/>
      <c r="AF41" s="147"/>
      <c r="AG41" s="147"/>
      <c r="AH41" s="147"/>
      <c r="AI41" s="147"/>
      <c r="AJ41" s="147"/>
      <c r="AK41" s="147"/>
      <c r="AL41" s="147"/>
      <c r="AM41" s="147"/>
      <c r="AO41" s="144" t="s">
        <v>247</v>
      </c>
      <c r="AP41" s="144"/>
      <c r="AQ41" s="144"/>
      <c r="AR41" s="144"/>
      <c r="AS41" s="144"/>
      <c r="AT41" s="144"/>
      <c r="AU41" s="414"/>
      <c r="AV41" s="144"/>
      <c r="AW41" s="144"/>
      <c r="AX41" s="144"/>
      <c r="AY41" s="144"/>
      <c r="AZ41" s="144"/>
      <c r="BA41" s="144"/>
      <c r="BB41" s="144"/>
      <c r="BC41" s="145"/>
      <c r="BD41" s="145"/>
      <c r="BE41" s="145"/>
      <c r="BF41" s="145"/>
      <c r="BG41" s="145"/>
      <c r="BH41" s="145"/>
      <c r="BI41" s="145"/>
      <c r="BJ41" s="145"/>
      <c r="BK41" s="145"/>
      <c r="BL41" s="145"/>
      <c r="BM41" s="145"/>
      <c r="BN41" s="176">
        <f t="shared" ref="BN41:BO60" si="19">AP41+AR41+AT41+AV41+AX41+AZ41+BB41+BD41+BF41+BH41+BJ41+BL41</f>
        <v>0</v>
      </c>
      <c r="BO41" s="152">
        <f t="shared" si="19"/>
        <v>0</v>
      </c>
      <c r="BP41" s="175"/>
      <c r="BQ41" s="175"/>
      <c r="BR41" s="175"/>
      <c r="BS41" s="175"/>
      <c r="BT41" s="147"/>
      <c r="BU41" s="147"/>
      <c r="BV41" s="147"/>
      <c r="BW41" s="147"/>
      <c r="BX41" s="147"/>
      <c r="BY41" s="147"/>
      <c r="BZ41" s="147"/>
      <c r="CA41" s="147"/>
    </row>
    <row r="42" spans="1:79">
      <c r="A42" s="144" t="s">
        <v>248</v>
      </c>
      <c r="B42" s="144"/>
      <c r="C42" s="144"/>
      <c r="D42" s="144"/>
      <c r="E42" s="144"/>
      <c r="F42" s="144"/>
      <c r="G42" s="144"/>
      <c r="H42" s="144"/>
      <c r="I42" s="144"/>
      <c r="J42" s="144"/>
      <c r="K42" s="144"/>
      <c r="L42" s="144"/>
      <c r="M42" s="144"/>
      <c r="N42" s="144"/>
      <c r="O42" s="145"/>
      <c r="P42" s="145"/>
      <c r="Q42" s="145"/>
      <c r="R42" s="145"/>
      <c r="S42" s="145"/>
      <c r="T42" s="145"/>
      <c r="U42" s="145"/>
      <c r="V42" s="145"/>
      <c r="W42" s="145"/>
      <c r="X42" s="145"/>
      <c r="Y42" s="145"/>
      <c r="Z42" s="176">
        <f t="shared" si="18"/>
        <v>0</v>
      </c>
      <c r="AA42" s="152">
        <f t="shared" si="18"/>
        <v>0</v>
      </c>
      <c r="AB42" s="147"/>
      <c r="AC42" s="147"/>
      <c r="AD42" s="147"/>
      <c r="AE42" s="147"/>
      <c r="AF42" s="147"/>
      <c r="AG42" s="147"/>
      <c r="AH42" s="147"/>
      <c r="AI42" s="147"/>
      <c r="AJ42" s="147"/>
      <c r="AK42" s="147"/>
      <c r="AL42" s="147"/>
      <c r="AM42" s="147"/>
      <c r="AO42" s="144" t="s">
        <v>248</v>
      </c>
      <c r="AP42" s="144"/>
      <c r="AQ42" s="144"/>
      <c r="AR42" s="144"/>
      <c r="AS42" s="144"/>
      <c r="AT42" s="144"/>
      <c r="AU42" s="144"/>
      <c r="AV42" s="144"/>
      <c r="AW42" s="144"/>
      <c r="AX42" s="144"/>
      <c r="AY42" s="144"/>
      <c r="AZ42" s="144"/>
      <c r="BA42" s="144"/>
      <c r="BB42" s="144"/>
      <c r="BC42" s="145"/>
      <c r="BD42" s="145"/>
      <c r="BE42" s="145"/>
      <c r="BF42" s="145"/>
      <c r="BG42" s="145"/>
      <c r="BH42" s="145"/>
      <c r="BI42" s="145"/>
      <c r="BJ42" s="145"/>
      <c r="BK42" s="145"/>
      <c r="BL42" s="145"/>
      <c r="BM42" s="145"/>
      <c r="BN42" s="176">
        <f t="shared" si="19"/>
        <v>0</v>
      </c>
      <c r="BO42" s="152">
        <f t="shared" si="19"/>
        <v>0</v>
      </c>
      <c r="BP42" s="175"/>
      <c r="BQ42" s="175"/>
      <c r="BR42" s="175"/>
      <c r="BS42" s="175"/>
      <c r="BT42" s="147"/>
      <c r="BU42" s="147"/>
      <c r="BV42" s="147"/>
      <c r="BW42" s="147"/>
      <c r="BX42" s="147"/>
      <c r="BY42" s="147"/>
      <c r="BZ42" s="147"/>
      <c r="CA42" s="147"/>
    </row>
    <row r="43" spans="1:79">
      <c r="A43" s="144" t="s">
        <v>249</v>
      </c>
      <c r="B43" s="144"/>
      <c r="C43" s="144"/>
      <c r="D43" s="144"/>
      <c r="E43" s="144"/>
      <c r="F43" s="144"/>
      <c r="G43" s="144"/>
      <c r="H43" s="144"/>
      <c r="I43" s="144"/>
      <c r="J43" s="144"/>
      <c r="K43" s="144"/>
      <c r="L43" s="144"/>
      <c r="M43" s="144"/>
      <c r="N43" s="144"/>
      <c r="O43" s="145"/>
      <c r="P43" s="145"/>
      <c r="Q43" s="145"/>
      <c r="R43" s="145"/>
      <c r="S43" s="145"/>
      <c r="T43" s="145"/>
      <c r="U43" s="145"/>
      <c r="V43" s="145"/>
      <c r="W43" s="145"/>
      <c r="X43" s="145"/>
      <c r="Y43" s="145"/>
      <c r="Z43" s="176">
        <f t="shared" si="18"/>
        <v>0</v>
      </c>
      <c r="AA43" s="152">
        <f t="shared" si="18"/>
        <v>0</v>
      </c>
      <c r="AB43" s="147"/>
      <c r="AC43" s="147"/>
      <c r="AD43" s="147"/>
      <c r="AE43" s="147"/>
      <c r="AF43" s="147"/>
      <c r="AG43" s="147"/>
      <c r="AH43" s="147"/>
      <c r="AI43" s="147"/>
      <c r="AJ43" s="147"/>
      <c r="AK43" s="147"/>
      <c r="AL43" s="147"/>
      <c r="AM43" s="147"/>
      <c r="AO43" s="144" t="s">
        <v>249</v>
      </c>
      <c r="AP43" s="144"/>
      <c r="AQ43" s="144"/>
      <c r="AR43" s="144"/>
      <c r="AS43" s="144"/>
      <c r="AT43" s="144"/>
      <c r="AU43" s="144"/>
      <c r="AV43" s="144"/>
      <c r="AW43" s="144"/>
      <c r="AX43" s="144"/>
      <c r="AY43" s="144"/>
      <c r="AZ43" s="144"/>
      <c r="BA43" s="144"/>
      <c r="BB43" s="144"/>
      <c r="BC43" s="145"/>
      <c r="BD43" s="145"/>
      <c r="BE43" s="145"/>
      <c r="BF43" s="145"/>
      <c r="BG43" s="145"/>
      <c r="BH43" s="145"/>
      <c r="BI43" s="145"/>
      <c r="BJ43" s="145"/>
      <c r="BK43" s="145"/>
      <c r="BL43" s="145"/>
      <c r="BM43" s="145"/>
      <c r="BN43" s="176">
        <f t="shared" si="19"/>
        <v>0</v>
      </c>
      <c r="BO43" s="152">
        <f t="shared" si="19"/>
        <v>0</v>
      </c>
      <c r="BP43" s="175"/>
      <c r="BQ43" s="175"/>
      <c r="BR43" s="175"/>
      <c r="BS43" s="175"/>
      <c r="BT43" s="147"/>
      <c r="BU43" s="147"/>
      <c r="BV43" s="147"/>
      <c r="BW43" s="147"/>
      <c r="BX43" s="147"/>
      <c r="BY43" s="147"/>
      <c r="BZ43" s="147"/>
      <c r="CA43" s="147"/>
    </row>
    <row r="44" spans="1:79">
      <c r="A44" s="144" t="s">
        <v>250</v>
      </c>
      <c r="B44" s="144"/>
      <c r="C44" s="144"/>
      <c r="D44" s="144"/>
      <c r="E44" s="144"/>
      <c r="F44" s="144"/>
      <c r="G44" s="144"/>
      <c r="H44" s="144"/>
      <c r="I44" s="144"/>
      <c r="J44" s="144"/>
      <c r="K44" s="144"/>
      <c r="L44" s="144"/>
      <c r="M44" s="144"/>
      <c r="N44" s="144"/>
      <c r="O44" s="145"/>
      <c r="P44" s="145"/>
      <c r="Q44" s="145"/>
      <c r="R44" s="145"/>
      <c r="S44" s="145"/>
      <c r="T44" s="145"/>
      <c r="U44" s="145"/>
      <c r="V44" s="145"/>
      <c r="W44" s="145"/>
      <c r="X44" s="145"/>
      <c r="Y44" s="145"/>
      <c r="Z44" s="176">
        <f t="shared" si="18"/>
        <v>0</v>
      </c>
      <c r="AA44" s="152">
        <f t="shared" si="18"/>
        <v>0</v>
      </c>
      <c r="AB44" s="147"/>
      <c r="AC44" s="147"/>
      <c r="AD44" s="147"/>
      <c r="AE44" s="147"/>
      <c r="AF44" s="147"/>
      <c r="AG44" s="147"/>
      <c r="AH44" s="147"/>
      <c r="AI44" s="147"/>
      <c r="AJ44" s="147"/>
      <c r="AK44" s="147"/>
      <c r="AL44" s="147"/>
      <c r="AM44" s="147"/>
      <c r="AO44" s="144" t="s">
        <v>250</v>
      </c>
      <c r="AP44" s="144"/>
      <c r="AQ44" s="144"/>
      <c r="AR44" s="144"/>
      <c r="AS44" s="144"/>
      <c r="AT44" s="144"/>
      <c r="AU44" s="144"/>
      <c r="AV44" s="144"/>
      <c r="AW44" s="144"/>
      <c r="AX44" s="144"/>
      <c r="AY44" s="144"/>
      <c r="AZ44" s="144"/>
      <c r="BA44" s="144"/>
      <c r="BB44" s="144"/>
      <c r="BC44" s="145"/>
      <c r="BD44" s="145"/>
      <c r="BE44" s="145"/>
      <c r="BF44" s="145"/>
      <c r="BG44" s="145"/>
      <c r="BH44" s="145"/>
      <c r="BI44" s="145"/>
      <c r="BJ44" s="145"/>
      <c r="BK44" s="145"/>
      <c r="BL44" s="145"/>
      <c r="BM44" s="145"/>
      <c r="BN44" s="176">
        <f t="shared" si="19"/>
        <v>0</v>
      </c>
      <c r="BO44" s="152">
        <f t="shared" si="19"/>
        <v>0</v>
      </c>
      <c r="BP44" s="175"/>
      <c r="BQ44" s="175"/>
      <c r="BR44" s="175"/>
      <c r="BS44" s="175"/>
      <c r="BT44" s="147"/>
      <c r="BU44" s="147"/>
      <c r="BV44" s="147"/>
      <c r="BW44" s="147"/>
      <c r="BX44" s="147"/>
      <c r="BY44" s="147"/>
      <c r="BZ44" s="147"/>
      <c r="CA44" s="147"/>
    </row>
    <row r="45" spans="1:79">
      <c r="A45" s="144" t="s">
        <v>251</v>
      </c>
      <c r="B45" s="144"/>
      <c r="C45" s="144"/>
      <c r="D45" s="144"/>
      <c r="E45" s="144"/>
      <c r="F45" s="144"/>
      <c r="G45" s="144"/>
      <c r="H45" s="144"/>
      <c r="I45" s="144"/>
      <c r="J45" s="144"/>
      <c r="K45" s="144"/>
      <c r="L45" s="144"/>
      <c r="M45" s="144"/>
      <c r="N45" s="144"/>
      <c r="O45" s="145"/>
      <c r="P45" s="145"/>
      <c r="Q45" s="145"/>
      <c r="R45" s="145"/>
      <c r="S45" s="145"/>
      <c r="T45" s="145"/>
      <c r="U45" s="145"/>
      <c r="V45" s="145"/>
      <c r="W45" s="145"/>
      <c r="X45" s="145"/>
      <c r="Y45" s="145"/>
      <c r="Z45" s="176">
        <f t="shared" si="18"/>
        <v>0</v>
      </c>
      <c r="AA45" s="152">
        <f t="shared" si="18"/>
        <v>0</v>
      </c>
      <c r="AB45" s="147"/>
      <c r="AC45" s="147"/>
      <c r="AD45" s="147"/>
      <c r="AE45" s="147"/>
      <c r="AF45" s="147"/>
      <c r="AG45" s="147"/>
      <c r="AH45" s="147"/>
      <c r="AI45" s="147"/>
      <c r="AJ45" s="147"/>
      <c r="AK45" s="147"/>
      <c r="AL45" s="147"/>
      <c r="AM45" s="147"/>
      <c r="AO45" s="144" t="s">
        <v>251</v>
      </c>
      <c r="AP45" s="144"/>
      <c r="AQ45" s="144"/>
      <c r="AR45" s="144"/>
      <c r="AS45" s="144"/>
      <c r="AT45" s="144"/>
      <c r="AU45" s="144"/>
      <c r="AV45" s="144"/>
      <c r="AW45" s="144"/>
      <c r="AX45" s="144"/>
      <c r="AY45" s="144"/>
      <c r="AZ45" s="144"/>
      <c r="BA45" s="144"/>
      <c r="BB45" s="144"/>
      <c r="BC45" s="145"/>
      <c r="BD45" s="145"/>
      <c r="BE45" s="145"/>
      <c r="BF45" s="145"/>
      <c r="BG45" s="145"/>
      <c r="BH45" s="145"/>
      <c r="BI45" s="145"/>
      <c r="BJ45" s="145"/>
      <c r="BK45" s="145"/>
      <c r="BL45" s="145"/>
      <c r="BM45" s="145"/>
      <c r="BN45" s="176">
        <f t="shared" si="19"/>
        <v>0</v>
      </c>
      <c r="BO45" s="152">
        <f t="shared" si="19"/>
        <v>0</v>
      </c>
      <c r="BP45" s="175"/>
      <c r="BQ45" s="175"/>
      <c r="BR45" s="175"/>
      <c r="BS45" s="175"/>
      <c r="BT45" s="147"/>
      <c r="BU45" s="147"/>
      <c r="BV45" s="147"/>
      <c r="BW45" s="147"/>
      <c r="BX45" s="147"/>
      <c r="BY45" s="147"/>
      <c r="BZ45" s="147"/>
      <c r="CA45" s="147"/>
    </row>
    <row r="46" spans="1:79">
      <c r="A46" s="144" t="s">
        <v>252</v>
      </c>
      <c r="B46" s="144"/>
      <c r="C46" s="144"/>
      <c r="D46" s="144"/>
      <c r="E46" s="144"/>
      <c r="F46" s="144"/>
      <c r="G46" s="144"/>
      <c r="H46" s="144"/>
      <c r="I46" s="144"/>
      <c r="J46" s="144"/>
      <c r="K46" s="144"/>
      <c r="L46" s="144"/>
      <c r="M46" s="144"/>
      <c r="N46" s="144"/>
      <c r="O46" s="145"/>
      <c r="P46" s="145"/>
      <c r="Q46" s="145"/>
      <c r="R46" s="145"/>
      <c r="S46" s="145"/>
      <c r="T46" s="145"/>
      <c r="U46" s="145"/>
      <c r="V46" s="145"/>
      <c r="W46" s="145"/>
      <c r="X46" s="145"/>
      <c r="Y46" s="145"/>
      <c r="Z46" s="176">
        <f t="shared" si="18"/>
        <v>0</v>
      </c>
      <c r="AA46" s="152">
        <f t="shared" si="18"/>
        <v>0</v>
      </c>
      <c r="AB46" s="147"/>
      <c r="AC46" s="147"/>
      <c r="AD46" s="147"/>
      <c r="AE46" s="147"/>
      <c r="AF46" s="147"/>
      <c r="AG46" s="147"/>
      <c r="AH46" s="147"/>
      <c r="AI46" s="147"/>
      <c r="AJ46" s="147"/>
      <c r="AK46" s="147"/>
      <c r="AL46" s="147"/>
      <c r="AM46" s="147"/>
      <c r="AO46" s="144" t="s">
        <v>252</v>
      </c>
      <c r="AP46" s="144"/>
      <c r="AQ46" s="144"/>
      <c r="AR46" s="144"/>
      <c r="AS46" s="144"/>
      <c r="AT46" s="144"/>
      <c r="AU46" s="144"/>
      <c r="AV46" s="144"/>
      <c r="AW46" s="144"/>
      <c r="AX46" s="144"/>
      <c r="AY46" s="144"/>
      <c r="AZ46" s="144"/>
      <c r="BA46" s="144"/>
      <c r="BB46" s="144"/>
      <c r="BC46" s="145"/>
      <c r="BD46" s="145"/>
      <c r="BE46" s="145"/>
      <c r="BF46" s="145"/>
      <c r="BG46" s="145"/>
      <c r="BH46" s="145"/>
      <c r="BI46" s="145"/>
      <c r="BJ46" s="145"/>
      <c r="BK46" s="145"/>
      <c r="BL46" s="145"/>
      <c r="BM46" s="145"/>
      <c r="BN46" s="176">
        <f t="shared" si="19"/>
        <v>0</v>
      </c>
      <c r="BO46" s="152">
        <f t="shared" si="19"/>
        <v>0</v>
      </c>
      <c r="BP46" s="175"/>
      <c r="BQ46" s="175"/>
      <c r="BR46" s="175"/>
      <c r="BS46" s="175"/>
      <c r="BT46" s="147"/>
      <c r="BU46" s="147"/>
      <c r="BV46" s="147"/>
      <c r="BW46" s="147"/>
      <c r="BX46" s="147"/>
      <c r="BY46" s="147"/>
      <c r="BZ46" s="147"/>
      <c r="CA46" s="147"/>
    </row>
    <row r="47" spans="1:79">
      <c r="A47" s="144" t="s">
        <v>253</v>
      </c>
      <c r="B47" s="144"/>
      <c r="C47" s="144"/>
      <c r="D47" s="144"/>
      <c r="E47" s="144"/>
      <c r="F47" s="144"/>
      <c r="G47" s="144"/>
      <c r="H47" s="144"/>
      <c r="I47" s="144"/>
      <c r="J47" s="144"/>
      <c r="K47" s="144"/>
      <c r="L47" s="144"/>
      <c r="M47" s="144"/>
      <c r="N47" s="144"/>
      <c r="O47" s="145"/>
      <c r="P47" s="145"/>
      <c r="Q47" s="145"/>
      <c r="R47" s="145"/>
      <c r="S47" s="145"/>
      <c r="T47" s="145"/>
      <c r="U47" s="145"/>
      <c r="V47" s="145"/>
      <c r="W47" s="145"/>
      <c r="X47" s="145"/>
      <c r="Y47" s="145"/>
      <c r="Z47" s="176">
        <f t="shared" si="18"/>
        <v>0</v>
      </c>
      <c r="AA47" s="152">
        <f t="shared" si="18"/>
        <v>0</v>
      </c>
      <c r="AB47" s="147"/>
      <c r="AC47" s="147"/>
      <c r="AD47" s="147"/>
      <c r="AE47" s="147"/>
      <c r="AF47" s="147"/>
      <c r="AG47" s="147"/>
      <c r="AH47" s="147"/>
      <c r="AI47" s="147"/>
      <c r="AJ47" s="147"/>
      <c r="AK47" s="147"/>
      <c r="AL47" s="147"/>
      <c r="AM47" s="147"/>
      <c r="AO47" s="144" t="s">
        <v>253</v>
      </c>
      <c r="AP47" s="144"/>
      <c r="AQ47" s="144"/>
      <c r="AR47" s="144"/>
      <c r="AS47" s="144"/>
      <c r="AT47" s="144"/>
      <c r="AU47" s="144"/>
      <c r="AV47" s="144"/>
      <c r="AW47" s="144"/>
      <c r="AX47" s="144"/>
      <c r="AY47" s="144"/>
      <c r="AZ47" s="144"/>
      <c r="BA47" s="144"/>
      <c r="BB47" s="144"/>
      <c r="BC47" s="145"/>
      <c r="BD47" s="145"/>
      <c r="BE47" s="145"/>
      <c r="BF47" s="145"/>
      <c r="BG47" s="145"/>
      <c r="BH47" s="145"/>
      <c r="BI47" s="145"/>
      <c r="BJ47" s="145"/>
      <c r="BK47" s="145"/>
      <c r="BL47" s="145"/>
      <c r="BM47" s="145"/>
      <c r="BN47" s="176">
        <f t="shared" si="19"/>
        <v>0</v>
      </c>
      <c r="BO47" s="152">
        <f t="shared" si="19"/>
        <v>0</v>
      </c>
      <c r="BP47" s="175"/>
      <c r="BQ47" s="175"/>
      <c r="BR47" s="175"/>
      <c r="BS47" s="175"/>
      <c r="BT47" s="147"/>
      <c r="BU47" s="147"/>
      <c r="BV47" s="147"/>
      <c r="BW47" s="147"/>
      <c r="BX47" s="147"/>
      <c r="BY47" s="147"/>
      <c r="BZ47" s="147"/>
      <c r="CA47" s="147"/>
    </row>
    <row r="48" spans="1:79">
      <c r="A48" s="144" t="s">
        <v>254</v>
      </c>
      <c r="B48" s="144"/>
      <c r="C48" s="144"/>
      <c r="D48" s="144"/>
      <c r="E48" s="144"/>
      <c r="F48" s="144"/>
      <c r="G48" s="144"/>
      <c r="H48" s="144"/>
      <c r="I48" s="144"/>
      <c r="J48" s="144"/>
      <c r="K48" s="144"/>
      <c r="L48" s="144"/>
      <c r="M48" s="144"/>
      <c r="N48" s="144"/>
      <c r="O48" s="145"/>
      <c r="P48" s="145"/>
      <c r="Q48" s="145"/>
      <c r="R48" s="145"/>
      <c r="S48" s="145"/>
      <c r="T48" s="145"/>
      <c r="U48" s="145"/>
      <c r="V48" s="145"/>
      <c r="W48" s="145"/>
      <c r="X48" s="145"/>
      <c r="Y48" s="145"/>
      <c r="Z48" s="176">
        <f t="shared" si="18"/>
        <v>0</v>
      </c>
      <c r="AA48" s="152">
        <f t="shared" si="18"/>
        <v>0</v>
      </c>
      <c r="AB48" s="147"/>
      <c r="AC48" s="147"/>
      <c r="AD48" s="147"/>
      <c r="AE48" s="147"/>
      <c r="AF48" s="147"/>
      <c r="AG48" s="147"/>
      <c r="AH48" s="147"/>
      <c r="AI48" s="147"/>
      <c r="AJ48" s="147"/>
      <c r="AK48" s="147"/>
      <c r="AL48" s="147"/>
      <c r="AM48" s="147"/>
      <c r="AO48" s="144" t="s">
        <v>254</v>
      </c>
      <c r="AP48" s="144"/>
      <c r="AQ48" s="144"/>
      <c r="AR48" s="144"/>
      <c r="AS48" s="144"/>
      <c r="AT48" s="144"/>
      <c r="AU48" s="144"/>
      <c r="AV48" s="144"/>
      <c r="AW48" s="144"/>
      <c r="AX48" s="144"/>
      <c r="AY48" s="144"/>
      <c r="AZ48" s="144"/>
      <c r="BA48" s="144"/>
      <c r="BB48" s="144"/>
      <c r="BC48" s="145"/>
      <c r="BD48" s="145"/>
      <c r="BE48" s="145"/>
      <c r="BF48" s="145"/>
      <c r="BG48" s="145"/>
      <c r="BH48" s="145"/>
      <c r="BI48" s="145"/>
      <c r="BJ48" s="145"/>
      <c r="BK48" s="145"/>
      <c r="BL48" s="145"/>
      <c r="BM48" s="145"/>
      <c r="BN48" s="176">
        <f t="shared" si="19"/>
        <v>0</v>
      </c>
      <c r="BO48" s="152">
        <f t="shared" si="19"/>
        <v>0</v>
      </c>
      <c r="BP48" s="175"/>
      <c r="BQ48" s="175"/>
      <c r="BR48" s="175"/>
      <c r="BS48" s="175"/>
      <c r="BT48" s="147"/>
      <c r="BU48" s="147"/>
      <c r="BV48" s="147"/>
      <c r="BW48" s="147"/>
      <c r="BX48" s="147"/>
      <c r="BY48" s="147"/>
      <c r="BZ48" s="147"/>
      <c r="CA48" s="147"/>
    </row>
    <row r="49" spans="1:79">
      <c r="A49" s="144" t="s">
        <v>255</v>
      </c>
      <c r="B49" s="144"/>
      <c r="C49" s="144"/>
      <c r="D49" s="144"/>
      <c r="E49" s="144"/>
      <c r="F49" s="144"/>
      <c r="G49" s="144"/>
      <c r="H49" s="144"/>
      <c r="I49" s="144"/>
      <c r="J49" s="144"/>
      <c r="K49" s="144"/>
      <c r="L49" s="144"/>
      <c r="M49" s="144"/>
      <c r="N49" s="144"/>
      <c r="O49" s="145"/>
      <c r="P49" s="145"/>
      <c r="Q49" s="145"/>
      <c r="R49" s="145"/>
      <c r="S49" s="145"/>
      <c r="T49" s="145"/>
      <c r="U49" s="145"/>
      <c r="V49" s="145"/>
      <c r="W49" s="145"/>
      <c r="X49" s="145"/>
      <c r="Y49" s="145"/>
      <c r="Z49" s="176">
        <f t="shared" si="18"/>
        <v>0</v>
      </c>
      <c r="AA49" s="152">
        <f t="shared" si="18"/>
        <v>0</v>
      </c>
      <c r="AB49" s="147"/>
      <c r="AC49" s="147"/>
      <c r="AD49" s="147"/>
      <c r="AE49" s="147"/>
      <c r="AF49" s="147"/>
      <c r="AG49" s="147"/>
      <c r="AH49" s="147"/>
      <c r="AI49" s="147"/>
      <c r="AJ49" s="147"/>
      <c r="AK49" s="147"/>
      <c r="AL49" s="147"/>
      <c r="AM49" s="147"/>
      <c r="AO49" s="144" t="s">
        <v>255</v>
      </c>
      <c r="AP49" s="144"/>
      <c r="AQ49" s="144"/>
      <c r="AR49" s="144"/>
      <c r="AS49" s="144"/>
      <c r="AT49" s="144"/>
      <c r="AU49" s="144"/>
      <c r="AV49" s="144"/>
      <c r="AW49" s="144"/>
      <c r="AX49" s="144"/>
      <c r="AY49" s="144"/>
      <c r="AZ49" s="144"/>
      <c r="BA49" s="144"/>
      <c r="BB49" s="144"/>
      <c r="BC49" s="145"/>
      <c r="BD49" s="145"/>
      <c r="BE49" s="145"/>
      <c r="BF49" s="145"/>
      <c r="BG49" s="145"/>
      <c r="BH49" s="145"/>
      <c r="BI49" s="145"/>
      <c r="BJ49" s="145"/>
      <c r="BK49" s="145"/>
      <c r="BL49" s="145"/>
      <c r="BM49" s="145"/>
      <c r="BN49" s="176">
        <f t="shared" si="19"/>
        <v>0</v>
      </c>
      <c r="BO49" s="152">
        <f t="shared" si="19"/>
        <v>0</v>
      </c>
      <c r="BP49" s="175"/>
      <c r="BQ49" s="175"/>
      <c r="BR49" s="175"/>
      <c r="BS49" s="175"/>
      <c r="BT49" s="147"/>
      <c r="BU49" s="147"/>
      <c r="BV49" s="147"/>
      <c r="BW49" s="147"/>
      <c r="BX49" s="147"/>
      <c r="BY49" s="147"/>
      <c r="BZ49" s="147"/>
      <c r="CA49" s="147"/>
    </row>
    <row r="50" spans="1:79">
      <c r="A50" s="144" t="s">
        <v>256</v>
      </c>
      <c r="B50" s="144"/>
      <c r="C50" s="144"/>
      <c r="D50" s="144"/>
      <c r="E50" s="144"/>
      <c r="F50" s="144"/>
      <c r="G50" s="144"/>
      <c r="H50" s="144"/>
      <c r="I50" s="144"/>
      <c r="J50" s="144"/>
      <c r="K50" s="144"/>
      <c r="L50" s="144"/>
      <c r="M50" s="144"/>
      <c r="N50" s="144"/>
      <c r="O50" s="145"/>
      <c r="P50" s="145"/>
      <c r="Q50" s="145"/>
      <c r="R50" s="145"/>
      <c r="S50" s="145"/>
      <c r="T50" s="145"/>
      <c r="U50" s="145"/>
      <c r="V50" s="145"/>
      <c r="W50" s="145"/>
      <c r="X50" s="145"/>
      <c r="Y50" s="145"/>
      <c r="Z50" s="176">
        <f t="shared" si="18"/>
        <v>0</v>
      </c>
      <c r="AA50" s="152">
        <f t="shared" si="18"/>
        <v>0</v>
      </c>
      <c r="AB50" s="147"/>
      <c r="AC50" s="147"/>
      <c r="AD50" s="147"/>
      <c r="AE50" s="147"/>
      <c r="AF50" s="147"/>
      <c r="AG50" s="147"/>
      <c r="AH50" s="147"/>
      <c r="AI50" s="147"/>
      <c r="AJ50" s="147"/>
      <c r="AK50" s="147"/>
      <c r="AL50" s="147"/>
      <c r="AM50" s="147"/>
      <c r="AO50" s="144" t="s">
        <v>256</v>
      </c>
      <c r="AP50" s="144"/>
      <c r="AQ50" s="144"/>
      <c r="AR50" s="144"/>
      <c r="AS50" s="144"/>
      <c r="AT50" s="144"/>
      <c r="AU50" s="144"/>
      <c r="AV50" s="144"/>
      <c r="AW50" s="144"/>
      <c r="AX50" s="144"/>
      <c r="AY50" s="144"/>
      <c r="AZ50" s="144"/>
      <c r="BA50" s="144"/>
      <c r="BB50" s="144"/>
      <c r="BC50" s="145"/>
      <c r="BD50" s="145"/>
      <c r="BE50" s="145"/>
      <c r="BF50" s="145"/>
      <c r="BG50" s="145"/>
      <c r="BH50" s="145"/>
      <c r="BI50" s="145"/>
      <c r="BJ50" s="145"/>
      <c r="BK50" s="145"/>
      <c r="BL50" s="145"/>
      <c r="BM50" s="145"/>
      <c r="BN50" s="176">
        <f t="shared" si="19"/>
        <v>0</v>
      </c>
      <c r="BO50" s="152">
        <f t="shared" si="19"/>
        <v>0</v>
      </c>
      <c r="BP50" s="175"/>
      <c r="BQ50" s="175"/>
      <c r="BR50" s="175"/>
      <c r="BS50" s="175"/>
      <c r="BT50" s="147"/>
      <c r="BU50" s="147"/>
      <c r="BV50" s="147"/>
      <c r="BW50" s="147"/>
      <c r="BX50" s="147"/>
      <c r="BY50" s="147"/>
      <c r="BZ50" s="147"/>
      <c r="CA50" s="147"/>
    </row>
    <row r="51" spans="1:79">
      <c r="A51" s="144" t="s">
        <v>257</v>
      </c>
      <c r="B51" s="144"/>
      <c r="C51" s="144"/>
      <c r="D51" s="144"/>
      <c r="E51" s="144"/>
      <c r="F51" s="144"/>
      <c r="G51" s="144"/>
      <c r="H51" s="144"/>
      <c r="I51" s="144"/>
      <c r="J51" s="144"/>
      <c r="K51" s="144"/>
      <c r="L51" s="144"/>
      <c r="M51" s="144"/>
      <c r="N51" s="144"/>
      <c r="O51" s="145"/>
      <c r="P51" s="145"/>
      <c r="Q51" s="145"/>
      <c r="R51" s="145"/>
      <c r="S51" s="145"/>
      <c r="T51" s="145"/>
      <c r="U51" s="145"/>
      <c r="V51" s="145"/>
      <c r="W51" s="145"/>
      <c r="X51" s="145"/>
      <c r="Y51" s="145"/>
      <c r="Z51" s="176">
        <f t="shared" si="18"/>
        <v>0</v>
      </c>
      <c r="AA51" s="152">
        <f t="shared" si="18"/>
        <v>0</v>
      </c>
      <c r="AB51" s="147"/>
      <c r="AC51" s="147"/>
      <c r="AD51" s="147"/>
      <c r="AE51" s="147"/>
      <c r="AF51" s="147"/>
      <c r="AG51" s="147"/>
      <c r="AH51" s="147"/>
      <c r="AI51" s="147"/>
      <c r="AJ51" s="147"/>
      <c r="AK51" s="147"/>
      <c r="AL51" s="147"/>
      <c r="AM51" s="147"/>
      <c r="AO51" s="144" t="s">
        <v>257</v>
      </c>
      <c r="AP51" s="144"/>
      <c r="AQ51" s="144"/>
      <c r="AR51" s="144"/>
      <c r="AS51" s="144"/>
      <c r="AT51" s="144"/>
      <c r="AU51" s="144"/>
      <c r="AV51" s="144"/>
      <c r="AW51" s="144"/>
      <c r="AX51" s="144"/>
      <c r="AY51" s="144"/>
      <c r="AZ51" s="144"/>
      <c r="BA51" s="144"/>
      <c r="BB51" s="144"/>
      <c r="BC51" s="145"/>
      <c r="BD51" s="145"/>
      <c r="BE51" s="145"/>
      <c r="BF51" s="145"/>
      <c r="BG51" s="145"/>
      <c r="BH51" s="145"/>
      <c r="BI51" s="145"/>
      <c r="BJ51" s="145"/>
      <c r="BK51" s="145"/>
      <c r="BL51" s="145"/>
      <c r="BM51" s="145"/>
      <c r="BN51" s="176">
        <f t="shared" si="19"/>
        <v>0</v>
      </c>
      <c r="BO51" s="152">
        <f t="shared" si="19"/>
        <v>0</v>
      </c>
      <c r="BP51" s="175"/>
      <c r="BQ51" s="175"/>
      <c r="BR51" s="175"/>
      <c r="BS51" s="175"/>
      <c r="BT51" s="147"/>
      <c r="BU51" s="147"/>
      <c r="BV51" s="147"/>
      <c r="BW51" s="147"/>
      <c r="BX51" s="147"/>
      <c r="BY51" s="147"/>
      <c r="BZ51" s="147"/>
      <c r="CA51" s="147"/>
    </row>
    <row r="52" spans="1:79">
      <c r="A52" s="144" t="s">
        <v>258</v>
      </c>
      <c r="B52" s="144"/>
      <c r="C52" s="144"/>
      <c r="D52" s="144"/>
      <c r="E52" s="144"/>
      <c r="F52" s="144"/>
      <c r="G52" s="144"/>
      <c r="H52" s="144"/>
      <c r="I52" s="144"/>
      <c r="J52" s="144"/>
      <c r="K52" s="144"/>
      <c r="L52" s="144"/>
      <c r="M52" s="144"/>
      <c r="N52" s="144"/>
      <c r="O52" s="145"/>
      <c r="P52" s="145"/>
      <c r="Q52" s="145"/>
      <c r="R52" s="145"/>
      <c r="S52" s="145"/>
      <c r="T52" s="145"/>
      <c r="U52" s="145"/>
      <c r="V52" s="145"/>
      <c r="W52" s="145"/>
      <c r="X52" s="145"/>
      <c r="Y52" s="145"/>
      <c r="Z52" s="176">
        <f t="shared" si="18"/>
        <v>0</v>
      </c>
      <c r="AA52" s="152">
        <f t="shared" si="18"/>
        <v>0</v>
      </c>
      <c r="AB52" s="147"/>
      <c r="AC52" s="147"/>
      <c r="AD52" s="147"/>
      <c r="AE52" s="147"/>
      <c r="AF52" s="147"/>
      <c r="AG52" s="147"/>
      <c r="AH52" s="147"/>
      <c r="AI52" s="147"/>
      <c r="AJ52" s="147"/>
      <c r="AK52" s="147"/>
      <c r="AL52" s="147"/>
      <c r="AM52" s="147"/>
      <c r="AO52" s="144" t="s">
        <v>258</v>
      </c>
      <c r="AP52" s="144"/>
      <c r="AQ52" s="144"/>
      <c r="AR52" s="144"/>
      <c r="AS52" s="144"/>
      <c r="AT52" s="144"/>
      <c r="AU52" s="144"/>
      <c r="AV52" s="144"/>
      <c r="AW52" s="144"/>
      <c r="AX52" s="144"/>
      <c r="AY52" s="144"/>
      <c r="AZ52" s="144"/>
      <c r="BA52" s="144"/>
      <c r="BB52" s="144"/>
      <c r="BC52" s="145"/>
      <c r="BD52" s="145"/>
      <c r="BE52" s="145"/>
      <c r="BF52" s="145"/>
      <c r="BG52" s="145"/>
      <c r="BH52" s="145"/>
      <c r="BI52" s="145"/>
      <c r="BJ52" s="145"/>
      <c r="BK52" s="145"/>
      <c r="BL52" s="145"/>
      <c r="BM52" s="145"/>
      <c r="BN52" s="176">
        <f t="shared" si="19"/>
        <v>0</v>
      </c>
      <c r="BO52" s="152">
        <f t="shared" si="19"/>
        <v>0</v>
      </c>
      <c r="BP52" s="175"/>
      <c r="BQ52" s="175"/>
      <c r="BR52" s="175"/>
      <c r="BS52" s="175"/>
      <c r="BT52" s="147"/>
      <c r="BU52" s="147"/>
      <c r="BV52" s="147"/>
      <c r="BW52" s="147"/>
      <c r="BX52" s="147"/>
      <c r="BY52" s="147"/>
      <c r="BZ52" s="147"/>
      <c r="CA52" s="147"/>
    </row>
    <row r="53" spans="1:79">
      <c r="A53" s="144" t="s">
        <v>259</v>
      </c>
      <c r="B53" s="144"/>
      <c r="C53" s="144"/>
      <c r="D53" s="144"/>
      <c r="E53" s="144"/>
      <c r="F53" s="144"/>
      <c r="G53" s="144"/>
      <c r="H53" s="144"/>
      <c r="I53" s="144"/>
      <c r="J53" s="144"/>
      <c r="K53" s="144"/>
      <c r="L53" s="144"/>
      <c r="M53" s="144"/>
      <c r="N53" s="144"/>
      <c r="O53" s="145"/>
      <c r="P53" s="145"/>
      <c r="Q53" s="145"/>
      <c r="R53" s="145"/>
      <c r="S53" s="145"/>
      <c r="T53" s="145"/>
      <c r="U53" s="145"/>
      <c r="V53" s="145"/>
      <c r="W53" s="145"/>
      <c r="X53" s="145"/>
      <c r="Y53" s="145"/>
      <c r="Z53" s="176">
        <f t="shared" si="18"/>
        <v>0</v>
      </c>
      <c r="AA53" s="152">
        <f t="shared" si="18"/>
        <v>0</v>
      </c>
      <c r="AB53" s="147"/>
      <c r="AC53" s="147"/>
      <c r="AD53" s="147"/>
      <c r="AE53" s="147"/>
      <c r="AF53" s="147"/>
      <c r="AG53" s="147"/>
      <c r="AH53" s="147"/>
      <c r="AI53" s="147"/>
      <c r="AJ53" s="147"/>
      <c r="AK53" s="147"/>
      <c r="AL53" s="147"/>
      <c r="AM53" s="147"/>
      <c r="AO53" s="144" t="s">
        <v>259</v>
      </c>
      <c r="AP53" s="144"/>
      <c r="AQ53" s="144"/>
      <c r="AR53" s="144"/>
      <c r="AS53" s="144"/>
      <c r="AT53" s="144"/>
      <c r="AU53" s="144"/>
      <c r="AV53" s="144"/>
      <c r="AW53" s="144"/>
      <c r="AX53" s="144"/>
      <c r="AY53" s="144"/>
      <c r="AZ53" s="144"/>
      <c r="BA53" s="144"/>
      <c r="BB53" s="144"/>
      <c r="BC53" s="145"/>
      <c r="BD53" s="145"/>
      <c r="BE53" s="145"/>
      <c r="BF53" s="145"/>
      <c r="BG53" s="145"/>
      <c r="BH53" s="145"/>
      <c r="BI53" s="145"/>
      <c r="BJ53" s="145"/>
      <c r="BK53" s="145"/>
      <c r="BL53" s="145"/>
      <c r="BM53" s="145"/>
      <c r="BN53" s="176">
        <f t="shared" si="19"/>
        <v>0</v>
      </c>
      <c r="BO53" s="152">
        <f t="shared" si="19"/>
        <v>0</v>
      </c>
      <c r="BP53" s="175"/>
      <c r="BQ53" s="175"/>
      <c r="BR53" s="175"/>
      <c r="BS53" s="175"/>
      <c r="BT53" s="147"/>
      <c r="BU53" s="147"/>
      <c r="BV53" s="147"/>
      <c r="BW53" s="147"/>
      <c r="BX53" s="147"/>
      <c r="BY53" s="147"/>
      <c r="BZ53" s="147"/>
      <c r="CA53" s="147"/>
    </row>
    <row r="54" spans="1:79">
      <c r="A54" s="144" t="s">
        <v>260</v>
      </c>
      <c r="B54" s="144"/>
      <c r="C54" s="144"/>
      <c r="D54" s="144"/>
      <c r="E54" s="144"/>
      <c r="F54" s="144"/>
      <c r="G54" s="144"/>
      <c r="H54" s="144"/>
      <c r="I54" s="144"/>
      <c r="J54" s="144"/>
      <c r="K54" s="144"/>
      <c r="L54" s="144"/>
      <c r="M54" s="144"/>
      <c r="N54" s="144"/>
      <c r="O54" s="145"/>
      <c r="P54" s="145"/>
      <c r="Q54" s="145"/>
      <c r="R54" s="145"/>
      <c r="S54" s="145"/>
      <c r="T54" s="145"/>
      <c r="U54" s="145"/>
      <c r="V54" s="145"/>
      <c r="W54" s="145"/>
      <c r="X54" s="145"/>
      <c r="Y54" s="145"/>
      <c r="Z54" s="176">
        <f t="shared" si="18"/>
        <v>0</v>
      </c>
      <c r="AA54" s="152">
        <f t="shared" si="18"/>
        <v>0</v>
      </c>
      <c r="AB54" s="147"/>
      <c r="AC54" s="147"/>
      <c r="AD54" s="147"/>
      <c r="AE54" s="147"/>
      <c r="AF54" s="147"/>
      <c r="AG54" s="147"/>
      <c r="AH54" s="147"/>
      <c r="AI54" s="147"/>
      <c r="AJ54" s="147"/>
      <c r="AK54" s="147"/>
      <c r="AL54" s="147"/>
      <c r="AM54" s="147"/>
      <c r="AO54" s="144" t="s">
        <v>260</v>
      </c>
      <c r="AP54" s="144"/>
      <c r="AQ54" s="144"/>
      <c r="AR54" s="144"/>
      <c r="AS54" s="144"/>
      <c r="AT54" s="144"/>
      <c r="AU54" s="144"/>
      <c r="AV54" s="144"/>
      <c r="AW54" s="144"/>
      <c r="AX54" s="144"/>
      <c r="AY54" s="144"/>
      <c r="AZ54" s="144"/>
      <c r="BA54" s="144"/>
      <c r="BB54" s="144"/>
      <c r="BC54" s="145"/>
      <c r="BD54" s="145"/>
      <c r="BE54" s="145"/>
      <c r="BF54" s="145"/>
      <c r="BG54" s="145"/>
      <c r="BH54" s="145"/>
      <c r="BI54" s="145"/>
      <c r="BJ54" s="145"/>
      <c r="BK54" s="145"/>
      <c r="BL54" s="145"/>
      <c r="BM54" s="145"/>
      <c r="BN54" s="176">
        <f t="shared" si="19"/>
        <v>0</v>
      </c>
      <c r="BO54" s="152">
        <f t="shared" si="19"/>
        <v>0</v>
      </c>
      <c r="BP54" s="175"/>
      <c r="BQ54" s="175"/>
      <c r="BR54" s="175"/>
      <c r="BS54" s="175"/>
      <c r="BT54" s="147"/>
      <c r="BU54" s="147"/>
      <c r="BV54" s="147"/>
      <c r="BW54" s="147"/>
      <c r="BX54" s="147"/>
      <c r="BY54" s="147"/>
      <c r="BZ54" s="147"/>
      <c r="CA54" s="147"/>
    </row>
    <row r="55" spans="1:79">
      <c r="A55" s="144" t="s">
        <v>261</v>
      </c>
      <c r="B55" s="144"/>
      <c r="C55" s="144"/>
      <c r="D55" s="144"/>
      <c r="E55" s="144"/>
      <c r="F55" s="144"/>
      <c r="G55" s="144"/>
      <c r="H55" s="144"/>
      <c r="I55" s="144"/>
      <c r="J55" s="144"/>
      <c r="K55" s="144"/>
      <c r="L55" s="144"/>
      <c r="M55" s="144"/>
      <c r="N55" s="144"/>
      <c r="O55" s="145"/>
      <c r="P55" s="145"/>
      <c r="Q55" s="145"/>
      <c r="R55" s="145"/>
      <c r="S55" s="145"/>
      <c r="T55" s="145"/>
      <c r="U55" s="145"/>
      <c r="V55" s="145"/>
      <c r="W55" s="145"/>
      <c r="X55" s="145"/>
      <c r="Y55" s="145"/>
      <c r="Z55" s="176">
        <f t="shared" si="18"/>
        <v>0</v>
      </c>
      <c r="AA55" s="152">
        <f t="shared" si="18"/>
        <v>0</v>
      </c>
      <c r="AB55" s="147"/>
      <c r="AC55" s="147"/>
      <c r="AD55" s="147"/>
      <c r="AE55" s="147"/>
      <c r="AF55" s="147"/>
      <c r="AG55" s="147"/>
      <c r="AH55" s="147"/>
      <c r="AI55" s="147"/>
      <c r="AJ55" s="147"/>
      <c r="AK55" s="147"/>
      <c r="AL55" s="147"/>
      <c r="AM55" s="147"/>
      <c r="AO55" s="144" t="s">
        <v>261</v>
      </c>
      <c r="AP55" s="144"/>
      <c r="AQ55" s="144"/>
      <c r="AR55" s="144"/>
      <c r="AS55" s="144"/>
      <c r="AT55" s="144"/>
      <c r="AU55" s="144"/>
      <c r="AV55" s="144"/>
      <c r="AW55" s="144"/>
      <c r="AX55" s="144"/>
      <c r="AY55" s="144"/>
      <c r="AZ55" s="144"/>
      <c r="BA55" s="144"/>
      <c r="BB55" s="144"/>
      <c r="BC55" s="145"/>
      <c r="BD55" s="145"/>
      <c r="BE55" s="145"/>
      <c r="BF55" s="145"/>
      <c r="BG55" s="145"/>
      <c r="BH55" s="145"/>
      <c r="BI55" s="145"/>
      <c r="BJ55" s="145"/>
      <c r="BK55" s="145"/>
      <c r="BL55" s="145"/>
      <c r="BM55" s="145"/>
      <c r="BN55" s="176">
        <f t="shared" si="19"/>
        <v>0</v>
      </c>
      <c r="BO55" s="152">
        <f t="shared" si="19"/>
        <v>0</v>
      </c>
      <c r="BP55" s="175"/>
      <c r="BQ55" s="175"/>
      <c r="BR55" s="175"/>
      <c r="BS55" s="175"/>
      <c r="BT55" s="147"/>
      <c r="BU55" s="147"/>
      <c r="BV55" s="147"/>
      <c r="BW55" s="147"/>
      <c r="BX55" s="147"/>
      <c r="BY55" s="147"/>
      <c r="BZ55" s="147"/>
      <c r="CA55" s="147"/>
    </row>
    <row r="56" spans="1:79">
      <c r="A56" s="144" t="s">
        <v>262</v>
      </c>
      <c r="B56" s="144"/>
      <c r="C56" s="144"/>
      <c r="D56" s="144"/>
      <c r="E56" s="144"/>
      <c r="F56" s="144"/>
      <c r="G56" s="144"/>
      <c r="H56" s="144"/>
      <c r="I56" s="144"/>
      <c r="J56" s="144"/>
      <c r="K56" s="144"/>
      <c r="L56" s="144"/>
      <c r="M56" s="144"/>
      <c r="N56" s="144"/>
      <c r="O56" s="145"/>
      <c r="P56" s="145"/>
      <c r="Q56" s="145"/>
      <c r="R56" s="145"/>
      <c r="S56" s="145"/>
      <c r="T56" s="145"/>
      <c r="U56" s="145"/>
      <c r="V56" s="145"/>
      <c r="W56" s="145"/>
      <c r="X56" s="145"/>
      <c r="Y56" s="145"/>
      <c r="Z56" s="176">
        <f t="shared" si="18"/>
        <v>0</v>
      </c>
      <c r="AA56" s="152">
        <f t="shared" si="18"/>
        <v>0</v>
      </c>
      <c r="AB56" s="147"/>
      <c r="AC56" s="147"/>
      <c r="AD56" s="147"/>
      <c r="AE56" s="147"/>
      <c r="AF56" s="147"/>
      <c r="AG56" s="147"/>
      <c r="AH56" s="147"/>
      <c r="AI56" s="147"/>
      <c r="AJ56" s="147"/>
      <c r="AK56" s="147"/>
      <c r="AL56" s="147"/>
      <c r="AM56" s="147"/>
      <c r="AO56" s="144" t="s">
        <v>262</v>
      </c>
      <c r="AP56" s="144"/>
      <c r="AQ56" s="144"/>
      <c r="AR56" s="144"/>
      <c r="AS56" s="144"/>
      <c r="AT56" s="144"/>
      <c r="AU56" s="144"/>
      <c r="AV56" s="144"/>
      <c r="AW56" s="144"/>
      <c r="AX56" s="144"/>
      <c r="AY56" s="144"/>
      <c r="AZ56" s="144"/>
      <c r="BA56" s="144"/>
      <c r="BB56" s="144"/>
      <c r="BC56" s="145"/>
      <c r="BD56" s="145"/>
      <c r="BE56" s="145"/>
      <c r="BF56" s="145"/>
      <c r="BG56" s="145"/>
      <c r="BH56" s="145"/>
      <c r="BI56" s="145"/>
      <c r="BJ56" s="145"/>
      <c r="BK56" s="145"/>
      <c r="BL56" s="145"/>
      <c r="BM56" s="145"/>
      <c r="BN56" s="176">
        <f t="shared" si="19"/>
        <v>0</v>
      </c>
      <c r="BO56" s="152">
        <f t="shared" si="19"/>
        <v>0</v>
      </c>
      <c r="BP56" s="175"/>
      <c r="BQ56" s="175"/>
      <c r="BR56" s="175"/>
      <c r="BS56" s="175"/>
      <c r="BT56" s="147"/>
      <c r="BU56" s="147"/>
      <c r="BV56" s="147"/>
      <c r="BW56" s="147"/>
      <c r="BX56" s="147"/>
      <c r="BY56" s="147"/>
      <c r="BZ56" s="147"/>
      <c r="CA56" s="147"/>
    </row>
    <row r="57" spans="1:79">
      <c r="A57" s="144" t="s">
        <v>263</v>
      </c>
      <c r="B57" s="144"/>
      <c r="C57" s="144"/>
      <c r="D57" s="144"/>
      <c r="E57" s="144"/>
      <c r="F57" s="144"/>
      <c r="G57" s="144"/>
      <c r="H57" s="144"/>
      <c r="I57" s="144"/>
      <c r="J57" s="144"/>
      <c r="K57" s="144"/>
      <c r="L57" s="144"/>
      <c r="M57" s="144"/>
      <c r="N57" s="144"/>
      <c r="O57" s="145"/>
      <c r="P57" s="145"/>
      <c r="Q57" s="145"/>
      <c r="R57" s="145"/>
      <c r="S57" s="145"/>
      <c r="T57" s="145"/>
      <c r="U57" s="145"/>
      <c r="V57" s="145"/>
      <c r="W57" s="145"/>
      <c r="X57" s="145"/>
      <c r="Y57" s="145"/>
      <c r="Z57" s="176">
        <f t="shared" si="18"/>
        <v>0</v>
      </c>
      <c r="AA57" s="152">
        <f t="shared" si="18"/>
        <v>0</v>
      </c>
      <c r="AB57" s="147"/>
      <c r="AC57" s="147"/>
      <c r="AD57" s="147"/>
      <c r="AE57" s="147"/>
      <c r="AF57" s="147"/>
      <c r="AG57" s="147"/>
      <c r="AH57" s="147"/>
      <c r="AI57" s="147"/>
      <c r="AJ57" s="147"/>
      <c r="AK57" s="147"/>
      <c r="AL57" s="147"/>
      <c r="AM57" s="147"/>
      <c r="AO57" s="144" t="s">
        <v>263</v>
      </c>
      <c r="AP57" s="144"/>
      <c r="AQ57" s="144"/>
      <c r="AR57" s="144"/>
      <c r="AS57" s="144"/>
      <c r="AT57" s="144"/>
      <c r="AU57" s="144"/>
      <c r="AV57" s="144"/>
      <c r="AW57" s="144"/>
      <c r="AX57" s="144"/>
      <c r="AY57" s="144"/>
      <c r="AZ57" s="144"/>
      <c r="BA57" s="144"/>
      <c r="BB57" s="144"/>
      <c r="BC57" s="145"/>
      <c r="BD57" s="145"/>
      <c r="BE57" s="145"/>
      <c r="BF57" s="145"/>
      <c r="BG57" s="145"/>
      <c r="BH57" s="145"/>
      <c r="BI57" s="145"/>
      <c r="BJ57" s="145"/>
      <c r="BK57" s="145"/>
      <c r="BL57" s="145"/>
      <c r="BM57" s="145"/>
      <c r="BN57" s="176">
        <f t="shared" si="19"/>
        <v>0</v>
      </c>
      <c r="BO57" s="152">
        <f t="shared" si="19"/>
        <v>0</v>
      </c>
      <c r="BP57" s="175"/>
      <c r="BQ57" s="175"/>
      <c r="BR57" s="175"/>
      <c r="BS57" s="175"/>
      <c r="BT57" s="147"/>
      <c r="BU57" s="147"/>
      <c r="BV57" s="147"/>
      <c r="BW57" s="147"/>
      <c r="BX57" s="147"/>
      <c r="BY57" s="147"/>
      <c r="BZ57" s="147"/>
      <c r="CA57" s="147"/>
    </row>
    <row r="58" spans="1:79">
      <c r="A58" s="144" t="s">
        <v>264</v>
      </c>
      <c r="B58" s="144"/>
      <c r="C58" s="144"/>
      <c r="D58" s="144"/>
      <c r="E58" s="144"/>
      <c r="F58" s="144"/>
      <c r="G58" s="144"/>
      <c r="H58" s="144"/>
      <c r="I58" s="144"/>
      <c r="J58" s="144"/>
      <c r="K58" s="144"/>
      <c r="L58" s="144"/>
      <c r="M58" s="144"/>
      <c r="N58" s="144"/>
      <c r="O58" s="145"/>
      <c r="P58" s="145"/>
      <c r="Q58" s="145"/>
      <c r="R58" s="145"/>
      <c r="S58" s="145"/>
      <c r="T58" s="145"/>
      <c r="U58" s="145"/>
      <c r="V58" s="145"/>
      <c r="W58" s="145"/>
      <c r="X58" s="145"/>
      <c r="Y58" s="145"/>
      <c r="Z58" s="176">
        <f t="shared" si="18"/>
        <v>0</v>
      </c>
      <c r="AA58" s="152">
        <f t="shared" si="18"/>
        <v>0</v>
      </c>
      <c r="AB58" s="147"/>
      <c r="AC58" s="147"/>
      <c r="AD58" s="147"/>
      <c r="AE58" s="147"/>
      <c r="AF58" s="147"/>
      <c r="AG58" s="147"/>
      <c r="AH58" s="147"/>
      <c r="AI58" s="147"/>
      <c r="AJ58" s="147"/>
      <c r="AK58" s="147"/>
      <c r="AL58" s="147"/>
      <c r="AM58" s="147"/>
      <c r="AO58" s="144" t="s">
        <v>264</v>
      </c>
      <c r="AP58" s="144"/>
      <c r="AQ58" s="144"/>
      <c r="AR58" s="144"/>
      <c r="AS58" s="144"/>
      <c r="AT58" s="144"/>
      <c r="AU58" s="144"/>
      <c r="AV58" s="144"/>
      <c r="AW58" s="144"/>
      <c r="AX58" s="144"/>
      <c r="AY58" s="144"/>
      <c r="AZ58" s="144"/>
      <c r="BA58" s="144"/>
      <c r="BB58" s="144"/>
      <c r="BC58" s="145"/>
      <c r="BD58" s="145"/>
      <c r="BE58" s="145"/>
      <c r="BF58" s="145"/>
      <c r="BG58" s="145"/>
      <c r="BH58" s="145"/>
      <c r="BI58" s="145"/>
      <c r="BJ58" s="145"/>
      <c r="BK58" s="145"/>
      <c r="BL58" s="145"/>
      <c r="BM58" s="145"/>
      <c r="BN58" s="176">
        <f t="shared" si="19"/>
        <v>0</v>
      </c>
      <c r="BO58" s="152">
        <f t="shared" si="19"/>
        <v>0</v>
      </c>
      <c r="BP58" s="175"/>
      <c r="BQ58" s="175"/>
      <c r="BR58" s="175"/>
      <c r="BS58" s="175"/>
      <c r="BT58" s="147"/>
      <c r="BU58" s="147"/>
      <c r="BV58" s="147"/>
      <c r="BW58" s="147"/>
      <c r="BX58" s="147"/>
      <c r="BY58" s="147"/>
      <c r="BZ58" s="147"/>
      <c r="CA58" s="147"/>
    </row>
    <row r="59" spans="1:79">
      <c r="A59" s="144" t="s">
        <v>265</v>
      </c>
      <c r="B59" s="144"/>
      <c r="C59" s="144"/>
      <c r="D59" s="144"/>
      <c r="E59" s="144"/>
      <c r="F59" s="144"/>
      <c r="G59" s="144"/>
      <c r="H59" s="144"/>
      <c r="I59" s="144"/>
      <c r="J59" s="144"/>
      <c r="K59" s="144"/>
      <c r="L59" s="144"/>
      <c r="M59" s="144"/>
      <c r="N59" s="144"/>
      <c r="O59" s="145"/>
      <c r="P59" s="145"/>
      <c r="Q59" s="145"/>
      <c r="R59" s="145"/>
      <c r="S59" s="145"/>
      <c r="T59" s="145"/>
      <c r="U59" s="145"/>
      <c r="V59" s="145"/>
      <c r="W59" s="145"/>
      <c r="X59" s="145"/>
      <c r="Y59" s="145"/>
      <c r="Z59" s="176">
        <f t="shared" si="18"/>
        <v>0</v>
      </c>
      <c r="AA59" s="152">
        <f t="shared" si="18"/>
        <v>0</v>
      </c>
      <c r="AB59" s="147"/>
      <c r="AC59" s="147"/>
      <c r="AD59" s="147"/>
      <c r="AE59" s="147"/>
      <c r="AF59" s="147"/>
      <c r="AG59" s="147"/>
      <c r="AH59" s="147"/>
      <c r="AI59" s="147"/>
      <c r="AJ59" s="147"/>
      <c r="AK59" s="147"/>
      <c r="AL59" s="147"/>
      <c r="AM59" s="147"/>
      <c r="AO59" s="144" t="s">
        <v>265</v>
      </c>
      <c r="AP59" s="144"/>
      <c r="AQ59" s="144"/>
      <c r="AR59" s="144"/>
      <c r="AS59" s="144"/>
      <c r="AT59" s="144"/>
      <c r="AU59" s="144"/>
      <c r="AV59" s="144"/>
      <c r="AW59" s="144"/>
      <c r="AX59" s="144"/>
      <c r="AY59" s="144"/>
      <c r="AZ59" s="144"/>
      <c r="BA59" s="144"/>
      <c r="BB59" s="144"/>
      <c r="BC59" s="145"/>
      <c r="BD59" s="145"/>
      <c r="BE59" s="145"/>
      <c r="BF59" s="145"/>
      <c r="BG59" s="145"/>
      <c r="BH59" s="145"/>
      <c r="BI59" s="145"/>
      <c r="BJ59" s="145"/>
      <c r="BK59" s="145"/>
      <c r="BL59" s="145"/>
      <c r="BM59" s="145"/>
      <c r="BN59" s="176">
        <f t="shared" si="19"/>
        <v>0</v>
      </c>
      <c r="BO59" s="152">
        <f t="shared" si="19"/>
        <v>0</v>
      </c>
      <c r="BP59" s="175"/>
      <c r="BQ59" s="175"/>
      <c r="BR59" s="175"/>
      <c r="BS59" s="175"/>
      <c r="BT59" s="147"/>
      <c r="BU59" s="147"/>
      <c r="BV59" s="147"/>
      <c r="BW59" s="147"/>
      <c r="BX59" s="147"/>
      <c r="BY59" s="147"/>
      <c r="BZ59" s="147"/>
      <c r="CA59" s="147"/>
    </row>
    <row r="60" spans="1:79">
      <c r="A60" s="144" t="s">
        <v>266</v>
      </c>
      <c r="B60" s="144"/>
      <c r="C60" s="144"/>
      <c r="D60" s="144"/>
      <c r="E60" s="144"/>
      <c r="F60" s="144"/>
      <c r="G60" s="144"/>
      <c r="H60" s="144"/>
      <c r="I60" s="144"/>
      <c r="J60" s="144"/>
      <c r="K60" s="144"/>
      <c r="L60" s="144"/>
      <c r="M60" s="144"/>
      <c r="N60" s="144"/>
      <c r="O60" s="145"/>
      <c r="P60" s="145"/>
      <c r="Q60" s="145"/>
      <c r="R60" s="145"/>
      <c r="S60" s="145"/>
      <c r="T60" s="145"/>
      <c r="U60" s="145"/>
      <c r="V60" s="145"/>
      <c r="W60" s="145"/>
      <c r="X60" s="145"/>
      <c r="Y60" s="145"/>
      <c r="Z60" s="176">
        <f t="shared" si="18"/>
        <v>0</v>
      </c>
      <c r="AA60" s="152">
        <f t="shared" si="18"/>
        <v>0</v>
      </c>
      <c r="AB60" s="147"/>
      <c r="AC60" s="147"/>
      <c r="AD60" s="147"/>
      <c r="AE60" s="147"/>
      <c r="AF60" s="147"/>
      <c r="AG60" s="147"/>
      <c r="AH60" s="147"/>
      <c r="AI60" s="147"/>
      <c r="AJ60" s="147"/>
      <c r="AK60" s="147"/>
      <c r="AL60" s="147"/>
      <c r="AM60" s="147"/>
      <c r="AO60" s="144" t="s">
        <v>266</v>
      </c>
      <c r="AP60" s="144"/>
      <c r="AQ60" s="144"/>
      <c r="AR60" s="144"/>
      <c r="AS60" s="144"/>
      <c r="AT60" s="144"/>
      <c r="AU60" s="144"/>
      <c r="AV60" s="144"/>
      <c r="AW60" s="144"/>
      <c r="AX60" s="144"/>
      <c r="AY60" s="144"/>
      <c r="AZ60" s="144"/>
      <c r="BA60" s="144"/>
      <c r="BB60" s="144"/>
      <c r="BC60" s="145"/>
      <c r="BD60" s="145"/>
      <c r="BE60" s="145"/>
      <c r="BF60" s="145"/>
      <c r="BG60" s="145"/>
      <c r="BH60" s="145"/>
      <c r="BI60" s="145"/>
      <c r="BJ60" s="145"/>
      <c r="BK60" s="145"/>
      <c r="BL60" s="145"/>
      <c r="BM60" s="145"/>
      <c r="BN60" s="176">
        <f t="shared" si="19"/>
        <v>0</v>
      </c>
      <c r="BO60" s="152">
        <f t="shared" si="19"/>
        <v>0</v>
      </c>
      <c r="BP60" s="175"/>
      <c r="BQ60" s="175"/>
      <c r="BR60" s="175"/>
      <c r="BS60" s="175"/>
      <c r="BT60" s="147"/>
      <c r="BU60" s="147"/>
      <c r="BV60" s="147"/>
      <c r="BW60" s="147"/>
      <c r="BX60" s="147"/>
      <c r="BY60" s="147"/>
      <c r="BZ60" s="147"/>
      <c r="CA60" s="147"/>
    </row>
    <row r="61" spans="1:79">
      <c r="A61" s="149" t="s">
        <v>267</v>
      </c>
      <c r="B61" s="146">
        <f t="shared" ref="B61:AM61" si="20">SUM(B40:B60)</f>
        <v>0</v>
      </c>
      <c r="C61" s="415">
        <f>SUM(C40:C60)</f>
        <v>20050667</v>
      </c>
      <c r="D61" s="146">
        <f t="shared" si="20"/>
        <v>0</v>
      </c>
      <c r="E61" s="415">
        <f>SUM(E40:E60)</f>
        <v>54590000</v>
      </c>
      <c r="F61" s="146">
        <f t="shared" si="20"/>
        <v>1.0400000000000003E-2</v>
      </c>
      <c r="G61" s="415">
        <f>SUM(G40:G60)</f>
        <v>54590000</v>
      </c>
      <c r="H61" s="146">
        <f t="shared" si="20"/>
        <v>2.0000000000000004E-2</v>
      </c>
      <c r="I61" s="415">
        <f>SUM(I40:I60)</f>
        <v>54590000</v>
      </c>
      <c r="J61" s="146">
        <f t="shared" si="20"/>
        <v>2.0000000000000004E-2</v>
      </c>
      <c r="K61" s="415">
        <f>SUM(K40:K60)</f>
        <v>54590000</v>
      </c>
      <c r="L61" s="146">
        <f t="shared" si="20"/>
        <v>2.0000000000000004E-2</v>
      </c>
      <c r="M61" s="415">
        <f>SUM(M40:M60)</f>
        <v>54590000</v>
      </c>
      <c r="N61" s="146">
        <f t="shared" si="20"/>
        <v>2.0000000000000004E-2</v>
      </c>
      <c r="O61" s="415">
        <f>SUM(O40:O60)</f>
        <v>54590000</v>
      </c>
      <c r="P61" s="146">
        <f t="shared" si="20"/>
        <v>2.0000000000000004E-2</v>
      </c>
      <c r="Q61" s="415">
        <f>SUM(Q40:Q60)</f>
        <v>54590000</v>
      </c>
      <c r="R61" s="146">
        <f t="shared" si="20"/>
        <v>2.0000000000000004E-2</v>
      </c>
      <c r="S61" s="415">
        <f>SUM(S40:S60)</f>
        <v>54590000</v>
      </c>
      <c r="T61" s="146">
        <f t="shared" si="20"/>
        <v>2.0000000000000004E-2</v>
      </c>
      <c r="U61" s="415">
        <f>SUM(U40:U60)</f>
        <v>54590000</v>
      </c>
      <c r="V61" s="146">
        <f t="shared" si="20"/>
        <v>2.0000000000000004E-2</v>
      </c>
      <c r="W61" s="415">
        <f>SUM(W40:W60)</f>
        <v>54590000</v>
      </c>
      <c r="X61" s="146">
        <f t="shared" si="20"/>
        <v>2.0000000000000004E-2</v>
      </c>
      <c r="Y61" s="415">
        <f>SUM(Y40:Y60)</f>
        <v>34539333</v>
      </c>
      <c r="Z61" s="457">
        <f t="shared" si="20"/>
        <v>0.19040000000000007</v>
      </c>
      <c r="AA61" s="152">
        <f t="shared" si="20"/>
        <v>600490000</v>
      </c>
      <c r="AB61" s="146">
        <f t="shared" si="20"/>
        <v>0</v>
      </c>
      <c r="AC61" s="146">
        <f t="shared" si="20"/>
        <v>0</v>
      </c>
      <c r="AD61" s="146">
        <f t="shared" si="20"/>
        <v>0</v>
      </c>
      <c r="AE61" s="146">
        <f t="shared" si="20"/>
        <v>0</v>
      </c>
      <c r="AF61" s="146">
        <f t="shared" si="20"/>
        <v>0</v>
      </c>
      <c r="AG61" s="146">
        <f t="shared" si="20"/>
        <v>0</v>
      </c>
      <c r="AH61" s="146">
        <f t="shared" si="20"/>
        <v>0</v>
      </c>
      <c r="AI61" s="146">
        <f t="shared" si="20"/>
        <v>0</v>
      </c>
      <c r="AJ61" s="146">
        <f t="shared" si="20"/>
        <v>0</v>
      </c>
      <c r="AK61" s="146">
        <f t="shared" si="20"/>
        <v>0</v>
      </c>
      <c r="AL61" s="146">
        <f t="shared" si="20"/>
        <v>0</v>
      </c>
      <c r="AM61" s="146">
        <f t="shared" si="20"/>
        <v>0</v>
      </c>
      <c r="AO61" s="149" t="s">
        <v>267</v>
      </c>
      <c r="AP61" s="146">
        <f t="shared" ref="AP61:BB61" si="21">SUM(AP40:AP60)</f>
        <v>0</v>
      </c>
      <c r="AQ61" s="146">
        <f t="shared" si="21"/>
        <v>0</v>
      </c>
      <c r="AR61" s="146">
        <f t="shared" si="21"/>
        <v>1.0480000000000003E-2</v>
      </c>
      <c r="AS61" s="146">
        <f t="shared" si="21"/>
        <v>19535667</v>
      </c>
      <c r="AT61" s="146">
        <f t="shared" si="21"/>
        <v>0</v>
      </c>
      <c r="AU61" s="146">
        <f t="shared" si="21"/>
        <v>0</v>
      </c>
      <c r="AV61" s="146">
        <f t="shared" si="21"/>
        <v>0</v>
      </c>
      <c r="AW61" s="146">
        <f t="shared" si="21"/>
        <v>0</v>
      </c>
      <c r="AX61" s="146">
        <f t="shared" si="21"/>
        <v>0</v>
      </c>
      <c r="AY61" s="146">
        <f t="shared" si="21"/>
        <v>0</v>
      </c>
      <c r="AZ61" s="146">
        <f t="shared" si="21"/>
        <v>0</v>
      </c>
      <c r="BA61" s="146">
        <f t="shared" si="21"/>
        <v>0</v>
      </c>
      <c r="BB61" s="146">
        <f t="shared" si="21"/>
        <v>0</v>
      </c>
      <c r="BC61" s="146">
        <f>SUM(BC40:BC60)</f>
        <v>0</v>
      </c>
      <c r="BD61" s="146">
        <f t="shared" ref="BD61:CA61" si="22">SUM(BD40:BD60)</f>
        <v>0</v>
      </c>
      <c r="BE61" s="146">
        <f t="shared" si="22"/>
        <v>0</v>
      </c>
      <c r="BF61" s="146">
        <f t="shared" si="22"/>
        <v>0</v>
      </c>
      <c r="BG61" s="146">
        <f t="shared" si="22"/>
        <v>0</v>
      </c>
      <c r="BH61" s="146">
        <f t="shared" si="22"/>
        <v>0</v>
      </c>
      <c r="BI61" s="146">
        <f t="shared" si="22"/>
        <v>0</v>
      </c>
      <c r="BJ61" s="146">
        <f t="shared" si="22"/>
        <v>0</v>
      </c>
      <c r="BK61" s="146">
        <f t="shared" si="22"/>
        <v>0</v>
      </c>
      <c r="BL61" s="146">
        <f t="shared" si="22"/>
        <v>0</v>
      </c>
      <c r="BM61" s="146">
        <f t="shared" si="22"/>
        <v>0</v>
      </c>
      <c r="BN61" s="177">
        <f t="shared" si="22"/>
        <v>1.0480000000000003E-2</v>
      </c>
      <c r="BO61" s="153">
        <f t="shared" si="22"/>
        <v>19535667</v>
      </c>
      <c r="BP61" s="146">
        <f t="shared" si="22"/>
        <v>0</v>
      </c>
      <c r="BQ61" s="146">
        <f t="shared" si="22"/>
        <v>0</v>
      </c>
      <c r="BR61" s="146">
        <f t="shared" si="22"/>
        <v>0</v>
      </c>
      <c r="BS61" s="146">
        <f t="shared" si="22"/>
        <v>0</v>
      </c>
      <c r="BT61" s="146">
        <f t="shared" si="22"/>
        <v>0</v>
      </c>
      <c r="BU61" s="146">
        <f t="shared" si="22"/>
        <v>0</v>
      </c>
      <c r="BV61" s="146">
        <f>SUM(BV40:BV60)</f>
        <v>0</v>
      </c>
      <c r="BW61" s="146">
        <f t="shared" si="22"/>
        <v>0</v>
      </c>
      <c r="BX61" s="146">
        <f t="shared" si="22"/>
        <v>0</v>
      </c>
      <c r="BY61" s="146">
        <f t="shared" si="22"/>
        <v>0</v>
      </c>
      <c r="BZ61" s="146">
        <f t="shared" si="22"/>
        <v>0</v>
      </c>
      <c r="CA61" s="146">
        <f t="shared" si="22"/>
        <v>0</v>
      </c>
    </row>
    <row r="66" spans="4:45">
      <c r="D66" s="282"/>
      <c r="F66" s="282"/>
      <c r="G66" s="282"/>
      <c r="H66" s="282"/>
      <c r="I66" s="282"/>
      <c r="J66" s="282"/>
      <c r="K66" s="282"/>
      <c r="L66" s="282"/>
      <c r="M66" s="282"/>
      <c r="N66" s="282"/>
      <c r="O66" s="282"/>
      <c r="P66" s="282"/>
      <c r="Q66" s="282"/>
      <c r="R66" s="282"/>
      <c r="S66" s="282"/>
      <c r="T66" s="282"/>
      <c r="U66" s="282"/>
      <c r="V66" s="282"/>
      <c r="W66" s="282"/>
      <c r="X66" s="282"/>
      <c r="AS66" s="549">
        <v>1351177000</v>
      </c>
    </row>
    <row r="67" spans="4:45">
      <c r="AS67" s="108">
        <v>182216361</v>
      </c>
    </row>
    <row r="68" spans="4:45">
      <c r="AS68" s="549">
        <f>AS66-AS67</f>
        <v>1168960639</v>
      </c>
    </row>
    <row r="69" spans="4:45">
      <c r="E69" s="412"/>
      <c r="F69" s="412"/>
      <c r="G69" s="412"/>
      <c r="H69" s="412"/>
      <c r="I69" s="412"/>
      <c r="J69" s="412"/>
      <c r="K69" s="412"/>
      <c r="L69" s="412"/>
      <c r="M69" s="412"/>
      <c r="N69" s="412"/>
      <c r="O69" s="412"/>
      <c r="P69" s="412"/>
      <c r="Q69" s="412"/>
      <c r="R69" s="412"/>
      <c r="S69" s="412"/>
      <c r="T69" s="412"/>
      <c r="U69" s="412"/>
      <c r="V69" s="412"/>
      <c r="W69" s="412"/>
      <c r="X69" s="412"/>
      <c r="Y69" s="412"/>
      <c r="Z69" s="412"/>
      <c r="AA69" s="412"/>
    </row>
  </sheetData>
  <mergeCells count="78">
    <mergeCell ref="B7:CA7"/>
    <mergeCell ref="A1:BX1"/>
    <mergeCell ref="BY1:CA1"/>
    <mergeCell ref="A2:BX2"/>
    <mergeCell ref="BY2:CA2"/>
    <mergeCell ref="A3:BX3"/>
    <mergeCell ref="BY3:CA3"/>
    <mergeCell ref="A4:BX4"/>
    <mergeCell ref="BY4:CA4"/>
    <mergeCell ref="A5:AM5"/>
    <mergeCell ref="AO5:CA5"/>
    <mergeCell ref="B6:CA6"/>
    <mergeCell ref="V9:W9"/>
    <mergeCell ref="A9:A10"/>
    <mergeCell ref="B9:C9"/>
    <mergeCell ref="D9:E9"/>
    <mergeCell ref="F9:G9"/>
    <mergeCell ref="H9:I9"/>
    <mergeCell ref="J9:K9"/>
    <mergeCell ref="L9:M9"/>
    <mergeCell ref="N9:O9"/>
    <mergeCell ref="P9:Q9"/>
    <mergeCell ref="R9:S9"/>
    <mergeCell ref="T9:U9"/>
    <mergeCell ref="AZ9:BA9"/>
    <mergeCell ref="BB9:BC9"/>
    <mergeCell ref="X9:Y9"/>
    <mergeCell ref="Z9:AA9"/>
    <mergeCell ref="AB9:AG9"/>
    <mergeCell ref="AH9:AM9"/>
    <mergeCell ref="AO9:AO10"/>
    <mergeCell ref="AP9:AQ9"/>
    <mergeCell ref="A38:A39"/>
    <mergeCell ref="B38:C38"/>
    <mergeCell ref="D38:E38"/>
    <mergeCell ref="F38:G38"/>
    <mergeCell ref="H38:I38"/>
    <mergeCell ref="V38:W38"/>
    <mergeCell ref="BP9:BU9"/>
    <mergeCell ref="BV9:CA9"/>
    <mergeCell ref="B35:CA35"/>
    <mergeCell ref="B36:CA36"/>
    <mergeCell ref="J38:K38"/>
    <mergeCell ref="BD9:BE9"/>
    <mergeCell ref="BF9:BG9"/>
    <mergeCell ref="BH9:BI9"/>
    <mergeCell ref="BJ9:BK9"/>
    <mergeCell ref="BL9:BM9"/>
    <mergeCell ref="BN9:BO9"/>
    <mergeCell ref="AR9:AS9"/>
    <mergeCell ref="AT9:AU9"/>
    <mergeCell ref="AV9:AW9"/>
    <mergeCell ref="AX9:AY9"/>
    <mergeCell ref="L38:M38"/>
    <mergeCell ref="N38:O38"/>
    <mergeCell ref="P38:Q38"/>
    <mergeCell ref="R38:S38"/>
    <mergeCell ref="T38:U38"/>
    <mergeCell ref="BB38:BC38"/>
    <mergeCell ref="X38:Y38"/>
    <mergeCell ref="Z38:AA38"/>
    <mergeCell ref="AB38:AG38"/>
    <mergeCell ref="AH38:AM38"/>
    <mergeCell ref="AO38:AO39"/>
    <mergeCell ref="AP38:AQ38"/>
    <mergeCell ref="AR38:AS38"/>
    <mergeCell ref="AT38:AU38"/>
    <mergeCell ref="AV38:AW38"/>
    <mergeCell ref="AX38:AY38"/>
    <mergeCell ref="AZ38:BA38"/>
    <mergeCell ref="BP38:BU38"/>
    <mergeCell ref="BV38:CA38"/>
    <mergeCell ref="BD38:BE38"/>
    <mergeCell ref="BF38:BG38"/>
    <mergeCell ref="BH38:BI38"/>
    <mergeCell ref="BJ38:BK38"/>
    <mergeCell ref="BL38:BM38"/>
    <mergeCell ref="BN38:BO38"/>
  </mergeCells>
  <printOptions horizontalCentered="1"/>
  <pageMargins left="0.19685039370078741" right="0.19685039370078741" top="0.19685039370078741" bottom="0.19685039370078741" header="0" footer="0"/>
  <pageSetup scale="14"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F4" sqref="F4"/>
    </sheetView>
  </sheetViews>
  <sheetFormatPr baseColWidth="10" defaultColWidth="11.42578125" defaultRowHeight="15"/>
  <cols>
    <col min="1" max="1" width="8.85546875" style="160" bestFit="1" customWidth="1"/>
    <col min="2" max="2" width="11.42578125" style="50"/>
    <col min="3" max="3" width="55.7109375" style="50" customWidth="1"/>
    <col min="4" max="4" width="13.7109375" style="50" hidden="1" customWidth="1"/>
    <col min="5" max="5" width="15.28515625" style="50" hidden="1" customWidth="1"/>
    <col min="6" max="6" width="21.140625" style="50" customWidth="1"/>
    <col min="7" max="8" width="15.28515625" style="50" hidden="1" customWidth="1"/>
    <col min="9" max="9" width="16.42578125" style="50" hidden="1" customWidth="1"/>
    <col min="10" max="10" width="13.5703125" style="160" customWidth="1"/>
    <col min="11" max="11" width="14.42578125" style="160" customWidth="1"/>
    <col min="12" max="16384" width="11.42578125" style="50"/>
  </cols>
  <sheetData>
    <row r="1" spans="1:11" ht="15.75" thickBot="1">
      <c r="A1" s="1061" t="s">
        <v>268</v>
      </c>
      <c r="B1" s="1062"/>
      <c r="C1" s="1062"/>
      <c r="D1" s="1062"/>
      <c r="E1" s="1062"/>
      <c r="F1" s="1062"/>
      <c r="G1" s="1062"/>
      <c r="H1" s="1062"/>
      <c r="I1" s="1063"/>
    </row>
    <row r="2" spans="1:11" ht="45">
      <c r="A2" s="183" t="s">
        <v>269</v>
      </c>
      <c r="B2" s="184" t="s">
        <v>270</v>
      </c>
      <c r="C2" s="184" t="s">
        <v>271</v>
      </c>
      <c r="D2" s="184">
        <v>2020</v>
      </c>
      <c r="E2" s="184">
        <v>2021</v>
      </c>
      <c r="F2" s="185">
        <v>2022</v>
      </c>
      <c r="G2" s="184">
        <v>2023</v>
      </c>
      <c r="H2" s="184">
        <v>2024</v>
      </c>
      <c r="I2" s="186" t="s">
        <v>272</v>
      </c>
      <c r="J2" s="159" t="s">
        <v>273</v>
      </c>
      <c r="K2" s="159" t="s">
        <v>274</v>
      </c>
    </row>
    <row r="3" spans="1:11" ht="30">
      <c r="A3" s="195">
        <v>7673</v>
      </c>
      <c r="B3" s="196">
        <v>1</v>
      </c>
      <c r="C3" s="328" t="s">
        <v>275</v>
      </c>
      <c r="D3" s="187">
        <v>104564466</v>
      </c>
      <c r="E3" s="187">
        <v>2363000000</v>
      </c>
      <c r="F3" s="327">
        <v>2401870787.1600008</v>
      </c>
      <c r="G3" s="187">
        <v>2491086000</v>
      </c>
      <c r="H3" s="187">
        <v>2219930000</v>
      </c>
      <c r="I3" s="197">
        <v>9680517466</v>
      </c>
      <c r="J3" s="194">
        <f>+F3/F7</f>
        <v>0.44272002261274546</v>
      </c>
      <c r="K3" s="200">
        <v>0.3</v>
      </c>
    </row>
    <row r="4" spans="1:11" ht="45">
      <c r="A4" s="195">
        <v>7673</v>
      </c>
      <c r="B4" s="196">
        <v>2</v>
      </c>
      <c r="C4" s="328" t="s">
        <v>276</v>
      </c>
      <c r="D4" s="187">
        <v>120000000</v>
      </c>
      <c r="E4" s="187">
        <v>727850000</v>
      </c>
      <c r="F4" s="327">
        <v>184761500</v>
      </c>
      <c r="G4" s="187">
        <v>700000000</v>
      </c>
      <c r="H4" s="187">
        <v>0</v>
      </c>
      <c r="I4" s="197">
        <v>1732612000</v>
      </c>
      <c r="J4" s="194">
        <f>+F4/F7</f>
        <v>3.4055793465344236E-2</v>
      </c>
      <c r="K4" s="200">
        <v>0.1</v>
      </c>
    </row>
    <row r="5" spans="1:11" ht="60">
      <c r="A5" s="195">
        <v>7673</v>
      </c>
      <c r="B5" s="196">
        <v>3</v>
      </c>
      <c r="C5" s="328" t="s">
        <v>277</v>
      </c>
      <c r="D5" s="187">
        <v>97776667</v>
      </c>
      <c r="E5" s="187">
        <v>900135000</v>
      </c>
      <c r="F5" s="327">
        <v>1608626712.8399997</v>
      </c>
      <c r="G5" s="187">
        <v>725114000</v>
      </c>
      <c r="H5" s="187">
        <v>746870000</v>
      </c>
      <c r="I5" s="197">
        <v>3978455667</v>
      </c>
      <c r="J5" s="194">
        <f>+F5/F7</f>
        <v>0.29650689724490564</v>
      </c>
      <c r="K5" s="200">
        <v>0.25</v>
      </c>
    </row>
    <row r="6" spans="1:11" ht="60">
      <c r="A6" s="195">
        <v>7673</v>
      </c>
      <c r="B6" s="196">
        <v>4</v>
      </c>
      <c r="C6" s="328" t="s">
        <v>278</v>
      </c>
      <c r="D6" s="187">
        <v>0</v>
      </c>
      <c r="E6" s="187">
        <v>0</v>
      </c>
      <c r="F6" s="327">
        <v>1230000000</v>
      </c>
      <c r="G6" s="187">
        <v>0</v>
      </c>
      <c r="H6" s="187"/>
      <c r="I6" s="197">
        <v>1230000000</v>
      </c>
      <c r="J6" s="194">
        <f>+F6/F7</f>
        <v>0.22671728667700472</v>
      </c>
      <c r="K6" s="200">
        <v>0.35</v>
      </c>
    </row>
    <row r="7" spans="1:11">
      <c r="A7" s="1064" t="s">
        <v>41</v>
      </c>
      <c r="B7" s="1065"/>
      <c r="C7" s="1065"/>
      <c r="D7" s="188">
        <v>322341133</v>
      </c>
      <c r="E7" s="188">
        <v>3990985000</v>
      </c>
      <c r="F7" s="188">
        <f>SUM(F3:F6)</f>
        <v>5425259000</v>
      </c>
      <c r="G7" s="188">
        <v>3916200000</v>
      </c>
      <c r="H7" s="188">
        <v>2966800000</v>
      </c>
      <c r="I7" s="189">
        <v>16621585133</v>
      </c>
      <c r="J7" s="201">
        <f>SUM(J3:J6)</f>
        <v>1</v>
      </c>
      <c r="K7" s="201">
        <f>SUM(K3:K6)</f>
        <v>1</v>
      </c>
    </row>
    <row r="8" spans="1:11">
      <c r="A8" s="1064" t="s">
        <v>279</v>
      </c>
      <c r="B8" s="1065"/>
      <c r="C8" s="1065"/>
      <c r="D8" s="190"/>
      <c r="E8" s="190"/>
      <c r="F8" s="188">
        <v>5425259000</v>
      </c>
      <c r="G8" s="190"/>
      <c r="H8" s="190"/>
      <c r="I8" s="198"/>
    </row>
    <row r="9" spans="1:11" ht="15.75" thickBot="1">
      <c r="A9" s="1066" t="s">
        <v>280</v>
      </c>
      <c r="B9" s="1067"/>
      <c r="C9" s="1067"/>
      <c r="D9" s="191"/>
      <c r="E9" s="191"/>
      <c r="F9" s="192">
        <v>0</v>
      </c>
      <c r="G9" s="191"/>
      <c r="H9" s="191"/>
      <c r="I9" s="199"/>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04"/>
  <sheetViews>
    <sheetView topLeftCell="N38" zoomScale="75" zoomScaleNormal="75" workbookViewId="0">
      <selection activeCell="AB81" sqref="AB81"/>
    </sheetView>
  </sheetViews>
  <sheetFormatPr baseColWidth="10" defaultColWidth="11.42578125" defaultRowHeight="15"/>
  <cols>
    <col min="9" max="10" width="15.5703125" bestFit="1" customWidth="1"/>
    <col min="17" max="17" width="11.42578125" customWidth="1"/>
    <col min="18" max="26" width="11.42578125" hidden="1" customWidth="1"/>
    <col min="27" max="27" width="17.42578125" customWidth="1"/>
    <col min="28" max="28" width="11.7109375" customWidth="1"/>
    <col min="29" max="33" width="11.42578125" customWidth="1"/>
    <col min="34" max="34" width="11.42578125" style="296" customWidth="1"/>
    <col min="35" max="38" width="16.85546875" style="296" bestFit="1" customWidth="1"/>
    <col min="39" max="39" width="16.42578125" style="296" bestFit="1" customWidth="1"/>
    <col min="40" max="41" width="16.85546875" style="296" bestFit="1" customWidth="1"/>
    <col min="42" max="42" width="16.42578125" style="296" bestFit="1" customWidth="1"/>
    <col min="43" max="44" width="16.85546875" style="296" bestFit="1" customWidth="1"/>
    <col min="45" max="46" width="17.140625" style="296" bestFit="1" customWidth="1"/>
    <col min="47" max="47" width="18.5703125" style="322" bestFit="1" customWidth="1"/>
    <col min="48" max="48" width="18.7109375" style="296" bestFit="1" customWidth="1"/>
    <col min="49" max="49" width="12" style="296" bestFit="1" customWidth="1"/>
    <col min="50" max="50" width="15.7109375" style="296" bestFit="1" customWidth="1"/>
    <col min="51" max="53" width="11.42578125" style="296"/>
    <col min="54" max="54" width="19" style="295" bestFit="1" customWidth="1"/>
  </cols>
  <sheetData>
    <row r="1" spans="1:54" ht="76.5">
      <c r="A1" s="221" t="s">
        <v>281</v>
      </c>
      <c r="B1" s="221" t="s">
        <v>282</v>
      </c>
      <c r="C1" s="221" t="s">
        <v>283</v>
      </c>
      <c r="D1" s="221" t="s">
        <v>284</v>
      </c>
      <c r="E1" s="222" t="s">
        <v>285</v>
      </c>
      <c r="F1" s="221" t="s">
        <v>286</v>
      </c>
      <c r="G1" s="221" t="s">
        <v>287</v>
      </c>
      <c r="H1" s="221" t="s">
        <v>288</v>
      </c>
      <c r="I1" s="221" t="s">
        <v>289</v>
      </c>
      <c r="J1" s="223" t="s">
        <v>144</v>
      </c>
      <c r="K1" s="223" t="s">
        <v>290</v>
      </c>
      <c r="L1" s="223" t="s">
        <v>291</v>
      </c>
      <c r="M1" s="223" t="s">
        <v>292</v>
      </c>
      <c r="N1" s="223" t="s">
        <v>293</v>
      </c>
      <c r="O1" s="223" t="s">
        <v>294</v>
      </c>
      <c r="P1" s="223" t="s">
        <v>295</v>
      </c>
      <c r="Q1" s="223" t="s">
        <v>296</v>
      </c>
      <c r="R1" s="223" t="s">
        <v>297</v>
      </c>
      <c r="S1" s="223" t="s">
        <v>298</v>
      </c>
      <c r="T1" s="223" t="s">
        <v>299</v>
      </c>
      <c r="U1" s="223" t="s">
        <v>300</v>
      </c>
      <c r="V1" s="223" t="s">
        <v>301</v>
      </c>
      <c r="W1" s="223" t="s">
        <v>302</v>
      </c>
      <c r="X1" s="224" t="s">
        <v>303</v>
      </c>
      <c r="Y1" s="223" t="s">
        <v>304</v>
      </c>
      <c r="Z1" s="223" t="s">
        <v>305</v>
      </c>
      <c r="AA1" s="225" t="s">
        <v>306</v>
      </c>
      <c r="AB1" s="225" t="s">
        <v>307</v>
      </c>
      <c r="AC1" s="226" t="s">
        <v>308</v>
      </c>
      <c r="AD1" s="226" t="s">
        <v>309</v>
      </c>
      <c r="AE1" s="227"/>
      <c r="AF1" s="227"/>
      <c r="AG1" s="227"/>
      <c r="AH1" s="329"/>
      <c r="AI1" s="364" t="s">
        <v>310</v>
      </c>
      <c r="AJ1" s="364" t="s">
        <v>311</v>
      </c>
      <c r="AK1" s="364" t="s">
        <v>312</v>
      </c>
      <c r="AL1" s="364" t="s">
        <v>313</v>
      </c>
      <c r="AM1" s="364" t="s">
        <v>314</v>
      </c>
      <c r="AN1" s="364" t="s">
        <v>315</v>
      </c>
      <c r="AO1" s="364" t="s">
        <v>316</v>
      </c>
      <c r="AP1" s="364" t="s">
        <v>317</v>
      </c>
      <c r="AQ1" s="364" t="s">
        <v>318</v>
      </c>
      <c r="AR1" s="364" t="s">
        <v>319</v>
      </c>
      <c r="AS1" s="364" t="s">
        <v>320</v>
      </c>
      <c r="AT1" s="364" t="s">
        <v>321</v>
      </c>
      <c r="AU1" s="322" t="s">
        <v>322</v>
      </c>
      <c r="AX1" s="296" t="s">
        <v>323</v>
      </c>
      <c r="AY1" s="296" t="s">
        <v>324</v>
      </c>
      <c r="AZ1" s="296" t="s">
        <v>325</v>
      </c>
      <c r="BA1" s="296" t="s">
        <v>326</v>
      </c>
    </row>
    <row r="2" spans="1:54" hidden="1">
      <c r="A2" s="228" t="s">
        <v>327</v>
      </c>
      <c r="B2" s="229" t="s">
        <v>328</v>
      </c>
      <c r="C2" s="229" t="s">
        <v>328</v>
      </c>
      <c r="D2" s="229">
        <v>362</v>
      </c>
      <c r="E2" s="230">
        <v>362</v>
      </c>
      <c r="F2" s="231">
        <v>7673</v>
      </c>
      <c r="G2" s="228" t="s">
        <v>329</v>
      </c>
      <c r="H2" s="228" t="s">
        <v>330</v>
      </c>
      <c r="I2" s="228" t="s">
        <v>331</v>
      </c>
      <c r="J2" s="228" t="s">
        <v>332</v>
      </c>
      <c r="K2" s="228" t="s">
        <v>333</v>
      </c>
      <c r="L2" s="228" t="s">
        <v>334</v>
      </c>
      <c r="M2" s="228" t="s">
        <v>335</v>
      </c>
      <c r="N2" s="228" t="s">
        <v>336</v>
      </c>
      <c r="O2" s="228" t="s">
        <v>337</v>
      </c>
      <c r="P2" s="228" t="s">
        <v>338</v>
      </c>
      <c r="Q2" s="232">
        <v>1</v>
      </c>
      <c r="R2" s="228" t="s">
        <v>339</v>
      </c>
      <c r="S2" s="228" t="s">
        <v>340</v>
      </c>
      <c r="T2" s="229">
        <v>80111620</v>
      </c>
      <c r="U2" s="233" t="s">
        <v>341</v>
      </c>
      <c r="V2" s="229">
        <v>1</v>
      </c>
      <c r="W2" s="229">
        <v>1</v>
      </c>
      <c r="X2" s="229">
        <v>330</v>
      </c>
      <c r="Y2" s="234" t="s">
        <v>342</v>
      </c>
      <c r="Z2" s="235" t="s">
        <v>343</v>
      </c>
      <c r="AA2" s="331">
        <v>69608000</v>
      </c>
      <c r="AB2" s="236">
        <v>6328000</v>
      </c>
      <c r="AC2" s="235" t="s">
        <v>344</v>
      </c>
      <c r="AD2" s="235" t="s">
        <v>345</v>
      </c>
      <c r="AE2" s="237"/>
      <c r="AF2" s="238"/>
      <c r="AG2" s="239"/>
      <c r="AH2" s="297"/>
      <c r="AI2" s="355">
        <f>AB2/30*10</f>
        <v>2109333.3333333335</v>
      </c>
      <c r="AJ2" s="355">
        <f>AB2</f>
        <v>6328000</v>
      </c>
      <c r="AK2" s="355">
        <v>6328000</v>
      </c>
      <c r="AL2" s="355">
        <v>6328000</v>
      </c>
      <c r="AM2" s="325">
        <v>6328000</v>
      </c>
      <c r="AN2" s="325">
        <v>6328000</v>
      </c>
      <c r="AO2" s="325">
        <v>6328000</v>
      </c>
      <c r="AP2" s="325">
        <v>6328000</v>
      </c>
      <c r="AQ2" s="325">
        <v>6328000</v>
      </c>
      <c r="AR2" s="325">
        <v>6328000</v>
      </c>
      <c r="AS2" s="325">
        <v>6328000</v>
      </c>
      <c r="AT2" s="325">
        <f>AB2/30*20</f>
        <v>4218666.666666667</v>
      </c>
      <c r="AU2" s="322">
        <f>SUM(AI2:AT2)</f>
        <v>69608000</v>
      </c>
      <c r="AV2" s="299">
        <f>+AU2-AA2</f>
        <v>0</v>
      </c>
      <c r="AX2" s="296">
        <f>+AU2</f>
        <v>69608000</v>
      </c>
      <c r="AY2" s="296">
        <v>0</v>
      </c>
      <c r="AZ2" s="296">
        <v>0</v>
      </c>
      <c r="BA2" s="296">
        <v>0</v>
      </c>
      <c r="BB2" s="295">
        <f>SUM(AX2:BA2)</f>
        <v>69608000</v>
      </c>
    </row>
    <row r="3" spans="1:54" hidden="1">
      <c r="A3" s="228" t="s">
        <v>327</v>
      </c>
      <c r="B3" s="229" t="s">
        <v>328</v>
      </c>
      <c r="C3" s="229" t="s">
        <v>328</v>
      </c>
      <c r="D3" s="229">
        <v>363</v>
      </c>
      <c r="E3" s="230">
        <v>363</v>
      </c>
      <c r="F3" s="231">
        <v>7673</v>
      </c>
      <c r="G3" s="228" t="s">
        <v>329</v>
      </c>
      <c r="H3" s="228" t="s">
        <v>330</v>
      </c>
      <c r="I3" s="228" t="s">
        <v>331</v>
      </c>
      <c r="J3" s="228" t="s">
        <v>332</v>
      </c>
      <c r="K3" s="228" t="s">
        <v>333</v>
      </c>
      <c r="L3" s="228" t="s">
        <v>334</v>
      </c>
      <c r="M3" s="228" t="s">
        <v>335</v>
      </c>
      <c r="N3" s="228" t="s">
        <v>336</v>
      </c>
      <c r="O3" s="228" t="s">
        <v>337</v>
      </c>
      <c r="P3" s="228" t="s">
        <v>338</v>
      </c>
      <c r="Q3" s="232">
        <v>1</v>
      </c>
      <c r="R3" s="228" t="s">
        <v>339</v>
      </c>
      <c r="S3" s="228" t="s">
        <v>340</v>
      </c>
      <c r="T3" s="229">
        <v>80111620</v>
      </c>
      <c r="U3" s="242" t="s">
        <v>341</v>
      </c>
      <c r="V3" s="229">
        <v>1</v>
      </c>
      <c r="W3" s="229">
        <v>1</v>
      </c>
      <c r="X3" s="229">
        <v>330</v>
      </c>
      <c r="Y3" s="234" t="s">
        <v>342</v>
      </c>
      <c r="Z3" s="235" t="s">
        <v>343</v>
      </c>
      <c r="AA3" s="331">
        <v>69608000</v>
      </c>
      <c r="AB3" s="236">
        <v>6328000</v>
      </c>
      <c r="AC3" s="235" t="s">
        <v>344</v>
      </c>
      <c r="AD3" s="235" t="s">
        <v>345</v>
      </c>
      <c r="AE3" s="237"/>
      <c r="AF3" s="238"/>
      <c r="AG3" s="239"/>
      <c r="AH3" s="297"/>
      <c r="AI3" s="355">
        <f t="shared" ref="AI3:AI52" si="0">AB3/30*10</f>
        <v>2109333.3333333335</v>
      </c>
      <c r="AJ3" s="355">
        <f t="shared" ref="AJ3:AJ52" si="1">AB3</f>
        <v>6328000</v>
      </c>
      <c r="AK3" s="355">
        <v>6328000</v>
      </c>
      <c r="AL3" s="355">
        <v>6328000</v>
      </c>
      <c r="AM3" s="325">
        <v>6328000</v>
      </c>
      <c r="AN3" s="325">
        <v>6328000</v>
      </c>
      <c r="AO3" s="325">
        <v>6328000</v>
      </c>
      <c r="AP3" s="325">
        <v>6328000</v>
      </c>
      <c r="AQ3" s="325">
        <v>6328000</v>
      </c>
      <c r="AR3" s="325">
        <v>6328000</v>
      </c>
      <c r="AS3" s="325">
        <v>6328000</v>
      </c>
      <c r="AT3" s="325">
        <f t="shared" ref="AT3:AT52" si="2">AB3/30*20</f>
        <v>4218666.666666667</v>
      </c>
      <c r="AU3" s="322">
        <f t="shared" ref="AU3:AU71" si="3">SUM(AI3:AT3)</f>
        <v>69608000</v>
      </c>
      <c r="AV3" s="299">
        <f t="shared" ref="AV3:AV71" si="4">+AU3-AA3</f>
        <v>0</v>
      </c>
      <c r="AX3" s="296">
        <f t="shared" ref="AX3:AX31" si="5">+AU3</f>
        <v>69608000</v>
      </c>
      <c r="AY3" s="296">
        <v>0</v>
      </c>
      <c r="AZ3" s="296">
        <v>0</v>
      </c>
      <c r="BA3" s="296">
        <v>0</v>
      </c>
      <c r="BB3" s="295">
        <f t="shared" ref="BB3:BB71" si="6">SUM(AX3:BA3)</f>
        <v>69608000</v>
      </c>
    </row>
    <row r="4" spans="1:54" hidden="1">
      <c r="A4" s="228" t="s">
        <v>327</v>
      </c>
      <c r="B4" s="229" t="s">
        <v>328</v>
      </c>
      <c r="C4" s="229" t="s">
        <v>328</v>
      </c>
      <c r="D4" s="229">
        <v>364</v>
      </c>
      <c r="E4" s="230">
        <v>364</v>
      </c>
      <c r="F4" s="231">
        <v>7673</v>
      </c>
      <c r="G4" s="228" t="s">
        <v>329</v>
      </c>
      <c r="H4" s="228" t="s">
        <v>330</v>
      </c>
      <c r="I4" s="228" t="s">
        <v>331</v>
      </c>
      <c r="J4" s="228" t="s">
        <v>332</v>
      </c>
      <c r="K4" s="228" t="s">
        <v>333</v>
      </c>
      <c r="L4" s="228" t="s">
        <v>334</v>
      </c>
      <c r="M4" s="228" t="s">
        <v>335</v>
      </c>
      <c r="N4" s="228" t="s">
        <v>336</v>
      </c>
      <c r="O4" s="228" t="s">
        <v>337</v>
      </c>
      <c r="P4" s="228" t="s">
        <v>338</v>
      </c>
      <c r="Q4" s="232">
        <v>1</v>
      </c>
      <c r="R4" s="228" t="s">
        <v>339</v>
      </c>
      <c r="S4" s="228" t="s">
        <v>340</v>
      </c>
      <c r="T4" s="229">
        <v>80111620</v>
      </c>
      <c r="U4" s="228" t="s">
        <v>346</v>
      </c>
      <c r="V4" s="229">
        <v>1</v>
      </c>
      <c r="W4" s="229">
        <v>1</v>
      </c>
      <c r="X4" s="229">
        <v>330</v>
      </c>
      <c r="Y4" s="234" t="s">
        <v>342</v>
      </c>
      <c r="Z4" s="235" t="s">
        <v>343</v>
      </c>
      <c r="AA4" s="331">
        <v>69608000</v>
      </c>
      <c r="AB4" s="236">
        <v>6328000</v>
      </c>
      <c r="AC4" s="235" t="s">
        <v>347</v>
      </c>
      <c r="AD4" s="235" t="s">
        <v>345</v>
      </c>
      <c r="AE4" s="243"/>
      <c r="AF4" s="238"/>
      <c r="AG4" s="241"/>
      <c r="AH4" s="298"/>
      <c r="AI4" s="355">
        <f t="shared" si="0"/>
        <v>2109333.3333333335</v>
      </c>
      <c r="AJ4" s="355">
        <f t="shared" si="1"/>
        <v>6328000</v>
      </c>
      <c r="AK4" s="355">
        <v>6328000</v>
      </c>
      <c r="AL4" s="355">
        <v>6328000</v>
      </c>
      <c r="AM4" s="325">
        <v>6328000</v>
      </c>
      <c r="AN4" s="325">
        <v>6328000</v>
      </c>
      <c r="AO4" s="325">
        <v>6328000</v>
      </c>
      <c r="AP4" s="325">
        <v>6328000</v>
      </c>
      <c r="AQ4" s="325">
        <v>6328000</v>
      </c>
      <c r="AR4" s="325">
        <v>6328000</v>
      </c>
      <c r="AS4" s="325">
        <v>6328000</v>
      </c>
      <c r="AT4" s="325">
        <f t="shared" si="2"/>
        <v>4218666.666666667</v>
      </c>
      <c r="AU4" s="322">
        <f t="shared" si="3"/>
        <v>69608000</v>
      </c>
      <c r="AV4" s="299">
        <f t="shared" si="4"/>
        <v>0</v>
      </c>
      <c r="AX4" s="296">
        <f t="shared" si="5"/>
        <v>69608000</v>
      </c>
      <c r="AY4" s="296">
        <v>0</v>
      </c>
      <c r="AZ4" s="296">
        <v>0</v>
      </c>
      <c r="BA4" s="296">
        <v>0</v>
      </c>
      <c r="BB4" s="295">
        <f t="shared" si="6"/>
        <v>69608000</v>
      </c>
    </row>
    <row r="5" spans="1:54" hidden="1">
      <c r="A5" s="228" t="s">
        <v>327</v>
      </c>
      <c r="B5" s="229" t="s">
        <v>328</v>
      </c>
      <c r="C5" s="229" t="s">
        <v>328</v>
      </c>
      <c r="D5" s="229">
        <v>365</v>
      </c>
      <c r="E5" s="230">
        <v>365</v>
      </c>
      <c r="F5" s="231">
        <v>7673</v>
      </c>
      <c r="G5" s="228" t="s">
        <v>329</v>
      </c>
      <c r="H5" s="228" t="s">
        <v>330</v>
      </c>
      <c r="I5" s="228" t="s">
        <v>331</v>
      </c>
      <c r="J5" s="228" t="s">
        <v>332</v>
      </c>
      <c r="K5" s="228" t="s">
        <v>333</v>
      </c>
      <c r="L5" s="228" t="s">
        <v>334</v>
      </c>
      <c r="M5" s="228" t="s">
        <v>335</v>
      </c>
      <c r="N5" s="228" t="s">
        <v>336</v>
      </c>
      <c r="O5" s="228" t="s">
        <v>337</v>
      </c>
      <c r="P5" s="228" t="s">
        <v>338</v>
      </c>
      <c r="Q5" s="232">
        <v>1</v>
      </c>
      <c r="R5" s="228" t="s">
        <v>348</v>
      </c>
      <c r="S5" s="228" t="s">
        <v>349</v>
      </c>
      <c r="T5" s="229">
        <v>80111620</v>
      </c>
      <c r="U5" s="228" t="s">
        <v>350</v>
      </c>
      <c r="V5" s="229">
        <v>1</v>
      </c>
      <c r="W5" s="229">
        <v>1</v>
      </c>
      <c r="X5" s="229">
        <v>330</v>
      </c>
      <c r="Y5" s="234" t="s">
        <v>342</v>
      </c>
      <c r="Z5" s="235" t="s">
        <v>343</v>
      </c>
      <c r="AA5" s="331">
        <v>69608000</v>
      </c>
      <c r="AB5" s="236">
        <v>6328000</v>
      </c>
      <c r="AC5" s="235" t="s">
        <v>351</v>
      </c>
      <c r="AD5" s="235" t="s">
        <v>345</v>
      </c>
      <c r="AE5" s="237"/>
      <c r="AF5" s="238"/>
      <c r="AG5" s="239"/>
      <c r="AH5" s="297"/>
      <c r="AI5" s="355">
        <f t="shared" si="0"/>
        <v>2109333.3333333335</v>
      </c>
      <c r="AJ5" s="355">
        <f t="shared" si="1"/>
        <v>6328000</v>
      </c>
      <c r="AK5" s="355">
        <v>6328000</v>
      </c>
      <c r="AL5" s="355">
        <v>6328000</v>
      </c>
      <c r="AM5" s="325">
        <v>6328000</v>
      </c>
      <c r="AN5" s="325">
        <v>6328000</v>
      </c>
      <c r="AO5" s="325">
        <v>6328000</v>
      </c>
      <c r="AP5" s="325">
        <v>6328000</v>
      </c>
      <c r="AQ5" s="325">
        <v>6328000</v>
      </c>
      <c r="AR5" s="325">
        <v>6328000</v>
      </c>
      <c r="AS5" s="325">
        <v>6328000</v>
      </c>
      <c r="AT5" s="325">
        <f t="shared" si="2"/>
        <v>4218666.666666667</v>
      </c>
      <c r="AU5" s="322">
        <f t="shared" si="3"/>
        <v>69608000</v>
      </c>
      <c r="AV5" s="299">
        <f t="shared" si="4"/>
        <v>0</v>
      </c>
      <c r="AX5" s="296">
        <f t="shared" si="5"/>
        <v>69608000</v>
      </c>
      <c r="AY5" s="296">
        <v>0</v>
      </c>
      <c r="AZ5" s="296">
        <v>0</v>
      </c>
      <c r="BA5" s="296">
        <v>0</v>
      </c>
      <c r="BB5" s="295">
        <f t="shared" si="6"/>
        <v>69608000</v>
      </c>
    </row>
    <row r="6" spans="1:54" hidden="1">
      <c r="A6" s="228" t="s">
        <v>327</v>
      </c>
      <c r="B6" s="229" t="s">
        <v>328</v>
      </c>
      <c r="C6" s="229" t="s">
        <v>328</v>
      </c>
      <c r="D6" s="229">
        <v>366</v>
      </c>
      <c r="E6" s="230">
        <v>366</v>
      </c>
      <c r="F6" s="231">
        <v>7673</v>
      </c>
      <c r="G6" s="228" t="s">
        <v>329</v>
      </c>
      <c r="H6" s="228" t="s">
        <v>330</v>
      </c>
      <c r="I6" s="228" t="s">
        <v>331</v>
      </c>
      <c r="J6" s="228" t="s">
        <v>332</v>
      </c>
      <c r="K6" s="228" t="s">
        <v>333</v>
      </c>
      <c r="L6" s="228" t="s">
        <v>334</v>
      </c>
      <c r="M6" s="228" t="s">
        <v>335</v>
      </c>
      <c r="N6" s="228" t="s">
        <v>336</v>
      </c>
      <c r="O6" s="228" t="s">
        <v>337</v>
      </c>
      <c r="P6" s="228" t="s">
        <v>338</v>
      </c>
      <c r="Q6" s="232">
        <v>1</v>
      </c>
      <c r="R6" s="228" t="s">
        <v>339</v>
      </c>
      <c r="S6" s="228" t="s">
        <v>340</v>
      </c>
      <c r="T6" s="229">
        <v>80111620</v>
      </c>
      <c r="U6" s="233" t="s">
        <v>352</v>
      </c>
      <c r="V6" s="229">
        <v>1</v>
      </c>
      <c r="W6" s="229">
        <v>1</v>
      </c>
      <c r="X6" s="229">
        <v>360</v>
      </c>
      <c r="Y6" s="234" t="s">
        <v>342</v>
      </c>
      <c r="Z6" s="235" t="s">
        <v>343</v>
      </c>
      <c r="AA6" s="331">
        <v>80340000</v>
      </c>
      <c r="AB6" s="236">
        <v>6695000</v>
      </c>
      <c r="AC6" s="235" t="s">
        <v>353</v>
      </c>
      <c r="AD6" s="235" t="s">
        <v>345</v>
      </c>
      <c r="AE6" s="237"/>
      <c r="AF6" s="238"/>
      <c r="AG6" s="239"/>
      <c r="AH6" s="297"/>
      <c r="AI6" s="355">
        <v>6695000</v>
      </c>
      <c r="AJ6" s="355">
        <f t="shared" si="1"/>
        <v>6695000</v>
      </c>
      <c r="AK6" s="355">
        <v>6695000</v>
      </c>
      <c r="AL6" s="355">
        <v>6695000</v>
      </c>
      <c r="AM6" s="325">
        <v>6695000</v>
      </c>
      <c r="AN6" s="325">
        <v>6695000</v>
      </c>
      <c r="AO6" s="325">
        <v>6695000</v>
      </c>
      <c r="AP6" s="325">
        <v>6695000</v>
      </c>
      <c r="AQ6" s="325">
        <v>6695000</v>
      </c>
      <c r="AR6" s="325">
        <v>6695000</v>
      </c>
      <c r="AS6" s="325">
        <v>6695000</v>
      </c>
      <c r="AT6" s="325">
        <f>AB6/30*30</f>
        <v>6695000</v>
      </c>
      <c r="AU6" s="322">
        <f t="shared" si="3"/>
        <v>80340000</v>
      </c>
      <c r="AV6" s="299">
        <f t="shared" si="4"/>
        <v>0</v>
      </c>
      <c r="AX6" s="296">
        <f t="shared" si="5"/>
        <v>80340000</v>
      </c>
      <c r="AY6" s="296">
        <v>0</v>
      </c>
      <c r="AZ6" s="296">
        <v>0</v>
      </c>
      <c r="BA6" s="296">
        <v>0</v>
      </c>
      <c r="BB6" s="295">
        <f t="shared" si="6"/>
        <v>80340000</v>
      </c>
    </row>
    <row r="7" spans="1:54" hidden="1">
      <c r="A7" s="228" t="s">
        <v>327</v>
      </c>
      <c r="B7" s="229" t="s">
        <v>328</v>
      </c>
      <c r="C7" s="229" t="s">
        <v>328</v>
      </c>
      <c r="D7" s="229">
        <v>367</v>
      </c>
      <c r="E7" s="230">
        <v>367</v>
      </c>
      <c r="F7" s="231">
        <v>7673</v>
      </c>
      <c r="G7" s="228" t="s">
        <v>329</v>
      </c>
      <c r="H7" s="228" t="s">
        <v>330</v>
      </c>
      <c r="I7" s="228" t="s">
        <v>331</v>
      </c>
      <c r="J7" s="228" t="s">
        <v>332</v>
      </c>
      <c r="K7" s="228" t="s">
        <v>333</v>
      </c>
      <c r="L7" s="228" t="s">
        <v>334</v>
      </c>
      <c r="M7" s="228" t="s">
        <v>335</v>
      </c>
      <c r="N7" s="228" t="s">
        <v>336</v>
      </c>
      <c r="O7" s="228" t="s">
        <v>337</v>
      </c>
      <c r="P7" s="228" t="s">
        <v>338</v>
      </c>
      <c r="Q7" s="232">
        <v>1</v>
      </c>
      <c r="R7" s="228" t="s">
        <v>339</v>
      </c>
      <c r="S7" s="228" t="s">
        <v>340</v>
      </c>
      <c r="T7" s="229">
        <v>80111620</v>
      </c>
      <c r="U7" s="242" t="s">
        <v>354</v>
      </c>
      <c r="V7" s="229">
        <v>1</v>
      </c>
      <c r="W7" s="229">
        <v>1</v>
      </c>
      <c r="X7" s="229">
        <v>360</v>
      </c>
      <c r="Y7" s="234" t="s">
        <v>342</v>
      </c>
      <c r="Z7" s="235" t="s">
        <v>343</v>
      </c>
      <c r="AA7" s="331">
        <v>80340000</v>
      </c>
      <c r="AB7" s="236">
        <v>6695000</v>
      </c>
      <c r="AC7" s="235" t="s">
        <v>355</v>
      </c>
      <c r="AD7" s="235" t="s">
        <v>345</v>
      </c>
      <c r="AE7" s="237"/>
      <c r="AF7" s="238"/>
      <c r="AG7" s="239"/>
      <c r="AH7" s="297"/>
      <c r="AI7" s="355">
        <v>6695000</v>
      </c>
      <c r="AJ7" s="355">
        <f t="shared" si="1"/>
        <v>6695000</v>
      </c>
      <c r="AK7" s="355">
        <v>6695000</v>
      </c>
      <c r="AL7" s="355">
        <v>6695000</v>
      </c>
      <c r="AM7" s="325">
        <v>6695000</v>
      </c>
      <c r="AN7" s="325">
        <v>6695000</v>
      </c>
      <c r="AO7" s="325">
        <v>6695000</v>
      </c>
      <c r="AP7" s="325">
        <v>6695000</v>
      </c>
      <c r="AQ7" s="325">
        <v>6695000</v>
      </c>
      <c r="AR7" s="325">
        <v>6695000</v>
      </c>
      <c r="AS7" s="325">
        <v>6695000</v>
      </c>
      <c r="AT7" s="325">
        <v>6695000</v>
      </c>
      <c r="AU7" s="322">
        <f t="shared" si="3"/>
        <v>80340000</v>
      </c>
      <c r="AV7" s="299">
        <f t="shared" si="4"/>
        <v>0</v>
      </c>
      <c r="AX7" s="296">
        <f t="shared" si="5"/>
        <v>80340000</v>
      </c>
      <c r="AY7" s="296">
        <v>0</v>
      </c>
      <c r="AZ7" s="296">
        <v>0</v>
      </c>
      <c r="BA7" s="296">
        <v>0</v>
      </c>
      <c r="BB7" s="295">
        <f t="shared" si="6"/>
        <v>80340000</v>
      </c>
    </row>
    <row r="8" spans="1:54" hidden="1">
      <c r="A8" s="228" t="s">
        <v>327</v>
      </c>
      <c r="B8" s="229" t="s">
        <v>328</v>
      </c>
      <c r="C8" s="229" t="s">
        <v>328</v>
      </c>
      <c r="D8" s="229">
        <v>368</v>
      </c>
      <c r="E8" s="230">
        <v>368</v>
      </c>
      <c r="F8" s="231">
        <v>7673</v>
      </c>
      <c r="G8" s="228" t="s">
        <v>329</v>
      </c>
      <c r="H8" s="228" t="s">
        <v>330</v>
      </c>
      <c r="I8" s="228" t="s">
        <v>331</v>
      </c>
      <c r="J8" s="228" t="s">
        <v>332</v>
      </c>
      <c r="K8" s="228" t="s">
        <v>333</v>
      </c>
      <c r="L8" s="228" t="s">
        <v>334</v>
      </c>
      <c r="M8" s="228" t="s">
        <v>335</v>
      </c>
      <c r="N8" s="228" t="s">
        <v>336</v>
      </c>
      <c r="O8" s="228" t="s">
        <v>337</v>
      </c>
      <c r="P8" s="228" t="s">
        <v>338</v>
      </c>
      <c r="Q8" s="232">
        <v>1</v>
      </c>
      <c r="R8" s="228" t="s">
        <v>356</v>
      </c>
      <c r="S8" s="228" t="s">
        <v>357</v>
      </c>
      <c r="T8" s="229">
        <v>80111620</v>
      </c>
      <c r="U8" s="228" t="s">
        <v>358</v>
      </c>
      <c r="V8" s="229">
        <v>1</v>
      </c>
      <c r="W8" s="229">
        <v>1</v>
      </c>
      <c r="X8" s="229">
        <v>330</v>
      </c>
      <c r="Y8" s="234" t="s">
        <v>342</v>
      </c>
      <c r="Z8" s="235" t="s">
        <v>343</v>
      </c>
      <c r="AA8" s="331">
        <v>39655000</v>
      </c>
      <c r="AB8" s="236">
        <v>3605000</v>
      </c>
      <c r="AC8" s="235" t="s">
        <v>359</v>
      </c>
      <c r="AD8" s="235" t="s">
        <v>345</v>
      </c>
      <c r="AE8" s="237"/>
      <c r="AF8" s="238"/>
      <c r="AG8" s="239"/>
      <c r="AH8" s="297"/>
      <c r="AI8" s="355">
        <f t="shared" si="0"/>
        <v>1201666.6666666667</v>
      </c>
      <c r="AJ8" s="355">
        <f t="shared" si="1"/>
        <v>3605000</v>
      </c>
      <c r="AK8" s="355">
        <v>3605000</v>
      </c>
      <c r="AL8" s="325">
        <v>3605000</v>
      </c>
      <c r="AM8" s="325">
        <v>3605000</v>
      </c>
      <c r="AN8" s="325">
        <v>3605000</v>
      </c>
      <c r="AO8" s="325">
        <v>3605000</v>
      </c>
      <c r="AP8" s="325">
        <v>3605000</v>
      </c>
      <c r="AQ8" s="325">
        <v>3605000</v>
      </c>
      <c r="AR8" s="325">
        <v>3605000</v>
      </c>
      <c r="AS8" s="325">
        <v>3605000</v>
      </c>
      <c r="AT8" s="325">
        <f t="shared" si="2"/>
        <v>2403333.3333333335</v>
      </c>
      <c r="AU8" s="322">
        <f t="shared" si="3"/>
        <v>39655000.000000007</v>
      </c>
      <c r="AV8" s="299">
        <f t="shared" si="4"/>
        <v>0</v>
      </c>
      <c r="AX8" s="296">
        <f t="shared" si="5"/>
        <v>39655000.000000007</v>
      </c>
      <c r="AY8" s="296">
        <v>0</v>
      </c>
      <c r="AZ8" s="296">
        <v>0</v>
      </c>
      <c r="BA8" s="296">
        <v>0</v>
      </c>
      <c r="BB8" s="295">
        <f t="shared" si="6"/>
        <v>39655000.000000007</v>
      </c>
    </row>
    <row r="9" spans="1:54" hidden="1">
      <c r="A9" s="228" t="s">
        <v>327</v>
      </c>
      <c r="B9" s="229" t="s">
        <v>328</v>
      </c>
      <c r="C9" s="229" t="s">
        <v>328</v>
      </c>
      <c r="D9" s="229">
        <v>369</v>
      </c>
      <c r="E9" s="230">
        <v>369</v>
      </c>
      <c r="F9" s="231">
        <v>7673</v>
      </c>
      <c r="G9" s="228" t="s">
        <v>329</v>
      </c>
      <c r="H9" s="228" t="s">
        <v>330</v>
      </c>
      <c r="I9" s="228" t="s">
        <v>331</v>
      </c>
      <c r="J9" s="228" t="s">
        <v>332</v>
      </c>
      <c r="K9" s="228" t="s">
        <v>333</v>
      </c>
      <c r="L9" s="228" t="s">
        <v>334</v>
      </c>
      <c r="M9" s="228" t="s">
        <v>335</v>
      </c>
      <c r="N9" s="228" t="s">
        <v>336</v>
      </c>
      <c r="O9" s="228" t="s">
        <v>337</v>
      </c>
      <c r="P9" s="228" t="s">
        <v>338</v>
      </c>
      <c r="Q9" s="232">
        <v>1</v>
      </c>
      <c r="R9" s="228" t="s">
        <v>356</v>
      </c>
      <c r="S9" s="228" t="s">
        <v>357</v>
      </c>
      <c r="T9" s="229">
        <v>80111620</v>
      </c>
      <c r="U9" s="228" t="s">
        <v>358</v>
      </c>
      <c r="V9" s="229">
        <v>1</v>
      </c>
      <c r="W9" s="229">
        <v>1</v>
      </c>
      <c r="X9" s="229">
        <v>330</v>
      </c>
      <c r="Y9" s="234" t="s">
        <v>342</v>
      </c>
      <c r="Z9" s="235" t="s">
        <v>343</v>
      </c>
      <c r="AA9" s="331">
        <v>39655000</v>
      </c>
      <c r="AB9" s="236">
        <v>3605000</v>
      </c>
      <c r="AC9" s="235" t="s">
        <v>359</v>
      </c>
      <c r="AD9" s="235" t="s">
        <v>345</v>
      </c>
      <c r="AE9" s="237"/>
      <c r="AF9" s="238"/>
      <c r="AG9" s="239"/>
      <c r="AH9" s="297"/>
      <c r="AI9" s="355">
        <f t="shared" si="0"/>
        <v>1201666.6666666667</v>
      </c>
      <c r="AJ9" s="355">
        <f t="shared" si="1"/>
        <v>3605000</v>
      </c>
      <c r="AK9" s="355">
        <v>3605000</v>
      </c>
      <c r="AL9" s="325">
        <v>3605000</v>
      </c>
      <c r="AM9" s="325">
        <v>3605000</v>
      </c>
      <c r="AN9" s="325">
        <v>3605000</v>
      </c>
      <c r="AO9" s="325">
        <v>3605000</v>
      </c>
      <c r="AP9" s="325">
        <v>3605000</v>
      </c>
      <c r="AQ9" s="325">
        <v>3605000</v>
      </c>
      <c r="AR9" s="325">
        <v>3605000</v>
      </c>
      <c r="AS9" s="325">
        <v>3605000</v>
      </c>
      <c r="AT9" s="325">
        <f t="shared" si="2"/>
        <v>2403333.3333333335</v>
      </c>
      <c r="AU9" s="322">
        <f t="shared" si="3"/>
        <v>39655000.000000007</v>
      </c>
      <c r="AV9" s="299">
        <f t="shared" si="4"/>
        <v>0</v>
      </c>
      <c r="AX9" s="296">
        <f t="shared" si="5"/>
        <v>39655000.000000007</v>
      </c>
      <c r="AY9" s="296">
        <v>0</v>
      </c>
      <c r="AZ9" s="296">
        <v>0</v>
      </c>
      <c r="BA9" s="296">
        <v>0</v>
      </c>
      <c r="BB9" s="295">
        <f t="shared" si="6"/>
        <v>39655000.000000007</v>
      </c>
    </row>
    <row r="10" spans="1:54" hidden="1">
      <c r="A10" s="228" t="s">
        <v>327</v>
      </c>
      <c r="B10" s="229" t="s">
        <v>328</v>
      </c>
      <c r="C10" s="229" t="s">
        <v>328</v>
      </c>
      <c r="D10" s="229">
        <v>370</v>
      </c>
      <c r="E10" s="230">
        <v>370</v>
      </c>
      <c r="F10" s="231">
        <v>7673</v>
      </c>
      <c r="G10" s="228" t="s">
        <v>329</v>
      </c>
      <c r="H10" s="228" t="s">
        <v>330</v>
      </c>
      <c r="I10" s="228" t="s">
        <v>331</v>
      </c>
      <c r="J10" s="228" t="s">
        <v>332</v>
      </c>
      <c r="K10" s="228" t="s">
        <v>333</v>
      </c>
      <c r="L10" s="228" t="s">
        <v>334</v>
      </c>
      <c r="M10" s="228" t="s">
        <v>335</v>
      </c>
      <c r="N10" s="228" t="s">
        <v>336</v>
      </c>
      <c r="O10" s="228" t="s">
        <v>337</v>
      </c>
      <c r="P10" s="228" t="s">
        <v>338</v>
      </c>
      <c r="Q10" s="232">
        <v>1</v>
      </c>
      <c r="R10" s="228" t="s">
        <v>356</v>
      </c>
      <c r="S10" s="228" t="s">
        <v>357</v>
      </c>
      <c r="T10" s="229">
        <v>80111620</v>
      </c>
      <c r="U10" s="228" t="s">
        <v>358</v>
      </c>
      <c r="V10" s="229">
        <v>1</v>
      </c>
      <c r="W10" s="229">
        <v>1</v>
      </c>
      <c r="X10" s="229">
        <v>330</v>
      </c>
      <c r="Y10" s="234" t="s">
        <v>342</v>
      </c>
      <c r="Z10" s="235" t="s">
        <v>343</v>
      </c>
      <c r="AA10" s="331">
        <v>39655000</v>
      </c>
      <c r="AB10" s="236">
        <v>3605000</v>
      </c>
      <c r="AC10" s="235" t="s">
        <v>359</v>
      </c>
      <c r="AD10" s="235" t="s">
        <v>345</v>
      </c>
      <c r="AE10" s="237"/>
      <c r="AF10" s="238"/>
      <c r="AG10" s="239"/>
      <c r="AH10" s="297"/>
      <c r="AI10" s="355">
        <f t="shared" si="0"/>
        <v>1201666.6666666667</v>
      </c>
      <c r="AJ10" s="355">
        <f t="shared" si="1"/>
        <v>3605000</v>
      </c>
      <c r="AK10" s="355">
        <v>3605000</v>
      </c>
      <c r="AL10" s="325">
        <v>3605000</v>
      </c>
      <c r="AM10" s="325">
        <v>3605000</v>
      </c>
      <c r="AN10" s="325">
        <v>3605000</v>
      </c>
      <c r="AO10" s="325">
        <v>3605000</v>
      </c>
      <c r="AP10" s="325">
        <v>3605000</v>
      </c>
      <c r="AQ10" s="325">
        <v>3605000</v>
      </c>
      <c r="AR10" s="325">
        <v>3605000</v>
      </c>
      <c r="AS10" s="325">
        <v>3605000</v>
      </c>
      <c r="AT10" s="325">
        <f t="shared" si="2"/>
        <v>2403333.3333333335</v>
      </c>
      <c r="AU10" s="322">
        <f t="shared" si="3"/>
        <v>39655000.000000007</v>
      </c>
      <c r="AV10" s="299">
        <f t="shared" si="4"/>
        <v>0</v>
      </c>
      <c r="AX10" s="296">
        <f t="shared" si="5"/>
        <v>39655000.000000007</v>
      </c>
      <c r="AY10" s="296">
        <v>0</v>
      </c>
      <c r="AZ10" s="296">
        <v>0</v>
      </c>
      <c r="BA10" s="296">
        <v>0</v>
      </c>
      <c r="BB10" s="295">
        <f t="shared" si="6"/>
        <v>39655000.000000007</v>
      </c>
    </row>
    <row r="11" spans="1:54" hidden="1">
      <c r="A11" s="228" t="s">
        <v>327</v>
      </c>
      <c r="B11" s="229" t="s">
        <v>328</v>
      </c>
      <c r="C11" s="229" t="s">
        <v>328</v>
      </c>
      <c r="D11" s="229">
        <v>371</v>
      </c>
      <c r="E11" s="230">
        <v>371</v>
      </c>
      <c r="F11" s="231">
        <v>7673</v>
      </c>
      <c r="G11" s="228" t="s">
        <v>329</v>
      </c>
      <c r="H11" s="228" t="s">
        <v>330</v>
      </c>
      <c r="I11" s="228" t="s">
        <v>331</v>
      </c>
      <c r="J11" s="228" t="s">
        <v>332</v>
      </c>
      <c r="K11" s="228" t="s">
        <v>333</v>
      </c>
      <c r="L11" s="228" t="s">
        <v>334</v>
      </c>
      <c r="M11" s="228" t="s">
        <v>335</v>
      </c>
      <c r="N11" s="228" t="s">
        <v>336</v>
      </c>
      <c r="O11" s="228" t="s">
        <v>337</v>
      </c>
      <c r="P11" s="228" t="s">
        <v>338</v>
      </c>
      <c r="Q11" s="232">
        <v>1</v>
      </c>
      <c r="R11" s="228" t="s">
        <v>356</v>
      </c>
      <c r="S11" s="228" t="s">
        <v>357</v>
      </c>
      <c r="T11" s="229">
        <v>80111620</v>
      </c>
      <c r="U11" s="228" t="s">
        <v>358</v>
      </c>
      <c r="V11" s="229">
        <v>1</v>
      </c>
      <c r="W11" s="229">
        <v>1</v>
      </c>
      <c r="X11" s="229">
        <v>330</v>
      </c>
      <c r="Y11" s="234" t="s">
        <v>342</v>
      </c>
      <c r="Z11" s="235" t="s">
        <v>343</v>
      </c>
      <c r="AA11" s="331">
        <v>39655000</v>
      </c>
      <c r="AB11" s="236">
        <v>3605000</v>
      </c>
      <c r="AC11" s="235" t="s">
        <v>359</v>
      </c>
      <c r="AD11" s="235" t="s">
        <v>345</v>
      </c>
      <c r="AE11" s="237"/>
      <c r="AF11" s="238"/>
      <c r="AG11" s="239"/>
      <c r="AH11" s="297"/>
      <c r="AI11" s="355">
        <f t="shared" si="0"/>
        <v>1201666.6666666667</v>
      </c>
      <c r="AJ11" s="355">
        <f t="shared" si="1"/>
        <v>3605000</v>
      </c>
      <c r="AK11" s="355">
        <v>3605000</v>
      </c>
      <c r="AL11" s="325">
        <v>3605000</v>
      </c>
      <c r="AM11" s="325">
        <v>3605000</v>
      </c>
      <c r="AN11" s="325">
        <v>3605000</v>
      </c>
      <c r="AO11" s="325">
        <v>3605000</v>
      </c>
      <c r="AP11" s="325">
        <v>3605000</v>
      </c>
      <c r="AQ11" s="325">
        <v>3605000</v>
      </c>
      <c r="AR11" s="325">
        <v>3605000</v>
      </c>
      <c r="AS11" s="325">
        <v>3605000</v>
      </c>
      <c r="AT11" s="325">
        <f t="shared" si="2"/>
        <v>2403333.3333333335</v>
      </c>
      <c r="AU11" s="322">
        <f t="shared" si="3"/>
        <v>39655000.000000007</v>
      </c>
      <c r="AV11" s="299">
        <f t="shared" si="4"/>
        <v>0</v>
      </c>
      <c r="AX11" s="296">
        <f t="shared" si="5"/>
        <v>39655000.000000007</v>
      </c>
      <c r="AY11" s="296">
        <v>0</v>
      </c>
      <c r="AZ11" s="296">
        <v>0</v>
      </c>
      <c r="BA11" s="296">
        <v>0</v>
      </c>
      <c r="BB11" s="295">
        <f t="shared" si="6"/>
        <v>39655000.000000007</v>
      </c>
    </row>
    <row r="12" spans="1:54" hidden="1">
      <c r="A12" s="228" t="s">
        <v>327</v>
      </c>
      <c r="B12" s="229" t="s">
        <v>328</v>
      </c>
      <c r="C12" s="229" t="s">
        <v>328</v>
      </c>
      <c r="D12" s="229">
        <v>372</v>
      </c>
      <c r="E12" s="230">
        <v>372</v>
      </c>
      <c r="F12" s="231">
        <v>7673</v>
      </c>
      <c r="G12" s="228" t="s">
        <v>329</v>
      </c>
      <c r="H12" s="228" t="s">
        <v>330</v>
      </c>
      <c r="I12" s="228" t="s">
        <v>331</v>
      </c>
      <c r="J12" s="228" t="s">
        <v>332</v>
      </c>
      <c r="K12" s="228" t="s">
        <v>333</v>
      </c>
      <c r="L12" s="228" t="s">
        <v>334</v>
      </c>
      <c r="M12" s="228" t="s">
        <v>335</v>
      </c>
      <c r="N12" s="228" t="s">
        <v>336</v>
      </c>
      <c r="O12" s="228" t="s">
        <v>337</v>
      </c>
      <c r="P12" s="228" t="s">
        <v>338</v>
      </c>
      <c r="Q12" s="232">
        <v>1</v>
      </c>
      <c r="R12" s="228" t="s">
        <v>356</v>
      </c>
      <c r="S12" s="228" t="s">
        <v>357</v>
      </c>
      <c r="T12" s="229">
        <v>80111620</v>
      </c>
      <c r="U12" s="228" t="s">
        <v>358</v>
      </c>
      <c r="V12" s="229">
        <v>1</v>
      </c>
      <c r="W12" s="229">
        <v>1</v>
      </c>
      <c r="X12" s="229">
        <v>330</v>
      </c>
      <c r="Y12" s="234" t="s">
        <v>342</v>
      </c>
      <c r="Z12" s="235" t="s">
        <v>343</v>
      </c>
      <c r="AA12" s="331">
        <v>39655000</v>
      </c>
      <c r="AB12" s="236">
        <v>3605000</v>
      </c>
      <c r="AC12" s="235" t="s">
        <v>359</v>
      </c>
      <c r="AD12" s="235" t="s">
        <v>345</v>
      </c>
      <c r="AE12" s="237"/>
      <c r="AF12" s="238"/>
      <c r="AG12" s="239"/>
      <c r="AH12" s="297"/>
      <c r="AI12" s="355">
        <f t="shared" si="0"/>
        <v>1201666.6666666667</v>
      </c>
      <c r="AJ12" s="355">
        <f t="shared" si="1"/>
        <v>3605000</v>
      </c>
      <c r="AK12" s="355">
        <v>3605000</v>
      </c>
      <c r="AL12" s="355">
        <v>3605000</v>
      </c>
      <c r="AM12" s="325">
        <v>3605000</v>
      </c>
      <c r="AN12" s="325">
        <v>3605000</v>
      </c>
      <c r="AO12" s="325">
        <v>3605000</v>
      </c>
      <c r="AP12" s="325">
        <v>3605000</v>
      </c>
      <c r="AQ12" s="325">
        <v>3605000</v>
      </c>
      <c r="AR12" s="325">
        <v>3605000</v>
      </c>
      <c r="AS12" s="325">
        <v>3605000</v>
      </c>
      <c r="AT12" s="325">
        <f t="shared" si="2"/>
        <v>2403333.3333333335</v>
      </c>
      <c r="AU12" s="322">
        <f t="shared" si="3"/>
        <v>39655000.000000007</v>
      </c>
      <c r="AV12" s="299">
        <f t="shared" si="4"/>
        <v>0</v>
      </c>
      <c r="AX12" s="296">
        <f t="shared" si="5"/>
        <v>39655000.000000007</v>
      </c>
      <c r="AY12" s="296">
        <v>0</v>
      </c>
      <c r="AZ12" s="296">
        <v>0</v>
      </c>
      <c r="BA12" s="296">
        <v>0</v>
      </c>
      <c r="BB12" s="295">
        <f t="shared" si="6"/>
        <v>39655000.000000007</v>
      </c>
    </row>
    <row r="13" spans="1:54" hidden="1">
      <c r="A13" s="228" t="s">
        <v>327</v>
      </c>
      <c r="B13" s="229" t="s">
        <v>328</v>
      </c>
      <c r="C13" s="229" t="s">
        <v>328</v>
      </c>
      <c r="D13" s="229">
        <v>373</v>
      </c>
      <c r="E13" s="230">
        <v>373</v>
      </c>
      <c r="F13" s="231">
        <v>7673</v>
      </c>
      <c r="G13" s="228" t="s">
        <v>329</v>
      </c>
      <c r="H13" s="228" t="s">
        <v>330</v>
      </c>
      <c r="I13" s="228" t="s">
        <v>331</v>
      </c>
      <c r="J13" s="228" t="s">
        <v>332</v>
      </c>
      <c r="K13" s="228" t="s">
        <v>333</v>
      </c>
      <c r="L13" s="228" t="s">
        <v>334</v>
      </c>
      <c r="M13" s="228" t="s">
        <v>335</v>
      </c>
      <c r="N13" s="228" t="s">
        <v>336</v>
      </c>
      <c r="O13" s="228" t="s">
        <v>337</v>
      </c>
      <c r="P13" s="228" t="s">
        <v>338</v>
      </c>
      <c r="Q13" s="232">
        <v>1</v>
      </c>
      <c r="R13" s="228" t="s">
        <v>356</v>
      </c>
      <c r="S13" s="228" t="s">
        <v>357</v>
      </c>
      <c r="T13" s="229">
        <v>80111620</v>
      </c>
      <c r="U13" s="228" t="s">
        <v>358</v>
      </c>
      <c r="V13" s="229">
        <v>1</v>
      </c>
      <c r="W13" s="229">
        <v>1</v>
      </c>
      <c r="X13" s="229">
        <v>330</v>
      </c>
      <c r="Y13" s="234" t="s">
        <v>342</v>
      </c>
      <c r="Z13" s="235" t="s">
        <v>343</v>
      </c>
      <c r="AA13" s="331">
        <v>39655000</v>
      </c>
      <c r="AB13" s="236">
        <v>3605000</v>
      </c>
      <c r="AC13" s="235" t="s">
        <v>359</v>
      </c>
      <c r="AD13" s="235" t="s">
        <v>345</v>
      </c>
      <c r="AE13" s="237"/>
      <c r="AF13" s="238"/>
      <c r="AG13" s="239"/>
      <c r="AH13" s="297"/>
      <c r="AI13" s="355">
        <f t="shared" si="0"/>
        <v>1201666.6666666667</v>
      </c>
      <c r="AJ13" s="355">
        <f t="shared" si="1"/>
        <v>3605000</v>
      </c>
      <c r="AK13" s="355">
        <v>3605000</v>
      </c>
      <c r="AL13" s="355">
        <v>3605000</v>
      </c>
      <c r="AM13" s="325">
        <v>3605000</v>
      </c>
      <c r="AN13" s="325">
        <v>3605000</v>
      </c>
      <c r="AO13" s="325">
        <v>3605000</v>
      </c>
      <c r="AP13" s="325">
        <v>3605000</v>
      </c>
      <c r="AQ13" s="325">
        <v>3605000</v>
      </c>
      <c r="AR13" s="325">
        <v>3605000</v>
      </c>
      <c r="AS13" s="325">
        <v>3605000</v>
      </c>
      <c r="AT13" s="325">
        <f t="shared" si="2"/>
        <v>2403333.3333333335</v>
      </c>
      <c r="AU13" s="322">
        <f t="shared" si="3"/>
        <v>39655000.000000007</v>
      </c>
      <c r="AV13" s="299">
        <f t="shared" si="4"/>
        <v>0</v>
      </c>
      <c r="AX13" s="296">
        <f t="shared" si="5"/>
        <v>39655000.000000007</v>
      </c>
      <c r="AY13" s="296">
        <v>0</v>
      </c>
      <c r="AZ13" s="296">
        <v>0</v>
      </c>
      <c r="BA13" s="296">
        <v>0</v>
      </c>
      <c r="BB13" s="295">
        <f t="shared" si="6"/>
        <v>39655000.000000007</v>
      </c>
    </row>
    <row r="14" spans="1:54" hidden="1">
      <c r="A14" s="228" t="s">
        <v>327</v>
      </c>
      <c r="B14" s="229" t="s">
        <v>328</v>
      </c>
      <c r="C14" s="229" t="s">
        <v>328</v>
      </c>
      <c r="D14" s="229">
        <v>374</v>
      </c>
      <c r="E14" s="230">
        <v>374</v>
      </c>
      <c r="F14" s="231">
        <v>7673</v>
      </c>
      <c r="G14" s="228" t="s">
        <v>329</v>
      </c>
      <c r="H14" s="228" t="s">
        <v>330</v>
      </c>
      <c r="I14" s="228" t="s">
        <v>331</v>
      </c>
      <c r="J14" s="228" t="s">
        <v>332</v>
      </c>
      <c r="K14" s="228" t="s">
        <v>333</v>
      </c>
      <c r="L14" s="228" t="s">
        <v>334</v>
      </c>
      <c r="M14" s="228" t="s">
        <v>335</v>
      </c>
      <c r="N14" s="228" t="s">
        <v>336</v>
      </c>
      <c r="O14" s="228" t="s">
        <v>337</v>
      </c>
      <c r="P14" s="228" t="s">
        <v>338</v>
      </c>
      <c r="Q14" s="232">
        <v>1</v>
      </c>
      <c r="R14" s="228" t="s">
        <v>356</v>
      </c>
      <c r="S14" s="228" t="s">
        <v>357</v>
      </c>
      <c r="T14" s="229">
        <v>80111620</v>
      </c>
      <c r="U14" s="228" t="s">
        <v>358</v>
      </c>
      <c r="V14" s="229">
        <v>1</v>
      </c>
      <c r="W14" s="229">
        <v>1</v>
      </c>
      <c r="X14" s="229">
        <v>330</v>
      </c>
      <c r="Y14" s="234" t="s">
        <v>342</v>
      </c>
      <c r="Z14" s="235" t="s">
        <v>343</v>
      </c>
      <c r="AA14" s="331">
        <v>39655000</v>
      </c>
      <c r="AB14" s="236">
        <v>3605000</v>
      </c>
      <c r="AC14" s="235" t="s">
        <v>359</v>
      </c>
      <c r="AD14" s="235" t="s">
        <v>345</v>
      </c>
      <c r="AE14" s="237"/>
      <c r="AF14" s="238"/>
      <c r="AG14" s="239"/>
      <c r="AH14" s="297"/>
      <c r="AI14" s="355">
        <f t="shared" si="0"/>
        <v>1201666.6666666667</v>
      </c>
      <c r="AJ14" s="355">
        <f t="shared" si="1"/>
        <v>3605000</v>
      </c>
      <c r="AK14" s="355">
        <v>3605000</v>
      </c>
      <c r="AL14" s="355">
        <v>3605000</v>
      </c>
      <c r="AM14" s="325">
        <v>3605000</v>
      </c>
      <c r="AN14" s="325">
        <v>3605000</v>
      </c>
      <c r="AO14" s="325">
        <v>3605000</v>
      </c>
      <c r="AP14" s="325">
        <v>3605000</v>
      </c>
      <c r="AQ14" s="325">
        <v>3605000</v>
      </c>
      <c r="AR14" s="325">
        <v>3605000</v>
      </c>
      <c r="AS14" s="325">
        <v>3605000</v>
      </c>
      <c r="AT14" s="325">
        <f t="shared" si="2"/>
        <v>2403333.3333333335</v>
      </c>
      <c r="AU14" s="322">
        <f t="shared" si="3"/>
        <v>39655000.000000007</v>
      </c>
      <c r="AV14" s="299">
        <f t="shared" si="4"/>
        <v>0</v>
      </c>
      <c r="AX14" s="296">
        <f t="shared" si="5"/>
        <v>39655000.000000007</v>
      </c>
      <c r="AY14" s="296">
        <v>0</v>
      </c>
      <c r="AZ14" s="296">
        <v>0</v>
      </c>
      <c r="BA14" s="296">
        <v>0</v>
      </c>
      <c r="BB14" s="295">
        <f t="shared" si="6"/>
        <v>39655000.000000007</v>
      </c>
    </row>
    <row r="15" spans="1:54" hidden="1">
      <c r="A15" s="228" t="s">
        <v>327</v>
      </c>
      <c r="B15" s="229" t="s">
        <v>328</v>
      </c>
      <c r="C15" s="229" t="s">
        <v>328</v>
      </c>
      <c r="D15" s="229">
        <v>375</v>
      </c>
      <c r="E15" s="230">
        <v>375</v>
      </c>
      <c r="F15" s="231">
        <v>7673</v>
      </c>
      <c r="G15" s="228" t="s">
        <v>329</v>
      </c>
      <c r="H15" s="228" t="s">
        <v>330</v>
      </c>
      <c r="I15" s="228" t="s">
        <v>331</v>
      </c>
      <c r="J15" s="228" t="s">
        <v>332</v>
      </c>
      <c r="K15" s="228" t="s">
        <v>333</v>
      </c>
      <c r="L15" s="228" t="s">
        <v>334</v>
      </c>
      <c r="M15" s="228" t="s">
        <v>335</v>
      </c>
      <c r="N15" s="228" t="s">
        <v>336</v>
      </c>
      <c r="O15" s="228" t="s">
        <v>337</v>
      </c>
      <c r="P15" s="228" t="s">
        <v>338</v>
      </c>
      <c r="Q15" s="232">
        <v>1</v>
      </c>
      <c r="R15" s="228" t="s">
        <v>356</v>
      </c>
      <c r="S15" s="228" t="s">
        <v>357</v>
      </c>
      <c r="T15" s="229">
        <v>80111620</v>
      </c>
      <c r="U15" s="228" t="s">
        <v>358</v>
      </c>
      <c r="V15" s="229">
        <v>1</v>
      </c>
      <c r="W15" s="229">
        <v>1</v>
      </c>
      <c r="X15" s="229">
        <v>330</v>
      </c>
      <c r="Y15" s="234" t="s">
        <v>342</v>
      </c>
      <c r="Z15" s="235" t="s">
        <v>343</v>
      </c>
      <c r="AA15" s="331">
        <v>39655000</v>
      </c>
      <c r="AB15" s="236">
        <v>3605000</v>
      </c>
      <c r="AC15" s="235" t="s">
        <v>359</v>
      </c>
      <c r="AD15" s="235" t="s">
        <v>345</v>
      </c>
      <c r="AE15" s="237"/>
      <c r="AF15" s="238"/>
      <c r="AG15" s="239"/>
      <c r="AH15" s="297"/>
      <c r="AI15" s="355">
        <f t="shared" si="0"/>
        <v>1201666.6666666667</v>
      </c>
      <c r="AJ15" s="355">
        <f t="shared" si="1"/>
        <v>3605000</v>
      </c>
      <c r="AK15" s="355">
        <v>3605000</v>
      </c>
      <c r="AL15" s="355">
        <v>3605000</v>
      </c>
      <c r="AM15" s="325">
        <v>3605000</v>
      </c>
      <c r="AN15" s="325">
        <v>3605000</v>
      </c>
      <c r="AO15" s="325">
        <v>3605000</v>
      </c>
      <c r="AP15" s="325">
        <v>3605000</v>
      </c>
      <c r="AQ15" s="325">
        <v>3605000</v>
      </c>
      <c r="AR15" s="325">
        <v>3605000</v>
      </c>
      <c r="AS15" s="325">
        <v>3605000</v>
      </c>
      <c r="AT15" s="325">
        <f t="shared" si="2"/>
        <v>2403333.3333333335</v>
      </c>
      <c r="AU15" s="322">
        <f t="shared" si="3"/>
        <v>39655000.000000007</v>
      </c>
      <c r="AV15" s="299">
        <f t="shared" si="4"/>
        <v>0</v>
      </c>
      <c r="AX15" s="296">
        <f t="shared" si="5"/>
        <v>39655000.000000007</v>
      </c>
      <c r="AY15" s="296">
        <v>0</v>
      </c>
      <c r="AZ15" s="296">
        <v>0</v>
      </c>
      <c r="BA15" s="296">
        <v>0</v>
      </c>
      <c r="BB15" s="295">
        <f t="shared" si="6"/>
        <v>39655000.000000007</v>
      </c>
    </row>
    <row r="16" spans="1:54" hidden="1">
      <c r="A16" s="228" t="s">
        <v>327</v>
      </c>
      <c r="B16" s="229" t="s">
        <v>328</v>
      </c>
      <c r="C16" s="229" t="s">
        <v>328</v>
      </c>
      <c r="D16" s="229">
        <v>376</v>
      </c>
      <c r="E16" s="230">
        <v>376</v>
      </c>
      <c r="F16" s="231">
        <v>7673</v>
      </c>
      <c r="G16" s="228" t="s">
        <v>329</v>
      </c>
      <c r="H16" s="228" t="s">
        <v>330</v>
      </c>
      <c r="I16" s="228" t="s">
        <v>331</v>
      </c>
      <c r="J16" s="228" t="s">
        <v>332</v>
      </c>
      <c r="K16" s="228" t="s">
        <v>333</v>
      </c>
      <c r="L16" s="228" t="s">
        <v>334</v>
      </c>
      <c r="M16" s="228" t="s">
        <v>335</v>
      </c>
      <c r="N16" s="228" t="s">
        <v>336</v>
      </c>
      <c r="O16" s="228" t="s">
        <v>337</v>
      </c>
      <c r="P16" s="228" t="s">
        <v>338</v>
      </c>
      <c r="Q16" s="232">
        <v>1</v>
      </c>
      <c r="R16" s="228" t="s">
        <v>356</v>
      </c>
      <c r="S16" s="228" t="s">
        <v>357</v>
      </c>
      <c r="T16" s="229">
        <v>80111620</v>
      </c>
      <c r="U16" s="228" t="s">
        <v>358</v>
      </c>
      <c r="V16" s="229">
        <v>1</v>
      </c>
      <c r="W16" s="229">
        <v>1</v>
      </c>
      <c r="X16" s="229">
        <v>330</v>
      </c>
      <c r="Y16" s="234" t="s">
        <v>342</v>
      </c>
      <c r="Z16" s="235" t="s">
        <v>343</v>
      </c>
      <c r="AA16" s="331">
        <v>39655000</v>
      </c>
      <c r="AB16" s="236">
        <v>3605000</v>
      </c>
      <c r="AC16" s="235" t="s">
        <v>359</v>
      </c>
      <c r="AD16" s="235" t="s">
        <v>345</v>
      </c>
      <c r="AE16" s="237"/>
      <c r="AF16" s="238"/>
      <c r="AG16" s="239"/>
      <c r="AH16" s="297"/>
      <c r="AI16" s="355">
        <f t="shared" si="0"/>
        <v>1201666.6666666667</v>
      </c>
      <c r="AJ16" s="355">
        <f t="shared" si="1"/>
        <v>3605000</v>
      </c>
      <c r="AK16" s="355">
        <v>3605000</v>
      </c>
      <c r="AL16" s="355">
        <v>3605000</v>
      </c>
      <c r="AM16" s="325">
        <v>3605000</v>
      </c>
      <c r="AN16" s="325">
        <v>3605000</v>
      </c>
      <c r="AO16" s="325">
        <v>3605000</v>
      </c>
      <c r="AP16" s="325">
        <v>3605000</v>
      </c>
      <c r="AQ16" s="325">
        <v>3605000</v>
      </c>
      <c r="AR16" s="325">
        <v>3605000</v>
      </c>
      <c r="AS16" s="325">
        <v>3605000</v>
      </c>
      <c r="AT16" s="325">
        <f t="shared" si="2"/>
        <v>2403333.3333333335</v>
      </c>
      <c r="AU16" s="322">
        <f t="shared" si="3"/>
        <v>39655000.000000007</v>
      </c>
      <c r="AV16" s="299">
        <f t="shared" si="4"/>
        <v>0</v>
      </c>
      <c r="AX16" s="296">
        <f t="shared" si="5"/>
        <v>39655000.000000007</v>
      </c>
      <c r="AY16" s="296">
        <v>0</v>
      </c>
      <c r="AZ16" s="296">
        <v>0</v>
      </c>
      <c r="BA16" s="296">
        <v>0</v>
      </c>
      <c r="BB16" s="295">
        <f t="shared" si="6"/>
        <v>39655000.000000007</v>
      </c>
    </row>
    <row r="17" spans="1:54" hidden="1">
      <c r="A17" s="228" t="s">
        <v>327</v>
      </c>
      <c r="B17" s="229" t="s">
        <v>328</v>
      </c>
      <c r="C17" s="229" t="s">
        <v>328</v>
      </c>
      <c r="D17" s="229">
        <v>377</v>
      </c>
      <c r="E17" s="230">
        <v>377</v>
      </c>
      <c r="F17" s="231">
        <v>7673</v>
      </c>
      <c r="G17" s="228" t="s">
        <v>329</v>
      </c>
      <c r="H17" s="228" t="s">
        <v>330</v>
      </c>
      <c r="I17" s="228" t="s">
        <v>331</v>
      </c>
      <c r="J17" s="228" t="s">
        <v>332</v>
      </c>
      <c r="K17" s="228" t="s">
        <v>333</v>
      </c>
      <c r="L17" s="228" t="s">
        <v>334</v>
      </c>
      <c r="M17" s="228" t="s">
        <v>335</v>
      </c>
      <c r="N17" s="228" t="s">
        <v>336</v>
      </c>
      <c r="O17" s="228" t="s">
        <v>337</v>
      </c>
      <c r="P17" s="228" t="s">
        <v>338</v>
      </c>
      <c r="Q17" s="232">
        <v>1</v>
      </c>
      <c r="R17" s="228" t="s">
        <v>356</v>
      </c>
      <c r="S17" s="228" t="s">
        <v>357</v>
      </c>
      <c r="T17" s="229">
        <v>80111620</v>
      </c>
      <c r="U17" s="228" t="s">
        <v>358</v>
      </c>
      <c r="V17" s="229">
        <v>1</v>
      </c>
      <c r="W17" s="229">
        <v>1</v>
      </c>
      <c r="X17" s="229">
        <v>330</v>
      </c>
      <c r="Y17" s="234" t="s">
        <v>342</v>
      </c>
      <c r="Z17" s="235" t="s">
        <v>343</v>
      </c>
      <c r="AA17" s="331">
        <v>39655000</v>
      </c>
      <c r="AB17" s="236">
        <v>3605000</v>
      </c>
      <c r="AC17" s="235" t="s">
        <v>359</v>
      </c>
      <c r="AD17" s="235" t="s">
        <v>345</v>
      </c>
      <c r="AE17" s="237"/>
      <c r="AF17" s="238"/>
      <c r="AG17" s="239"/>
      <c r="AH17" s="297"/>
      <c r="AI17" s="355">
        <f t="shared" si="0"/>
        <v>1201666.6666666667</v>
      </c>
      <c r="AJ17" s="355">
        <f t="shared" si="1"/>
        <v>3605000</v>
      </c>
      <c r="AK17" s="355">
        <v>3605000</v>
      </c>
      <c r="AL17" s="355">
        <v>3605000</v>
      </c>
      <c r="AM17" s="325">
        <v>3605000</v>
      </c>
      <c r="AN17" s="325">
        <v>3605000</v>
      </c>
      <c r="AO17" s="325">
        <v>3605000</v>
      </c>
      <c r="AP17" s="325">
        <v>3605000</v>
      </c>
      <c r="AQ17" s="325">
        <v>3605000</v>
      </c>
      <c r="AR17" s="325">
        <v>3605000</v>
      </c>
      <c r="AS17" s="325">
        <v>3605000</v>
      </c>
      <c r="AT17" s="325">
        <f t="shared" si="2"/>
        <v>2403333.3333333335</v>
      </c>
      <c r="AU17" s="322">
        <f t="shared" si="3"/>
        <v>39655000.000000007</v>
      </c>
      <c r="AV17" s="299">
        <f t="shared" si="4"/>
        <v>0</v>
      </c>
      <c r="AX17" s="296">
        <f t="shared" si="5"/>
        <v>39655000.000000007</v>
      </c>
      <c r="AY17" s="296">
        <v>0</v>
      </c>
      <c r="AZ17" s="296">
        <v>0</v>
      </c>
      <c r="BA17" s="296">
        <v>0</v>
      </c>
      <c r="BB17" s="295">
        <f t="shared" si="6"/>
        <v>39655000.000000007</v>
      </c>
    </row>
    <row r="18" spans="1:54" hidden="1">
      <c r="A18" s="228" t="s">
        <v>327</v>
      </c>
      <c r="B18" s="229" t="s">
        <v>328</v>
      </c>
      <c r="C18" s="229" t="s">
        <v>328</v>
      </c>
      <c r="D18" s="229">
        <v>378</v>
      </c>
      <c r="E18" s="230">
        <v>378</v>
      </c>
      <c r="F18" s="231">
        <v>7673</v>
      </c>
      <c r="G18" s="228" t="s">
        <v>329</v>
      </c>
      <c r="H18" s="228" t="s">
        <v>330</v>
      </c>
      <c r="I18" s="228" t="s">
        <v>331</v>
      </c>
      <c r="J18" s="228" t="s">
        <v>332</v>
      </c>
      <c r="K18" s="228" t="s">
        <v>333</v>
      </c>
      <c r="L18" s="228" t="s">
        <v>334</v>
      </c>
      <c r="M18" s="228" t="s">
        <v>335</v>
      </c>
      <c r="N18" s="228" t="s">
        <v>336</v>
      </c>
      <c r="O18" s="228" t="s">
        <v>337</v>
      </c>
      <c r="P18" s="228" t="s">
        <v>338</v>
      </c>
      <c r="Q18" s="232">
        <v>1</v>
      </c>
      <c r="R18" s="228" t="s">
        <v>356</v>
      </c>
      <c r="S18" s="228" t="s">
        <v>357</v>
      </c>
      <c r="T18" s="229">
        <v>80111620</v>
      </c>
      <c r="U18" s="228" t="s">
        <v>358</v>
      </c>
      <c r="V18" s="229">
        <v>1</v>
      </c>
      <c r="W18" s="229">
        <v>1</v>
      </c>
      <c r="X18" s="229">
        <v>330</v>
      </c>
      <c r="Y18" s="234" t="s">
        <v>342</v>
      </c>
      <c r="Z18" s="235" t="s">
        <v>343</v>
      </c>
      <c r="AA18" s="331">
        <v>39655000</v>
      </c>
      <c r="AB18" s="236">
        <v>3605000</v>
      </c>
      <c r="AC18" s="235" t="s">
        <v>359</v>
      </c>
      <c r="AD18" s="235" t="s">
        <v>345</v>
      </c>
      <c r="AE18" s="237"/>
      <c r="AF18" s="238"/>
      <c r="AG18" s="239"/>
      <c r="AH18" s="297"/>
      <c r="AI18" s="355">
        <f t="shared" si="0"/>
        <v>1201666.6666666667</v>
      </c>
      <c r="AJ18" s="355">
        <f t="shared" si="1"/>
        <v>3605000</v>
      </c>
      <c r="AK18" s="355">
        <v>3605000</v>
      </c>
      <c r="AL18" s="355">
        <v>3605000</v>
      </c>
      <c r="AM18" s="325">
        <v>3605000</v>
      </c>
      <c r="AN18" s="325">
        <v>3605000</v>
      </c>
      <c r="AO18" s="325">
        <v>3605000</v>
      </c>
      <c r="AP18" s="325">
        <v>3605000</v>
      </c>
      <c r="AQ18" s="325">
        <v>3605000</v>
      </c>
      <c r="AR18" s="325">
        <v>3605000</v>
      </c>
      <c r="AS18" s="325">
        <v>3605000</v>
      </c>
      <c r="AT18" s="325">
        <f t="shared" si="2"/>
        <v>2403333.3333333335</v>
      </c>
      <c r="AU18" s="322">
        <f t="shared" si="3"/>
        <v>39655000.000000007</v>
      </c>
      <c r="AV18" s="299">
        <f t="shared" si="4"/>
        <v>0</v>
      </c>
      <c r="AX18" s="296">
        <f t="shared" si="5"/>
        <v>39655000.000000007</v>
      </c>
      <c r="AY18" s="296">
        <v>0</v>
      </c>
      <c r="AZ18" s="296">
        <v>0</v>
      </c>
      <c r="BA18" s="296">
        <v>0</v>
      </c>
      <c r="BB18" s="295">
        <f t="shared" si="6"/>
        <v>39655000.000000007</v>
      </c>
    </row>
    <row r="19" spans="1:54" hidden="1">
      <c r="A19" s="228" t="s">
        <v>327</v>
      </c>
      <c r="B19" s="229" t="s">
        <v>328</v>
      </c>
      <c r="C19" s="229" t="s">
        <v>328</v>
      </c>
      <c r="D19" s="229">
        <v>379</v>
      </c>
      <c r="E19" s="230">
        <v>379</v>
      </c>
      <c r="F19" s="231">
        <v>7673</v>
      </c>
      <c r="G19" s="228" t="s">
        <v>329</v>
      </c>
      <c r="H19" s="228" t="s">
        <v>330</v>
      </c>
      <c r="I19" s="228" t="s">
        <v>331</v>
      </c>
      <c r="J19" s="228" t="s">
        <v>332</v>
      </c>
      <c r="K19" s="228" t="s">
        <v>333</v>
      </c>
      <c r="L19" s="228" t="s">
        <v>334</v>
      </c>
      <c r="M19" s="228" t="s">
        <v>335</v>
      </c>
      <c r="N19" s="228" t="s">
        <v>336</v>
      </c>
      <c r="O19" s="228" t="s">
        <v>337</v>
      </c>
      <c r="P19" s="228" t="s">
        <v>338</v>
      </c>
      <c r="Q19" s="232">
        <v>1</v>
      </c>
      <c r="R19" s="228" t="s">
        <v>356</v>
      </c>
      <c r="S19" s="228" t="s">
        <v>357</v>
      </c>
      <c r="T19" s="229">
        <v>80111620</v>
      </c>
      <c r="U19" s="228" t="s">
        <v>358</v>
      </c>
      <c r="V19" s="229">
        <v>1</v>
      </c>
      <c r="W19" s="229">
        <v>1</v>
      </c>
      <c r="X19" s="229">
        <v>330</v>
      </c>
      <c r="Y19" s="234" t="s">
        <v>342</v>
      </c>
      <c r="Z19" s="235" t="s">
        <v>343</v>
      </c>
      <c r="AA19" s="331">
        <v>39655000</v>
      </c>
      <c r="AB19" s="236">
        <v>3605000</v>
      </c>
      <c r="AC19" s="235" t="s">
        <v>359</v>
      </c>
      <c r="AD19" s="235" t="s">
        <v>345</v>
      </c>
      <c r="AE19" s="237"/>
      <c r="AF19" s="238"/>
      <c r="AG19" s="239"/>
      <c r="AH19" s="297"/>
      <c r="AI19" s="355">
        <f t="shared" si="0"/>
        <v>1201666.6666666667</v>
      </c>
      <c r="AJ19" s="355">
        <f t="shared" si="1"/>
        <v>3605000</v>
      </c>
      <c r="AK19" s="355">
        <v>3605000</v>
      </c>
      <c r="AL19" s="355">
        <v>3605000</v>
      </c>
      <c r="AM19" s="325">
        <v>3605000</v>
      </c>
      <c r="AN19" s="325">
        <v>3605000</v>
      </c>
      <c r="AO19" s="325">
        <v>3605000</v>
      </c>
      <c r="AP19" s="325">
        <v>3605000</v>
      </c>
      <c r="AQ19" s="325">
        <v>3605000</v>
      </c>
      <c r="AR19" s="325">
        <v>3605000</v>
      </c>
      <c r="AS19" s="325">
        <v>3605000</v>
      </c>
      <c r="AT19" s="325">
        <f t="shared" si="2"/>
        <v>2403333.3333333335</v>
      </c>
      <c r="AU19" s="322">
        <f t="shared" si="3"/>
        <v>39655000.000000007</v>
      </c>
      <c r="AV19" s="299">
        <f t="shared" si="4"/>
        <v>0</v>
      </c>
      <c r="AX19" s="296">
        <f t="shared" si="5"/>
        <v>39655000.000000007</v>
      </c>
      <c r="AY19" s="296">
        <v>0</v>
      </c>
      <c r="AZ19" s="296">
        <v>0</v>
      </c>
      <c r="BA19" s="296">
        <v>0</v>
      </c>
      <c r="BB19" s="295">
        <f t="shared" si="6"/>
        <v>39655000.000000007</v>
      </c>
    </row>
    <row r="20" spans="1:54" hidden="1">
      <c r="A20" s="228" t="s">
        <v>327</v>
      </c>
      <c r="B20" s="229" t="s">
        <v>328</v>
      </c>
      <c r="C20" s="229" t="s">
        <v>328</v>
      </c>
      <c r="D20" s="229">
        <v>380</v>
      </c>
      <c r="E20" s="230">
        <v>380</v>
      </c>
      <c r="F20" s="231">
        <v>7673</v>
      </c>
      <c r="G20" s="228" t="s">
        <v>329</v>
      </c>
      <c r="H20" s="228" t="s">
        <v>330</v>
      </c>
      <c r="I20" s="228" t="s">
        <v>331</v>
      </c>
      <c r="J20" s="228" t="s">
        <v>332</v>
      </c>
      <c r="K20" s="228" t="s">
        <v>333</v>
      </c>
      <c r="L20" s="228" t="s">
        <v>334</v>
      </c>
      <c r="M20" s="228" t="s">
        <v>335</v>
      </c>
      <c r="N20" s="228" t="s">
        <v>336</v>
      </c>
      <c r="O20" s="228" t="s">
        <v>337</v>
      </c>
      <c r="P20" s="228" t="s">
        <v>338</v>
      </c>
      <c r="Q20" s="232">
        <v>1</v>
      </c>
      <c r="R20" s="228" t="s">
        <v>356</v>
      </c>
      <c r="S20" s="228" t="s">
        <v>357</v>
      </c>
      <c r="T20" s="229">
        <v>80111620</v>
      </c>
      <c r="U20" s="228" t="s">
        <v>358</v>
      </c>
      <c r="V20" s="229">
        <v>1</v>
      </c>
      <c r="W20" s="229">
        <v>1</v>
      </c>
      <c r="X20" s="229">
        <v>330</v>
      </c>
      <c r="Y20" s="234" t="s">
        <v>342</v>
      </c>
      <c r="Z20" s="235" t="s">
        <v>343</v>
      </c>
      <c r="AA20" s="331">
        <v>39655000</v>
      </c>
      <c r="AB20" s="236">
        <v>3605000</v>
      </c>
      <c r="AC20" s="235" t="s">
        <v>359</v>
      </c>
      <c r="AD20" s="235" t="s">
        <v>345</v>
      </c>
      <c r="AE20" s="243"/>
      <c r="AF20" s="238"/>
      <c r="AG20" s="241"/>
      <c r="AH20" s="298"/>
      <c r="AI20" s="355">
        <f t="shared" si="0"/>
        <v>1201666.6666666667</v>
      </c>
      <c r="AJ20" s="355">
        <f t="shared" si="1"/>
        <v>3605000</v>
      </c>
      <c r="AK20" s="355">
        <v>3605000</v>
      </c>
      <c r="AL20" s="355">
        <v>3605000</v>
      </c>
      <c r="AM20" s="325">
        <v>3605000</v>
      </c>
      <c r="AN20" s="325">
        <v>3605000</v>
      </c>
      <c r="AO20" s="325">
        <v>3605000</v>
      </c>
      <c r="AP20" s="325">
        <v>3605000</v>
      </c>
      <c r="AQ20" s="325">
        <v>3605000</v>
      </c>
      <c r="AR20" s="325">
        <v>3605000</v>
      </c>
      <c r="AS20" s="325">
        <v>3605000</v>
      </c>
      <c r="AT20" s="325">
        <f t="shared" si="2"/>
        <v>2403333.3333333335</v>
      </c>
      <c r="AU20" s="322">
        <f t="shared" si="3"/>
        <v>39655000.000000007</v>
      </c>
      <c r="AV20" s="299">
        <f t="shared" si="4"/>
        <v>0</v>
      </c>
      <c r="AX20" s="296">
        <f t="shared" si="5"/>
        <v>39655000.000000007</v>
      </c>
      <c r="AY20" s="296">
        <v>0</v>
      </c>
      <c r="AZ20" s="296">
        <v>0</v>
      </c>
      <c r="BA20" s="296">
        <v>0</v>
      </c>
      <c r="BB20" s="295">
        <f t="shared" si="6"/>
        <v>39655000.000000007</v>
      </c>
    </row>
    <row r="21" spans="1:54" hidden="1">
      <c r="A21" s="228" t="s">
        <v>327</v>
      </c>
      <c r="B21" s="229" t="s">
        <v>328</v>
      </c>
      <c r="C21" s="229" t="s">
        <v>328</v>
      </c>
      <c r="D21" s="229">
        <v>381</v>
      </c>
      <c r="E21" s="230">
        <v>381</v>
      </c>
      <c r="F21" s="231">
        <v>7673</v>
      </c>
      <c r="G21" s="228" t="s">
        <v>329</v>
      </c>
      <c r="H21" s="228" t="s">
        <v>330</v>
      </c>
      <c r="I21" s="228" t="s">
        <v>331</v>
      </c>
      <c r="J21" s="228" t="s">
        <v>332</v>
      </c>
      <c r="K21" s="228" t="s">
        <v>333</v>
      </c>
      <c r="L21" s="228" t="s">
        <v>334</v>
      </c>
      <c r="M21" s="228" t="s">
        <v>335</v>
      </c>
      <c r="N21" s="228" t="s">
        <v>336</v>
      </c>
      <c r="O21" s="228" t="s">
        <v>337</v>
      </c>
      <c r="P21" s="228" t="s">
        <v>338</v>
      </c>
      <c r="Q21" s="232">
        <v>1</v>
      </c>
      <c r="R21" s="228" t="s">
        <v>356</v>
      </c>
      <c r="S21" s="228" t="s">
        <v>357</v>
      </c>
      <c r="T21" s="229">
        <v>80111620</v>
      </c>
      <c r="U21" s="228" t="s">
        <v>358</v>
      </c>
      <c r="V21" s="229">
        <v>1</v>
      </c>
      <c r="W21" s="229">
        <v>1</v>
      </c>
      <c r="X21" s="229">
        <v>330</v>
      </c>
      <c r="Y21" s="234" t="s">
        <v>342</v>
      </c>
      <c r="Z21" s="235" t="s">
        <v>343</v>
      </c>
      <c r="AA21" s="331">
        <v>39655000</v>
      </c>
      <c r="AB21" s="236">
        <v>3605000</v>
      </c>
      <c r="AC21" s="235" t="s">
        <v>359</v>
      </c>
      <c r="AD21" s="235" t="s">
        <v>345</v>
      </c>
      <c r="AE21" s="237"/>
      <c r="AF21" s="238"/>
      <c r="AG21" s="239"/>
      <c r="AH21" s="297"/>
      <c r="AI21" s="355">
        <f t="shared" si="0"/>
        <v>1201666.6666666667</v>
      </c>
      <c r="AJ21" s="355">
        <f t="shared" si="1"/>
        <v>3605000</v>
      </c>
      <c r="AK21" s="355">
        <v>3605000</v>
      </c>
      <c r="AL21" s="355">
        <v>3605000</v>
      </c>
      <c r="AM21" s="325">
        <v>3605000</v>
      </c>
      <c r="AN21" s="325">
        <v>3605000</v>
      </c>
      <c r="AO21" s="325">
        <v>3605000</v>
      </c>
      <c r="AP21" s="325">
        <v>3605000</v>
      </c>
      <c r="AQ21" s="325">
        <v>3605000</v>
      </c>
      <c r="AR21" s="325">
        <v>3605000</v>
      </c>
      <c r="AS21" s="325">
        <v>3605000</v>
      </c>
      <c r="AT21" s="325">
        <f t="shared" si="2"/>
        <v>2403333.3333333335</v>
      </c>
      <c r="AU21" s="322">
        <f t="shared" si="3"/>
        <v>39655000.000000007</v>
      </c>
      <c r="AV21" s="299">
        <f t="shared" si="4"/>
        <v>0</v>
      </c>
      <c r="AX21" s="296">
        <f t="shared" si="5"/>
        <v>39655000.000000007</v>
      </c>
      <c r="AY21" s="296">
        <v>0</v>
      </c>
      <c r="AZ21" s="296">
        <v>0</v>
      </c>
      <c r="BA21" s="296">
        <v>0</v>
      </c>
      <c r="BB21" s="295">
        <f t="shared" si="6"/>
        <v>39655000.000000007</v>
      </c>
    </row>
    <row r="22" spans="1:54" hidden="1">
      <c r="A22" s="228" t="s">
        <v>327</v>
      </c>
      <c r="B22" s="229" t="s">
        <v>328</v>
      </c>
      <c r="C22" s="229" t="s">
        <v>328</v>
      </c>
      <c r="D22" s="229">
        <v>382</v>
      </c>
      <c r="E22" s="230">
        <v>382</v>
      </c>
      <c r="F22" s="231">
        <v>7673</v>
      </c>
      <c r="G22" s="228" t="s">
        <v>329</v>
      </c>
      <c r="H22" s="228" t="s">
        <v>330</v>
      </c>
      <c r="I22" s="228" t="s">
        <v>331</v>
      </c>
      <c r="J22" s="228" t="s">
        <v>332</v>
      </c>
      <c r="K22" s="228" t="s">
        <v>333</v>
      </c>
      <c r="L22" s="228" t="s">
        <v>334</v>
      </c>
      <c r="M22" s="228" t="s">
        <v>335</v>
      </c>
      <c r="N22" s="228" t="s">
        <v>336</v>
      </c>
      <c r="O22" s="228" t="s">
        <v>337</v>
      </c>
      <c r="P22" s="228" t="s">
        <v>338</v>
      </c>
      <c r="Q22" s="232">
        <v>1</v>
      </c>
      <c r="R22" s="228" t="s">
        <v>356</v>
      </c>
      <c r="S22" s="228" t="s">
        <v>357</v>
      </c>
      <c r="T22" s="229">
        <v>80111620</v>
      </c>
      <c r="U22" s="228" t="s">
        <v>358</v>
      </c>
      <c r="V22" s="229">
        <v>1</v>
      </c>
      <c r="W22" s="229">
        <v>1</v>
      </c>
      <c r="X22" s="229">
        <v>330</v>
      </c>
      <c r="Y22" s="234" t="s">
        <v>342</v>
      </c>
      <c r="Z22" s="235" t="s">
        <v>343</v>
      </c>
      <c r="AA22" s="331">
        <v>39655000</v>
      </c>
      <c r="AB22" s="236">
        <v>3605000</v>
      </c>
      <c r="AC22" s="235" t="s">
        <v>359</v>
      </c>
      <c r="AD22" s="235" t="s">
        <v>345</v>
      </c>
      <c r="AE22" s="243"/>
      <c r="AF22" s="238"/>
      <c r="AG22" s="241"/>
      <c r="AH22" s="298"/>
      <c r="AI22" s="355">
        <f t="shared" si="0"/>
        <v>1201666.6666666667</v>
      </c>
      <c r="AJ22" s="355">
        <f t="shared" si="1"/>
        <v>3605000</v>
      </c>
      <c r="AK22" s="355">
        <v>3605000</v>
      </c>
      <c r="AL22" s="355">
        <v>3605000</v>
      </c>
      <c r="AM22" s="325">
        <v>3605000</v>
      </c>
      <c r="AN22" s="325">
        <v>3605000</v>
      </c>
      <c r="AO22" s="325">
        <v>3605000</v>
      </c>
      <c r="AP22" s="325">
        <v>3605000</v>
      </c>
      <c r="AQ22" s="325">
        <v>3605000</v>
      </c>
      <c r="AR22" s="325">
        <v>3605000</v>
      </c>
      <c r="AS22" s="325">
        <v>3605000</v>
      </c>
      <c r="AT22" s="325">
        <f t="shared" si="2"/>
        <v>2403333.3333333335</v>
      </c>
      <c r="AU22" s="322">
        <f t="shared" si="3"/>
        <v>39655000.000000007</v>
      </c>
      <c r="AV22" s="299">
        <f t="shared" si="4"/>
        <v>0</v>
      </c>
      <c r="AX22" s="296">
        <f t="shared" si="5"/>
        <v>39655000.000000007</v>
      </c>
      <c r="AY22" s="296">
        <v>0</v>
      </c>
      <c r="AZ22" s="296">
        <v>0</v>
      </c>
      <c r="BA22" s="296">
        <v>0</v>
      </c>
      <c r="BB22" s="295">
        <f t="shared" si="6"/>
        <v>39655000.000000007</v>
      </c>
    </row>
    <row r="23" spans="1:54" hidden="1">
      <c r="A23" s="228" t="s">
        <v>327</v>
      </c>
      <c r="B23" s="229" t="s">
        <v>328</v>
      </c>
      <c r="C23" s="229" t="s">
        <v>328</v>
      </c>
      <c r="D23" s="229">
        <v>383</v>
      </c>
      <c r="E23" s="230">
        <v>383</v>
      </c>
      <c r="F23" s="231">
        <v>7673</v>
      </c>
      <c r="G23" s="228" t="s">
        <v>329</v>
      </c>
      <c r="H23" s="228" t="s">
        <v>330</v>
      </c>
      <c r="I23" s="228" t="s">
        <v>331</v>
      </c>
      <c r="J23" s="228" t="s">
        <v>332</v>
      </c>
      <c r="K23" s="228" t="s">
        <v>333</v>
      </c>
      <c r="L23" s="228" t="s">
        <v>334</v>
      </c>
      <c r="M23" s="228" t="s">
        <v>335</v>
      </c>
      <c r="N23" s="228" t="s">
        <v>336</v>
      </c>
      <c r="O23" s="228" t="s">
        <v>337</v>
      </c>
      <c r="P23" s="228" t="s">
        <v>338</v>
      </c>
      <c r="Q23" s="232">
        <v>1</v>
      </c>
      <c r="R23" s="228" t="s">
        <v>356</v>
      </c>
      <c r="S23" s="228" t="s">
        <v>357</v>
      </c>
      <c r="T23" s="229">
        <v>80111620</v>
      </c>
      <c r="U23" s="228" t="s">
        <v>358</v>
      </c>
      <c r="V23" s="229">
        <v>1</v>
      </c>
      <c r="W23" s="229">
        <v>1</v>
      </c>
      <c r="X23" s="229">
        <v>330</v>
      </c>
      <c r="Y23" s="234" t="s">
        <v>342</v>
      </c>
      <c r="Z23" s="235" t="s">
        <v>343</v>
      </c>
      <c r="AA23" s="331">
        <v>39655000</v>
      </c>
      <c r="AB23" s="236">
        <v>3605000</v>
      </c>
      <c r="AC23" s="235" t="s">
        <v>359</v>
      </c>
      <c r="AD23" s="235" t="s">
        <v>345</v>
      </c>
      <c r="AE23" s="243"/>
      <c r="AF23" s="238"/>
      <c r="AG23" s="241"/>
      <c r="AH23" s="298"/>
      <c r="AI23" s="355">
        <f t="shared" si="0"/>
        <v>1201666.6666666667</v>
      </c>
      <c r="AJ23" s="355">
        <f t="shared" si="1"/>
        <v>3605000</v>
      </c>
      <c r="AK23" s="355">
        <v>3605000</v>
      </c>
      <c r="AL23" s="355">
        <v>3605000</v>
      </c>
      <c r="AM23" s="325">
        <v>3605000</v>
      </c>
      <c r="AN23" s="325">
        <v>3605000</v>
      </c>
      <c r="AO23" s="325">
        <v>3605000</v>
      </c>
      <c r="AP23" s="325">
        <v>3605000</v>
      </c>
      <c r="AQ23" s="325">
        <v>3605000</v>
      </c>
      <c r="AR23" s="325">
        <v>3605000</v>
      </c>
      <c r="AS23" s="325">
        <v>3605000</v>
      </c>
      <c r="AT23" s="325">
        <f t="shared" si="2"/>
        <v>2403333.3333333335</v>
      </c>
      <c r="AU23" s="322">
        <f t="shared" si="3"/>
        <v>39655000.000000007</v>
      </c>
      <c r="AV23" s="299">
        <f t="shared" si="4"/>
        <v>0</v>
      </c>
      <c r="AX23" s="296">
        <f t="shared" si="5"/>
        <v>39655000.000000007</v>
      </c>
      <c r="AY23" s="296">
        <v>0</v>
      </c>
      <c r="AZ23" s="296">
        <v>0</v>
      </c>
      <c r="BA23" s="296">
        <v>0</v>
      </c>
      <c r="BB23" s="295">
        <f t="shared" si="6"/>
        <v>39655000.000000007</v>
      </c>
    </row>
    <row r="24" spans="1:54" hidden="1">
      <c r="A24" s="228" t="s">
        <v>327</v>
      </c>
      <c r="B24" s="229" t="s">
        <v>328</v>
      </c>
      <c r="C24" s="229" t="s">
        <v>328</v>
      </c>
      <c r="D24" s="229">
        <v>384</v>
      </c>
      <c r="E24" s="230">
        <v>384</v>
      </c>
      <c r="F24" s="231">
        <v>7673</v>
      </c>
      <c r="G24" s="228" t="s">
        <v>329</v>
      </c>
      <c r="H24" s="228" t="s">
        <v>330</v>
      </c>
      <c r="I24" s="228" t="s">
        <v>331</v>
      </c>
      <c r="J24" s="228" t="s">
        <v>332</v>
      </c>
      <c r="K24" s="228" t="s">
        <v>333</v>
      </c>
      <c r="L24" s="228" t="s">
        <v>334</v>
      </c>
      <c r="M24" s="228" t="s">
        <v>335</v>
      </c>
      <c r="N24" s="228" t="s">
        <v>336</v>
      </c>
      <c r="O24" s="228" t="s">
        <v>337</v>
      </c>
      <c r="P24" s="228" t="s">
        <v>338</v>
      </c>
      <c r="Q24" s="232">
        <v>1</v>
      </c>
      <c r="R24" s="228" t="s">
        <v>356</v>
      </c>
      <c r="S24" s="228" t="s">
        <v>357</v>
      </c>
      <c r="T24" s="229">
        <v>80111620</v>
      </c>
      <c r="U24" s="228" t="s">
        <v>358</v>
      </c>
      <c r="V24" s="229">
        <v>1</v>
      </c>
      <c r="W24" s="229">
        <v>1</v>
      </c>
      <c r="X24" s="229">
        <v>330</v>
      </c>
      <c r="Y24" s="234" t="s">
        <v>342</v>
      </c>
      <c r="Z24" s="235" t="s">
        <v>343</v>
      </c>
      <c r="AA24" s="331">
        <v>39655000</v>
      </c>
      <c r="AB24" s="236">
        <v>3605000</v>
      </c>
      <c r="AC24" s="235" t="s">
        <v>359</v>
      </c>
      <c r="AD24" s="235" t="s">
        <v>345</v>
      </c>
      <c r="AE24" s="243"/>
      <c r="AF24" s="238"/>
      <c r="AG24" s="241"/>
      <c r="AH24" s="298"/>
      <c r="AI24" s="355">
        <f t="shared" si="0"/>
        <v>1201666.6666666667</v>
      </c>
      <c r="AJ24" s="355">
        <f t="shared" si="1"/>
        <v>3605000</v>
      </c>
      <c r="AK24" s="355">
        <v>3605000</v>
      </c>
      <c r="AL24" s="355">
        <v>3605000</v>
      </c>
      <c r="AM24" s="325">
        <v>3605000</v>
      </c>
      <c r="AN24" s="325">
        <v>3605000</v>
      </c>
      <c r="AO24" s="325">
        <v>3605000</v>
      </c>
      <c r="AP24" s="325">
        <v>3605000</v>
      </c>
      <c r="AQ24" s="325">
        <v>3605000</v>
      </c>
      <c r="AR24" s="325">
        <v>3605000</v>
      </c>
      <c r="AS24" s="325">
        <v>3605000</v>
      </c>
      <c r="AT24" s="325">
        <f t="shared" si="2"/>
        <v>2403333.3333333335</v>
      </c>
      <c r="AU24" s="322">
        <f t="shared" si="3"/>
        <v>39655000.000000007</v>
      </c>
      <c r="AV24" s="299">
        <f t="shared" si="4"/>
        <v>0</v>
      </c>
      <c r="AX24" s="296">
        <f t="shared" si="5"/>
        <v>39655000.000000007</v>
      </c>
      <c r="AY24" s="296">
        <v>0</v>
      </c>
      <c r="AZ24" s="296">
        <v>0</v>
      </c>
      <c r="BA24" s="296">
        <v>0</v>
      </c>
      <c r="BB24" s="295">
        <f t="shared" si="6"/>
        <v>39655000.000000007</v>
      </c>
    </row>
    <row r="25" spans="1:54" hidden="1">
      <c r="A25" s="228" t="s">
        <v>327</v>
      </c>
      <c r="B25" s="229" t="s">
        <v>328</v>
      </c>
      <c r="C25" s="229" t="s">
        <v>328</v>
      </c>
      <c r="D25" s="229">
        <v>385</v>
      </c>
      <c r="E25" s="230">
        <v>385</v>
      </c>
      <c r="F25" s="231">
        <v>7673</v>
      </c>
      <c r="G25" s="228" t="s">
        <v>329</v>
      </c>
      <c r="H25" s="228" t="s">
        <v>330</v>
      </c>
      <c r="I25" s="228" t="s">
        <v>331</v>
      </c>
      <c r="J25" s="228" t="s">
        <v>332</v>
      </c>
      <c r="K25" s="228" t="s">
        <v>333</v>
      </c>
      <c r="L25" s="228" t="s">
        <v>334</v>
      </c>
      <c r="M25" s="228" t="s">
        <v>335</v>
      </c>
      <c r="N25" s="228" t="s">
        <v>336</v>
      </c>
      <c r="O25" s="228" t="s">
        <v>337</v>
      </c>
      <c r="P25" s="228" t="s">
        <v>338</v>
      </c>
      <c r="Q25" s="232">
        <v>1</v>
      </c>
      <c r="R25" s="228" t="s">
        <v>356</v>
      </c>
      <c r="S25" s="228" t="s">
        <v>357</v>
      </c>
      <c r="T25" s="229">
        <v>80111620</v>
      </c>
      <c r="U25" s="228" t="s">
        <v>358</v>
      </c>
      <c r="V25" s="229">
        <v>1</v>
      </c>
      <c r="W25" s="229">
        <v>1</v>
      </c>
      <c r="X25" s="229">
        <v>330</v>
      </c>
      <c r="Y25" s="234" t="s">
        <v>342</v>
      </c>
      <c r="Z25" s="235" t="s">
        <v>343</v>
      </c>
      <c r="AA25" s="331">
        <v>39655000</v>
      </c>
      <c r="AB25" s="236">
        <v>3605000</v>
      </c>
      <c r="AC25" s="235" t="s">
        <v>359</v>
      </c>
      <c r="AD25" s="235" t="s">
        <v>345</v>
      </c>
      <c r="AE25" s="243"/>
      <c r="AF25" s="238"/>
      <c r="AG25" s="241"/>
      <c r="AH25" s="298"/>
      <c r="AI25" s="355">
        <f t="shared" si="0"/>
        <v>1201666.6666666667</v>
      </c>
      <c r="AJ25" s="355">
        <f t="shared" si="1"/>
        <v>3605000</v>
      </c>
      <c r="AK25" s="355">
        <v>3605000</v>
      </c>
      <c r="AL25" s="355">
        <v>3605000</v>
      </c>
      <c r="AM25" s="325">
        <v>3605000</v>
      </c>
      <c r="AN25" s="325">
        <v>3605000</v>
      </c>
      <c r="AO25" s="325">
        <v>3605000</v>
      </c>
      <c r="AP25" s="325">
        <v>3605000</v>
      </c>
      <c r="AQ25" s="325">
        <v>3605000</v>
      </c>
      <c r="AR25" s="325">
        <v>3605000</v>
      </c>
      <c r="AS25" s="325">
        <v>3605000</v>
      </c>
      <c r="AT25" s="325">
        <f t="shared" si="2"/>
        <v>2403333.3333333335</v>
      </c>
      <c r="AU25" s="322">
        <f t="shared" si="3"/>
        <v>39655000.000000007</v>
      </c>
      <c r="AV25" s="299">
        <f t="shared" si="4"/>
        <v>0</v>
      </c>
      <c r="AX25" s="296">
        <f t="shared" si="5"/>
        <v>39655000.000000007</v>
      </c>
      <c r="AY25" s="296">
        <v>0</v>
      </c>
      <c r="AZ25" s="296">
        <v>0</v>
      </c>
      <c r="BA25" s="296">
        <v>0</v>
      </c>
      <c r="BB25" s="295">
        <f t="shared" si="6"/>
        <v>39655000.000000007</v>
      </c>
    </row>
    <row r="26" spans="1:54" hidden="1">
      <c r="A26" s="228" t="s">
        <v>327</v>
      </c>
      <c r="B26" s="229" t="s">
        <v>328</v>
      </c>
      <c r="C26" s="229" t="s">
        <v>328</v>
      </c>
      <c r="D26" s="229">
        <v>386</v>
      </c>
      <c r="E26" s="230">
        <v>386</v>
      </c>
      <c r="F26" s="231">
        <v>7673</v>
      </c>
      <c r="G26" s="228" t="s">
        <v>329</v>
      </c>
      <c r="H26" s="228" t="s">
        <v>330</v>
      </c>
      <c r="I26" s="228" t="s">
        <v>331</v>
      </c>
      <c r="J26" s="228" t="s">
        <v>332</v>
      </c>
      <c r="K26" s="228" t="s">
        <v>333</v>
      </c>
      <c r="L26" s="228" t="s">
        <v>334</v>
      </c>
      <c r="M26" s="228" t="s">
        <v>335</v>
      </c>
      <c r="N26" s="228" t="s">
        <v>336</v>
      </c>
      <c r="O26" s="228" t="s">
        <v>337</v>
      </c>
      <c r="P26" s="228" t="s">
        <v>338</v>
      </c>
      <c r="Q26" s="232">
        <v>1</v>
      </c>
      <c r="R26" s="228" t="s">
        <v>356</v>
      </c>
      <c r="S26" s="228" t="s">
        <v>357</v>
      </c>
      <c r="T26" s="229">
        <v>80111620</v>
      </c>
      <c r="U26" s="228" t="s">
        <v>358</v>
      </c>
      <c r="V26" s="229">
        <v>1</v>
      </c>
      <c r="W26" s="229">
        <v>1</v>
      </c>
      <c r="X26" s="229">
        <v>330</v>
      </c>
      <c r="Y26" s="234" t="s">
        <v>342</v>
      </c>
      <c r="Z26" s="235" t="s">
        <v>343</v>
      </c>
      <c r="AA26" s="331">
        <v>39655000</v>
      </c>
      <c r="AB26" s="236">
        <v>3605000</v>
      </c>
      <c r="AC26" s="235" t="s">
        <v>359</v>
      </c>
      <c r="AD26" s="235" t="s">
        <v>345</v>
      </c>
      <c r="AE26" s="243"/>
      <c r="AF26" s="238"/>
      <c r="AG26" s="241"/>
      <c r="AH26" s="298"/>
      <c r="AI26" s="355">
        <f t="shared" si="0"/>
        <v>1201666.6666666667</v>
      </c>
      <c r="AJ26" s="355">
        <f t="shared" si="1"/>
        <v>3605000</v>
      </c>
      <c r="AK26" s="355">
        <v>3605000</v>
      </c>
      <c r="AL26" s="355">
        <v>3605000</v>
      </c>
      <c r="AM26" s="325">
        <v>3605000</v>
      </c>
      <c r="AN26" s="325">
        <v>3605000</v>
      </c>
      <c r="AO26" s="325">
        <v>3605000</v>
      </c>
      <c r="AP26" s="325">
        <v>3605000</v>
      </c>
      <c r="AQ26" s="325">
        <v>3605000</v>
      </c>
      <c r="AR26" s="325">
        <v>3605000</v>
      </c>
      <c r="AS26" s="325">
        <v>3605000</v>
      </c>
      <c r="AT26" s="325">
        <f t="shared" si="2"/>
        <v>2403333.3333333335</v>
      </c>
      <c r="AU26" s="322">
        <f t="shared" si="3"/>
        <v>39655000.000000007</v>
      </c>
      <c r="AV26" s="299">
        <f t="shared" si="4"/>
        <v>0</v>
      </c>
      <c r="AX26" s="296">
        <f t="shared" si="5"/>
        <v>39655000.000000007</v>
      </c>
      <c r="AY26" s="296">
        <v>0</v>
      </c>
      <c r="AZ26" s="296">
        <v>0</v>
      </c>
      <c r="BA26" s="296">
        <v>0</v>
      </c>
      <c r="BB26" s="295">
        <f t="shared" si="6"/>
        <v>39655000.000000007</v>
      </c>
    </row>
    <row r="27" spans="1:54" hidden="1">
      <c r="A27" s="228" t="s">
        <v>327</v>
      </c>
      <c r="B27" s="229" t="s">
        <v>328</v>
      </c>
      <c r="C27" s="229" t="s">
        <v>328</v>
      </c>
      <c r="D27" s="229">
        <v>387</v>
      </c>
      <c r="E27" s="230">
        <v>387</v>
      </c>
      <c r="F27" s="231">
        <v>7673</v>
      </c>
      <c r="G27" s="228" t="s">
        <v>329</v>
      </c>
      <c r="H27" s="228" t="s">
        <v>330</v>
      </c>
      <c r="I27" s="228" t="s">
        <v>331</v>
      </c>
      <c r="J27" s="228" t="s">
        <v>332</v>
      </c>
      <c r="K27" s="228" t="s">
        <v>333</v>
      </c>
      <c r="L27" s="228" t="s">
        <v>334</v>
      </c>
      <c r="M27" s="228" t="s">
        <v>335</v>
      </c>
      <c r="N27" s="228" t="s">
        <v>336</v>
      </c>
      <c r="O27" s="228" t="s">
        <v>337</v>
      </c>
      <c r="P27" s="228" t="s">
        <v>338</v>
      </c>
      <c r="Q27" s="232">
        <v>1</v>
      </c>
      <c r="R27" s="228" t="s">
        <v>356</v>
      </c>
      <c r="S27" s="228" t="s">
        <v>357</v>
      </c>
      <c r="T27" s="229">
        <v>80111620</v>
      </c>
      <c r="U27" s="228" t="s">
        <v>358</v>
      </c>
      <c r="V27" s="229">
        <v>1</v>
      </c>
      <c r="W27" s="229">
        <v>1</v>
      </c>
      <c r="X27" s="229">
        <v>330</v>
      </c>
      <c r="Y27" s="234" t="s">
        <v>342</v>
      </c>
      <c r="Z27" s="235" t="s">
        <v>343</v>
      </c>
      <c r="AA27" s="331">
        <v>39655000</v>
      </c>
      <c r="AB27" s="236">
        <v>3605000</v>
      </c>
      <c r="AC27" s="235" t="s">
        <v>359</v>
      </c>
      <c r="AD27" s="235" t="s">
        <v>345</v>
      </c>
      <c r="AE27" s="244"/>
      <c r="AF27" s="238"/>
      <c r="AG27" s="239"/>
      <c r="AH27" s="297"/>
      <c r="AI27" s="355">
        <f t="shared" si="0"/>
        <v>1201666.6666666667</v>
      </c>
      <c r="AJ27" s="355">
        <f t="shared" si="1"/>
        <v>3605000</v>
      </c>
      <c r="AK27" s="355">
        <v>3605000</v>
      </c>
      <c r="AL27" s="355">
        <v>3605000</v>
      </c>
      <c r="AM27" s="325">
        <v>3605000</v>
      </c>
      <c r="AN27" s="325">
        <v>3605000</v>
      </c>
      <c r="AO27" s="325">
        <v>3605000</v>
      </c>
      <c r="AP27" s="325">
        <v>3605000</v>
      </c>
      <c r="AQ27" s="325">
        <v>3605000</v>
      </c>
      <c r="AR27" s="325">
        <v>3605000</v>
      </c>
      <c r="AS27" s="325">
        <v>3605000</v>
      </c>
      <c r="AT27" s="325">
        <f t="shared" si="2"/>
        <v>2403333.3333333335</v>
      </c>
      <c r="AU27" s="322">
        <f t="shared" si="3"/>
        <v>39655000.000000007</v>
      </c>
      <c r="AV27" s="299">
        <f t="shared" si="4"/>
        <v>0</v>
      </c>
      <c r="AX27" s="296">
        <f t="shared" si="5"/>
        <v>39655000.000000007</v>
      </c>
      <c r="AY27" s="296">
        <v>0</v>
      </c>
      <c r="AZ27" s="296">
        <v>0</v>
      </c>
      <c r="BA27" s="296">
        <v>0</v>
      </c>
      <c r="BB27" s="295">
        <f t="shared" si="6"/>
        <v>39655000.000000007</v>
      </c>
    </row>
    <row r="28" spans="1:54" hidden="1">
      <c r="A28" s="228" t="s">
        <v>327</v>
      </c>
      <c r="B28" s="229" t="s">
        <v>328</v>
      </c>
      <c r="C28" s="229" t="s">
        <v>328</v>
      </c>
      <c r="D28" s="229">
        <v>388</v>
      </c>
      <c r="E28" s="230">
        <v>388</v>
      </c>
      <c r="F28" s="231">
        <v>7673</v>
      </c>
      <c r="G28" s="228" t="s">
        <v>329</v>
      </c>
      <c r="H28" s="228" t="s">
        <v>330</v>
      </c>
      <c r="I28" s="228" t="s">
        <v>331</v>
      </c>
      <c r="J28" s="228" t="s">
        <v>332</v>
      </c>
      <c r="K28" s="228" t="s">
        <v>333</v>
      </c>
      <c r="L28" s="228" t="s">
        <v>334</v>
      </c>
      <c r="M28" s="228" t="s">
        <v>335</v>
      </c>
      <c r="N28" s="228" t="s">
        <v>336</v>
      </c>
      <c r="O28" s="228" t="s">
        <v>337</v>
      </c>
      <c r="P28" s="228" t="s">
        <v>338</v>
      </c>
      <c r="Q28" s="232">
        <v>1</v>
      </c>
      <c r="R28" s="228" t="s">
        <v>356</v>
      </c>
      <c r="S28" s="228" t="s">
        <v>357</v>
      </c>
      <c r="T28" s="229">
        <v>80111620</v>
      </c>
      <c r="U28" s="228" t="s">
        <v>360</v>
      </c>
      <c r="V28" s="229">
        <v>1</v>
      </c>
      <c r="W28" s="229">
        <v>1</v>
      </c>
      <c r="X28" s="229">
        <v>330</v>
      </c>
      <c r="Y28" s="234" t="s">
        <v>342</v>
      </c>
      <c r="Z28" s="235" t="s">
        <v>343</v>
      </c>
      <c r="AA28" s="331">
        <v>39655000</v>
      </c>
      <c r="AB28" s="236">
        <v>3605000</v>
      </c>
      <c r="AC28" s="235" t="s">
        <v>361</v>
      </c>
      <c r="AD28" s="235" t="s">
        <v>345</v>
      </c>
      <c r="AE28" s="237"/>
      <c r="AF28" s="238"/>
      <c r="AG28" s="239"/>
      <c r="AH28" s="297"/>
      <c r="AI28" s="355">
        <f t="shared" si="0"/>
        <v>1201666.6666666667</v>
      </c>
      <c r="AJ28" s="355">
        <f t="shared" si="1"/>
        <v>3605000</v>
      </c>
      <c r="AK28" s="355">
        <v>3605000</v>
      </c>
      <c r="AL28" s="355">
        <v>3605000</v>
      </c>
      <c r="AM28" s="325">
        <v>3605000</v>
      </c>
      <c r="AN28" s="325">
        <v>3605000</v>
      </c>
      <c r="AO28" s="325">
        <v>3605000</v>
      </c>
      <c r="AP28" s="325">
        <v>3605000</v>
      </c>
      <c r="AQ28" s="325">
        <v>3605000</v>
      </c>
      <c r="AR28" s="325">
        <v>3605000</v>
      </c>
      <c r="AS28" s="325">
        <v>3605000</v>
      </c>
      <c r="AT28" s="325">
        <f t="shared" si="2"/>
        <v>2403333.3333333335</v>
      </c>
      <c r="AU28" s="322">
        <f t="shared" si="3"/>
        <v>39655000.000000007</v>
      </c>
      <c r="AV28" s="299">
        <f t="shared" si="4"/>
        <v>0</v>
      </c>
      <c r="AX28" s="296">
        <f t="shared" si="5"/>
        <v>39655000.000000007</v>
      </c>
      <c r="AY28" s="296">
        <v>0</v>
      </c>
      <c r="AZ28" s="296">
        <v>0</v>
      </c>
      <c r="BA28" s="296">
        <v>0</v>
      </c>
      <c r="BB28" s="295">
        <f t="shared" si="6"/>
        <v>39655000.000000007</v>
      </c>
    </row>
    <row r="29" spans="1:54" hidden="1">
      <c r="A29" s="228" t="s">
        <v>327</v>
      </c>
      <c r="B29" s="229" t="s">
        <v>328</v>
      </c>
      <c r="C29" s="229" t="s">
        <v>328</v>
      </c>
      <c r="D29" s="229">
        <v>389</v>
      </c>
      <c r="E29" s="230">
        <v>389</v>
      </c>
      <c r="F29" s="231">
        <v>7673</v>
      </c>
      <c r="G29" s="228" t="s">
        <v>329</v>
      </c>
      <c r="H29" s="228" t="s">
        <v>330</v>
      </c>
      <c r="I29" s="228" t="s">
        <v>331</v>
      </c>
      <c r="J29" s="228" t="s">
        <v>332</v>
      </c>
      <c r="K29" s="228" t="s">
        <v>333</v>
      </c>
      <c r="L29" s="228" t="s">
        <v>334</v>
      </c>
      <c r="M29" s="228" t="s">
        <v>335</v>
      </c>
      <c r="N29" s="228" t="s">
        <v>336</v>
      </c>
      <c r="O29" s="228" t="s">
        <v>337</v>
      </c>
      <c r="P29" s="228" t="s">
        <v>338</v>
      </c>
      <c r="Q29" s="232">
        <v>1</v>
      </c>
      <c r="R29" s="228" t="s">
        <v>356</v>
      </c>
      <c r="S29" s="228" t="s">
        <v>357</v>
      </c>
      <c r="T29" s="229">
        <v>80111620</v>
      </c>
      <c r="U29" s="228" t="s">
        <v>360</v>
      </c>
      <c r="V29" s="229">
        <v>1</v>
      </c>
      <c r="W29" s="229">
        <v>1</v>
      </c>
      <c r="X29" s="229">
        <v>330</v>
      </c>
      <c r="Y29" s="234" t="s">
        <v>342</v>
      </c>
      <c r="Z29" s="235" t="s">
        <v>343</v>
      </c>
      <c r="AA29" s="331">
        <v>39655000</v>
      </c>
      <c r="AB29" s="236">
        <v>3605000</v>
      </c>
      <c r="AC29" s="235" t="s">
        <v>361</v>
      </c>
      <c r="AD29" s="235" t="s">
        <v>345</v>
      </c>
      <c r="AE29" s="237"/>
      <c r="AF29" s="238"/>
      <c r="AG29" s="239"/>
      <c r="AH29" s="297"/>
      <c r="AI29" s="355">
        <f t="shared" si="0"/>
        <v>1201666.6666666667</v>
      </c>
      <c r="AJ29" s="355">
        <f t="shared" si="1"/>
        <v>3605000</v>
      </c>
      <c r="AK29" s="355">
        <v>3605000</v>
      </c>
      <c r="AL29" s="355">
        <v>3605000</v>
      </c>
      <c r="AM29" s="325">
        <v>3605000</v>
      </c>
      <c r="AN29" s="325">
        <v>3605000</v>
      </c>
      <c r="AO29" s="325">
        <v>3605000</v>
      </c>
      <c r="AP29" s="325">
        <v>3605000</v>
      </c>
      <c r="AQ29" s="325">
        <v>3605000</v>
      </c>
      <c r="AR29" s="325">
        <v>3605000</v>
      </c>
      <c r="AS29" s="325">
        <v>3605000</v>
      </c>
      <c r="AT29" s="325">
        <f t="shared" si="2"/>
        <v>2403333.3333333335</v>
      </c>
      <c r="AU29" s="322">
        <f t="shared" si="3"/>
        <v>39655000.000000007</v>
      </c>
      <c r="AV29" s="299">
        <f t="shared" si="4"/>
        <v>0</v>
      </c>
      <c r="AX29" s="296">
        <f t="shared" si="5"/>
        <v>39655000.000000007</v>
      </c>
      <c r="AY29" s="296">
        <v>0</v>
      </c>
      <c r="AZ29" s="296">
        <v>0</v>
      </c>
      <c r="BA29" s="296">
        <v>0</v>
      </c>
      <c r="BB29" s="295">
        <f t="shared" si="6"/>
        <v>39655000.000000007</v>
      </c>
    </row>
    <row r="30" spans="1:54" hidden="1">
      <c r="A30" s="228" t="s">
        <v>327</v>
      </c>
      <c r="B30" s="229" t="s">
        <v>328</v>
      </c>
      <c r="C30" s="229" t="s">
        <v>328</v>
      </c>
      <c r="D30" s="229">
        <v>390</v>
      </c>
      <c r="E30" s="230">
        <v>390</v>
      </c>
      <c r="F30" s="231">
        <v>7673</v>
      </c>
      <c r="G30" s="228" t="s">
        <v>329</v>
      </c>
      <c r="H30" s="228" t="s">
        <v>330</v>
      </c>
      <c r="I30" s="228" t="s">
        <v>331</v>
      </c>
      <c r="J30" s="228" t="s">
        <v>332</v>
      </c>
      <c r="K30" s="228" t="s">
        <v>333</v>
      </c>
      <c r="L30" s="228" t="s">
        <v>334</v>
      </c>
      <c r="M30" s="228" t="s">
        <v>335</v>
      </c>
      <c r="N30" s="228" t="s">
        <v>336</v>
      </c>
      <c r="O30" s="228" t="s">
        <v>337</v>
      </c>
      <c r="P30" s="228" t="s">
        <v>338</v>
      </c>
      <c r="Q30" s="232">
        <v>1</v>
      </c>
      <c r="R30" s="228" t="s">
        <v>356</v>
      </c>
      <c r="S30" s="228" t="s">
        <v>357</v>
      </c>
      <c r="T30" s="229">
        <v>80111620</v>
      </c>
      <c r="U30" s="228" t="s">
        <v>360</v>
      </c>
      <c r="V30" s="229">
        <v>1</v>
      </c>
      <c r="W30" s="229">
        <v>1</v>
      </c>
      <c r="X30" s="229">
        <v>330</v>
      </c>
      <c r="Y30" s="234" t="s">
        <v>342</v>
      </c>
      <c r="Z30" s="235" t="s">
        <v>343</v>
      </c>
      <c r="AA30" s="331">
        <v>39655000</v>
      </c>
      <c r="AB30" s="236">
        <v>3605000</v>
      </c>
      <c r="AC30" s="235" t="s">
        <v>361</v>
      </c>
      <c r="AD30" s="235" t="s">
        <v>345</v>
      </c>
      <c r="AE30" s="243"/>
      <c r="AF30" s="238"/>
      <c r="AG30" s="241"/>
      <c r="AH30" s="298"/>
      <c r="AI30" s="355">
        <f t="shared" si="0"/>
        <v>1201666.6666666667</v>
      </c>
      <c r="AJ30" s="355">
        <f t="shared" si="1"/>
        <v>3605000</v>
      </c>
      <c r="AK30" s="355">
        <v>3605000</v>
      </c>
      <c r="AL30" s="355">
        <v>3605000</v>
      </c>
      <c r="AM30" s="325">
        <v>3605000</v>
      </c>
      <c r="AN30" s="325">
        <v>3605000</v>
      </c>
      <c r="AO30" s="325">
        <v>3605000</v>
      </c>
      <c r="AP30" s="325">
        <v>3605000</v>
      </c>
      <c r="AQ30" s="325">
        <v>3605000</v>
      </c>
      <c r="AR30" s="325">
        <v>3605000</v>
      </c>
      <c r="AS30" s="325">
        <v>3605000</v>
      </c>
      <c r="AT30" s="325">
        <f t="shared" si="2"/>
        <v>2403333.3333333335</v>
      </c>
      <c r="AU30" s="322">
        <f t="shared" si="3"/>
        <v>39655000.000000007</v>
      </c>
      <c r="AV30" s="299">
        <f t="shared" si="4"/>
        <v>0</v>
      </c>
      <c r="AX30" s="296">
        <f t="shared" si="5"/>
        <v>39655000.000000007</v>
      </c>
      <c r="AY30" s="296">
        <v>0</v>
      </c>
      <c r="AZ30" s="296">
        <v>0</v>
      </c>
      <c r="BA30" s="296">
        <v>0</v>
      </c>
      <c r="BB30" s="295">
        <f t="shared" si="6"/>
        <v>39655000.000000007</v>
      </c>
    </row>
    <row r="31" spans="1:54" hidden="1">
      <c r="A31" s="228" t="s">
        <v>327</v>
      </c>
      <c r="B31" s="229" t="s">
        <v>328</v>
      </c>
      <c r="C31" s="229" t="s">
        <v>328</v>
      </c>
      <c r="D31" s="229">
        <v>391</v>
      </c>
      <c r="E31" s="230">
        <v>391</v>
      </c>
      <c r="F31" s="231">
        <v>7673</v>
      </c>
      <c r="G31" s="228" t="s">
        <v>329</v>
      </c>
      <c r="H31" s="228" t="s">
        <v>330</v>
      </c>
      <c r="I31" s="228" t="s">
        <v>331</v>
      </c>
      <c r="J31" s="228" t="s">
        <v>332</v>
      </c>
      <c r="K31" s="228" t="s">
        <v>333</v>
      </c>
      <c r="L31" s="228" t="s">
        <v>334</v>
      </c>
      <c r="M31" s="228" t="s">
        <v>335</v>
      </c>
      <c r="N31" s="228" t="s">
        <v>336</v>
      </c>
      <c r="O31" s="228" t="s">
        <v>337</v>
      </c>
      <c r="P31" s="228" t="s">
        <v>338</v>
      </c>
      <c r="Q31" s="232">
        <v>1</v>
      </c>
      <c r="R31" s="228" t="s">
        <v>356</v>
      </c>
      <c r="S31" s="228" t="s">
        <v>357</v>
      </c>
      <c r="T31" s="229">
        <v>80111620</v>
      </c>
      <c r="U31" s="228" t="s">
        <v>360</v>
      </c>
      <c r="V31" s="229">
        <v>1</v>
      </c>
      <c r="W31" s="229">
        <v>1</v>
      </c>
      <c r="X31" s="229">
        <v>330</v>
      </c>
      <c r="Y31" s="234" t="s">
        <v>342</v>
      </c>
      <c r="Z31" s="235" t="s">
        <v>343</v>
      </c>
      <c r="AA31" s="331">
        <v>39655000</v>
      </c>
      <c r="AB31" s="236">
        <v>3605000</v>
      </c>
      <c r="AC31" s="235" t="s">
        <v>361</v>
      </c>
      <c r="AD31" s="235" t="s">
        <v>345</v>
      </c>
      <c r="AE31" s="243"/>
      <c r="AF31" s="238"/>
      <c r="AG31" s="241"/>
      <c r="AH31" s="298"/>
      <c r="AI31" s="355">
        <f t="shared" si="0"/>
        <v>1201666.6666666667</v>
      </c>
      <c r="AJ31" s="355">
        <f t="shared" si="1"/>
        <v>3605000</v>
      </c>
      <c r="AK31" s="355">
        <v>3605000</v>
      </c>
      <c r="AL31" s="355">
        <v>3605000</v>
      </c>
      <c r="AM31" s="325">
        <v>3605000</v>
      </c>
      <c r="AN31" s="325">
        <v>3605000</v>
      </c>
      <c r="AO31" s="325">
        <v>3605000</v>
      </c>
      <c r="AP31" s="325">
        <v>3605000</v>
      </c>
      <c r="AQ31" s="325">
        <v>3605000</v>
      </c>
      <c r="AR31" s="325">
        <v>3605000</v>
      </c>
      <c r="AS31" s="325">
        <v>3605000</v>
      </c>
      <c r="AT31" s="325">
        <f t="shared" si="2"/>
        <v>2403333.3333333335</v>
      </c>
      <c r="AU31" s="322">
        <f t="shared" si="3"/>
        <v>39655000.000000007</v>
      </c>
      <c r="AV31" s="299">
        <f t="shared" si="4"/>
        <v>0</v>
      </c>
      <c r="AX31" s="296">
        <f t="shared" si="5"/>
        <v>39655000.000000007</v>
      </c>
      <c r="AY31" s="296">
        <v>0</v>
      </c>
      <c r="AZ31" s="296">
        <v>0</v>
      </c>
      <c r="BA31" s="296">
        <v>0</v>
      </c>
      <c r="BB31" s="295">
        <f t="shared" si="6"/>
        <v>39655000.000000007</v>
      </c>
    </row>
    <row r="32" spans="1:54">
      <c r="A32" s="228" t="s">
        <v>327</v>
      </c>
      <c r="B32" s="229" t="s">
        <v>328</v>
      </c>
      <c r="C32" s="229" t="s">
        <v>328</v>
      </c>
      <c r="D32" s="229">
        <v>392</v>
      </c>
      <c r="E32" s="230">
        <v>392</v>
      </c>
      <c r="F32" s="231">
        <v>7673</v>
      </c>
      <c r="G32" s="228" t="s">
        <v>329</v>
      </c>
      <c r="H32" s="228" t="s">
        <v>330</v>
      </c>
      <c r="I32" s="228" t="s">
        <v>331</v>
      </c>
      <c r="J32" s="228" t="s">
        <v>332</v>
      </c>
      <c r="K32" s="228" t="s">
        <v>333</v>
      </c>
      <c r="L32" s="228" t="s">
        <v>334</v>
      </c>
      <c r="M32" s="228" t="s">
        <v>335</v>
      </c>
      <c r="N32" s="228" t="s">
        <v>336</v>
      </c>
      <c r="O32" s="228" t="s">
        <v>362</v>
      </c>
      <c r="P32" s="228" t="s">
        <v>363</v>
      </c>
      <c r="Q32" s="232">
        <v>1</v>
      </c>
      <c r="R32" s="228" t="s">
        <v>339</v>
      </c>
      <c r="S32" s="228" t="s">
        <v>340</v>
      </c>
      <c r="T32" s="229">
        <v>80111620</v>
      </c>
      <c r="U32" s="228" t="s">
        <v>364</v>
      </c>
      <c r="V32" s="229">
        <v>1</v>
      </c>
      <c r="W32" s="229">
        <v>1</v>
      </c>
      <c r="X32" s="229">
        <v>330</v>
      </c>
      <c r="Y32" s="234" t="s">
        <v>342</v>
      </c>
      <c r="Z32" s="235" t="s">
        <v>343</v>
      </c>
      <c r="AA32" s="331">
        <v>92818000</v>
      </c>
      <c r="AB32" s="236">
        <v>8438000</v>
      </c>
      <c r="AC32" s="235" t="s">
        <v>365</v>
      </c>
      <c r="AD32" s="235" t="s">
        <v>366</v>
      </c>
      <c r="AE32" s="245"/>
      <c r="AF32" s="238"/>
      <c r="AG32" s="241"/>
      <c r="AH32" s="241"/>
      <c r="AI32" s="355">
        <f t="shared" si="0"/>
        <v>2812666.666666667</v>
      </c>
      <c r="AJ32" s="355">
        <f t="shared" si="1"/>
        <v>8438000</v>
      </c>
      <c r="AK32" s="355">
        <v>8438000</v>
      </c>
      <c r="AL32" s="355">
        <v>8438000</v>
      </c>
      <c r="AM32" s="325">
        <v>8438000</v>
      </c>
      <c r="AN32" s="325">
        <v>8438000</v>
      </c>
      <c r="AO32" s="325">
        <v>8438000</v>
      </c>
      <c r="AP32" s="325">
        <v>8438000</v>
      </c>
      <c r="AQ32" s="325">
        <v>8438000</v>
      </c>
      <c r="AR32" s="325">
        <v>8438000</v>
      </c>
      <c r="AS32" s="325">
        <v>8438000</v>
      </c>
      <c r="AT32" s="325">
        <f t="shared" si="2"/>
        <v>5625333.333333334</v>
      </c>
      <c r="AU32" s="322">
        <f t="shared" si="3"/>
        <v>92818000</v>
      </c>
      <c r="AV32" s="299">
        <f t="shared" si="4"/>
        <v>0</v>
      </c>
      <c r="AX32" s="296">
        <v>0</v>
      </c>
      <c r="AY32" s="296">
        <v>0</v>
      </c>
      <c r="AZ32" s="296">
        <f>+AU32</f>
        <v>92818000</v>
      </c>
      <c r="BA32" s="296">
        <v>0</v>
      </c>
      <c r="BB32" s="295">
        <f t="shared" si="6"/>
        <v>92818000</v>
      </c>
    </row>
    <row r="33" spans="1:54">
      <c r="A33" s="228" t="s">
        <v>327</v>
      </c>
      <c r="B33" s="229" t="s">
        <v>328</v>
      </c>
      <c r="C33" s="229" t="s">
        <v>328</v>
      </c>
      <c r="D33" s="229">
        <v>393</v>
      </c>
      <c r="E33" s="230">
        <v>393</v>
      </c>
      <c r="F33" s="231">
        <v>7673</v>
      </c>
      <c r="G33" s="228" t="s">
        <v>329</v>
      </c>
      <c r="H33" s="228" t="s">
        <v>330</v>
      </c>
      <c r="I33" s="228" t="s">
        <v>331</v>
      </c>
      <c r="J33" s="228" t="s">
        <v>332</v>
      </c>
      <c r="K33" s="228" t="s">
        <v>333</v>
      </c>
      <c r="L33" s="228" t="s">
        <v>334</v>
      </c>
      <c r="M33" s="228" t="s">
        <v>335</v>
      </c>
      <c r="N33" s="228" t="s">
        <v>336</v>
      </c>
      <c r="O33" s="228" t="s">
        <v>362</v>
      </c>
      <c r="P33" s="228" t="s">
        <v>363</v>
      </c>
      <c r="Q33" s="232">
        <v>1</v>
      </c>
      <c r="R33" s="228" t="s">
        <v>339</v>
      </c>
      <c r="S33" s="228" t="s">
        <v>340</v>
      </c>
      <c r="T33" s="229">
        <v>80111620</v>
      </c>
      <c r="U33" s="228" t="s">
        <v>367</v>
      </c>
      <c r="V33" s="229">
        <v>1</v>
      </c>
      <c r="W33" s="229">
        <v>1</v>
      </c>
      <c r="X33" s="229">
        <v>330</v>
      </c>
      <c r="Y33" s="234" t="s">
        <v>342</v>
      </c>
      <c r="Z33" s="235" t="s">
        <v>343</v>
      </c>
      <c r="AA33" s="331">
        <v>63811000</v>
      </c>
      <c r="AB33" s="236">
        <v>5801000</v>
      </c>
      <c r="AC33" s="235" t="s">
        <v>368</v>
      </c>
      <c r="AD33" s="235" t="s">
        <v>366</v>
      </c>
      <c r="AE33" s="245"/>
      <c r="AF33" s="238"/>
      <c r="AG33" s="244"/>
      <c r="AH33" s="244"/>
      <c r="AI33" s="355">
        <f t="shared" si="0"/>
        <v>1933666.6666666665</v>
      </c>
      <c r="AJ33" s="355">
        <f t="shared" si="1"/>
        <v>5801000</v>
      </c>
      <c r="AK33" s="355">
        <v>5801000</v>
      </c>
      <c r="AL33" s="355">
        <v>5801000</v>
      </c>
      <c r="AM33" s="325">
        <v>5801000</v>
      </c>
      <c r="AN33" s="325">
        <v>5801000</v>
      </c>
      <c r="AO33" s="325">
        <v>5801000</v>
      </c>
      <c r="AP33" s="325">
        <v>5801000</v>
      </c>
      <c r="AQ33" s="325">
        <v>5801000</v>
      </c>
      <c r="AR33" s="325">
        <v>5801000</v>
      </c>
      <c r="AS33" s="325">
        <v>5801000</v>
      </c>
      <c r="AT33" s="325">
        <f t="shared" si="2"/>
        <v>3867333.333333333</v>
      </c>
      <c r="AU33" s="322">
        <f t="shared" si="3"/>
        <v>63811000</v>
      </c>
      <c r="AV33" s="299">
        <f t="shared" si="4"/>
        <v>0</v>
      </c>
      <c r="AX33" s="296">
        <v>0</v>
      </c>
      <c r="AY33" s="296">
        <v>0</v>
      </c>
      <c r="AZ33" s="296">
        <f t="shared" ref="AZ33:AZ52" si="7">+AU33</f>
        <v>63811000</v>
      </c>
      <c r="BA33" s="296">
        <v>0</v>
      </c>
      <c r="BB33" s="295">
        <f t="shared" si="6"/>
        <v>63811000</v>
      </c>
    </row>
    <row r="34" spans="1:54">
      <c r="A34" s="228" t="s">
        <v>327</v>
      </c>
      <c r="B34" s="229" t="s">
        <v>328</v>
      </c>
      <c r="C34" s="229" t="s">
        <v>328</v>
      </c>
      <c r="D34" s="229">
        <v>394</v>
      </c>
      <c r="E34" s="230">
        <v>394</v>
      </c>
      <c r="F34" s="231">
        <v>7673</v>
      </c>
      <c r="G34" s="228" t="s">
        <v>329</v>
      </c>
      <c r="H34" s="228" t="s">
        <v>330</v>
      </c>
      <c r="I34" s="228" t="s">
        <v>331</v>
      </c>
      <c r="J34" s="228" t="s">
        <v>332</v>
      </c>
      <c r="K34" s="228" t="s">
        <v>333</v>
      </c>
      <c r="L34" s="228" t="s">
        <v>334</v>
      </c>
      <c r="M34" s="228" t="s">
        <v>335</v>
      </c>
      <c r="N34" s="228" t="s">
        <v>336</v>
      </c>
      <c r="O34" s="228" t="s">
        <v>362</v>
      </c>
      <c r="P34" s="228" t="s">
        <v>363</v>
      </c>
      <c r="Q34" s="232">
        <v>1</v>
      </c>
      <c r="R34" s="228" t="s">
        <v>339</v>
      </c>
      <c r="S34" s="228" t="s">
        <v>340</v>
      </c>
      <c r="T34" s="229">
        <v>80111620</v>
      </c>
      <c r="U34" s="228" t="s">
        <v>369</v>
      </c>
      <c r="V34" s="229">
        <v>1</v>
      </c>
      <c r="W34" s="229">
        <v>1</v>
      </c>
      <c r="X34" s="229">
        <v>330</v>
      </c>
      <c r="Y34" s="234" t="s">
        <v>342</v>
      </c>
      <c r="Z34" s="235" t="s">
        <v>343</v>
      </c>
      <c r="AA34" s="331">
        <v>126500000</v>
      </c>
      <c r="AB34" s="236">
        <v>11500000</v>
      </c>
      <c r="AC34" s="235" t="s">
        <v>370</v>
      </c>
      <c r="AD34" s="235" t="s">
        <v>366</v>
      </c>
      <c r="AE34" s="245"/>
      <c r="AF34" s="246"/>
      <c r="AG34" s="241"/>
      <c r="AH34" s="244"/>
      <c r="AI34" s="355">
        <f t="shared" si="0"/>
        <v>3833333.333333333</v>
      </c>
      <c r="AJ34" s="355">
        <f t="shared" si="1"/>
        <v>11500000</v>
      </c>
      <c r="AK34" s="355">
        <v>11500000</v>
      </c>
      <c r="AL34" s="355">
        <v>11500000</v>
      </c>
      <c r="AM34" s="325">
        <v>11500000</v>
      </c>
      <c r="AN34" s="325">
        <v>11500000</v>
      </c>
      <c r="AO34" s="325">
        <v>11500000</v>
      </c>
      <c r="AP34" s="325">
        <v>11500000</v>
      </c>
      <c r="AQ34" s="325">
        <v>11500000</v>
      </c>
      <c r="AR34" s="325">
        <v>11500000</v>
      </c>
      <c r="AS34" s="325">
        <v>11500000</v>
      </c>
      <c r="AT34" s="325">
        <f t="shared" si="2"/>
        <v>7666666.666666666</v>
      </c>
      <c r="AU34" s="322">
        <f t="shared" si="3"/>
        <v>126500000</v>
      </c>
      <c r="AV34" s="299">
        <f t="shared" si="4"/>
        <v>0</v>
      </c>
      <c r="AX34" s="296">
        <v>0</v>
      </c>
      <c r="AY34" s="296">
        <v>0</v>
      </c>
      <c r="AZ34" s="296">
        <f t="shared" si="7"/>
        <v>126500000</v>
      </c>
      <c r="BA34" s="296">
        <v>0</v>
      </c>
      <c r="BB34" s="295">
        <f t="shared" si="6"/>
        <v>126500000</v>
      </c>
    </row>
    <row r="35" spans="1:54">
      <c r="A35" s="228" t="s">
        <v>327</v>
      </c>
      <c r="B35" s="229" t="s">
        <v>328</v>
      </c>
      <c r="C35" s="229" t="s">
        <v>328</v>
      </c>
      <c r="D35" s="229">
        <v>395</v>
      </c>
      <c r="E35" s="230">
        <v>395</v>
      </c>
      <c r="F35" s="231">
        <v>7673</v>
      </c>
      <c r="G35" s="228" t="s">
        <v>329</v>
      </c>
      <c r="H35" s="228" t="s">
        <v>330</v>
      </c>
      <c r="I35" s="228" t="s">
        <v>331</v>
      </c>
      <c r="J35" s="228" t="s">
        <v>332</v>
      </c>
      <c r="K35" s="228" t="s">
        <v>333</v>
      </c>
      <c r="L35" s="228" t="s">
        <v>334</v>
      </c>
      <c r="M35" s="228" t="s">
        <v>335</v>
      </c>
      <c r="N35" s="228" t="s">
        <v>336</v>
      </c>
      <c r="O35" s="228" t="s">
        <v>362</v>
      </c>
      <c r="P35" s="228" t="s">
        <v>363</v>
      </c>
      <c r="Q35" s="232">
        <v>1</v>
      </c>
      <c r="R35" s="228" t="s">
        <v>339</v>
      </c>
      <c r="S35" s="228" t="s">
        <v>340</v>
      </c>
      <c r="T35" s="229">
        <v>80111620</v>
      </c>
      <c r="U35" s="228" t="s">
        <v>371</v>
      </c>
      <c r="V35" s="229">
        <v>1</v>
      </c>
      <c r="W35" s="229">
        <v>1</v>
      </c>
      <c r="X35" s="229">
        <v>330</v>
      </c>
      <c r="Y35" s="234" t="s">
        <v>342</v>
      </c>
      <c r="Z35" s="235" t="s">
        <v>343</v>
      </c>
      <c r="AA35" s="331">
        <v>113300000</v>
      </c>
      <c r="AB35" s="236">
        <v>10300000</v>
      </c>
      <c r="AC35" s="235" t="s">
        <v>372</v>
      </c>
      <c r="AD35" s="235" t="s">
        <v>366</v>
      </c>
      <c r="AE35" s="247"/>
      <c r="AF35" s="238"/>
      <c r="AG35" s="239"/>
      <c r="AH35" s="244"/>
      <c r="AI35" s="355">
        <f t="shared" si="0"/>
        <v>3433333.333333333</v>
      </c>
      <c r="AJ35" s="355">
        <f t="shared" si="1"/>
        <v>10300000</v>
      </c>
      <c r="AK35" s="355">
        <v>10300000</v>
      </c>
      <c r="AL35" s="355">
        <v>10300000</v>
      </c>
      <c r="AM35" s="325">
        <v>10300000</v>
      </c>
      <c r="AN35" s="325">
        <v>10300000</v>
      </c>
      <c r="AO35" s="325">
        <v>10300000</v>
      </c>
      <c r="AP35" s="325">
        <v>10300000</v>
      </c>
      <c r="AQ35" s="325">
        <v>10300000</v>
      </c>
      <c r="AR35" s="325">
        <v>10300000</v>
      </c>
      <c r="AS35" s="325">
        <v>10300000</v>
      </c>
      <c r="AT35" s="325">
        <f t="shared" si="2"/>
        <v>6866666.666666666</v>
      </c>
      <c r="AU35" s="322">
        <f t="shared" si="3"/>
        <v>113300000</v>
      </c>
      <c r="AV35" s="299">
        <f t="shared" si="4"/>
        <v>0</v>
      </c>
      <c r="AX35" s="296">
        <v>0</v>
      </c>
      <c r="AY35" s="296">
        <v>0</v>
      </c>
      <c r="AZ35" s="296">
        <f t="shared" si="7"/>
        <v>113300000</v>
      </c>
      <c r="BA35" s="296">
        <v>0</v>
      </c>
      <c r="BB35" s="295">
        <f t="shared" si="6"/>
        <v>113300000</v>
      </c>
    </row>
    <row r="36" spans="1:54">
      <c r="A36" s="228" t="s">
        <v>327</v>
      </c>
      <c r="B36" s="229" t="s">
        <v>328</v>
      </c>
      <c r="C36" s="229" t="s">
        <v>328</v>
      </c>
      <c r="D36" s="229">
        <v>396</v>
      </c>
      <c r="E36" s="230">
        <v>396</v>
      </c>
      <c r="F36" s="231">
        <v>7673</v>
      </c>
      <c r="G36" s="228" t="s">
        <v>329</v>
      </c>
      <c r="H36" s="228" t="s">
        <v>330</v>
      </c>
      <c r="I36" s="228" t="s">
        <v>331</v>
      </c>
      <c r="J36" s="228" t="s">
        <v>332</v>
      </c>
      <c r="K36" s="228" t="s">
        <v>333</v>
      </c>
      <c r="L36" s="228" t="s">
        <v>334</v>
      </c>
      <c r="M36" s="228" t="s">
        <v>335</v>
      </c>
      <c r="N36" s="228" t="s">
        <v>336</v>
      </c>
      <c r="O36" s="228" t="s">
        <v>362</v>
      </c>
      <c r="P36" s="228" t="s">
        <v>363</v>
      </c>
      <c r="Q36" s="232">
        <v>1</v>
      </c>
      <c r="R36" s="228" t="s">
        <v>339</v>
      </c>
      <c r="S36" s="228" t="s">
        <v>340</v>
      </c>
      <c r="T36" s="229">
        <v>80111620</v>
      </c>
      <c r="U36" s="228" t="s">
        <v>373</v>
      </c>
      <c r="V36" s="229">
        <v>1</v>
      </c>
      <c r="W36" s="229">
        <v>1</v>
      </c>
      <c r="X36" s="229">
        <v>330</v>
      </c>
      <c r="Y36" s="234" t="s">
        <v>342</v>
      </c>
      <c r="Z36" s="235" t="s">
        <v>343</v>
      </c>
      <c r="AA36" s="331">
        <v>92818000</v>
      </c>
      <c r="AB36" s="236">
        <v>8438000</v>
      </c>
      <c r="AC36" s="235" t="s">
        <v>374</v>
      </c>
      <c r="AD36" s="235" t="s">
        <v>366</v>
      </c>
      <c r="AE36" s="245"/>
      <c r="AF36" s="238"/>
      <c r="AG36" s="239"/>
      <c r="AH36" s="244"/>
      <c r="AI36" s="355">
        <f t="shared" si="0"/>
        <v>2812666.666666667</v>
      </c>
      <c r="AJ36" s="355">
        <f t="shared" si="1"/>
        <v>8438000</v>
      </c>
      <c r="AK36" s="355">
        <v>8438000</v>
      </c>
      <c r="AL36" s="355">
        <v>8438000</v>
      </c>
      <c r="AM36" s="325">
        <v>8438000</v>
      </c>
      <c r="AN36" s="325">
        <v>8438000</v>
      </c>
      <c r="AO36" s="325">
        <v>8438000</v>
      </c>
      <c r="AP36" s="325">
        <v>8438000</v>
      </c>
      <c r="AQ36" s="325">
        <v>8438000</v>
      </c>
      <c r="AR36" s="325">
        <v>8438000</v>
      </c>
      <c r="AS36" s="325">
        <v>8438000</v>
      </c>
      <c r="AT36" s="325">
        <f t="shared" si="2"/>
        <v>5625333.333333334</v>
      </c>
      <c r="AU36" s="322">
        <f t="shared" si="3"/>
        <v>92818000</v>
      </c>
      <c r="AV36" s="299">
        <f t="shared" si="4"/>
        <v>0</v>
      </c>
      <c r="AX36" s="296">
        <v>0</v>
      </c>
      <c r="AY36" s="296">
        <v>0</v>
      </c>
      <c r="AZ36" s="296">
        <f t="shared" si="7"/>
        <v>92818000</v>
      </c>
      <c r="BA36" s="296">
        <v>0</v>
      </c>
      <c r="BB36" s="295">
        <f t="shared" si="6"/>
        <v>92818000</v>
      </c>
    </row>
    <row r="37" spans="1:54">
      <c r="A37" s="228" t="s">
        <v>327</v>
      </c>
      <c r="B37" s="229" t="s">
        <v>328</v>
      </c>
      <c r="C37" s="229" t="s">
        <v>328</v>
      </c>
      <c r="D37" s="229">
        <v>397</v>
      </c>
      <c r="E37" s="230">
        <v>397</v>
      </c>
      <c r="F37" s="231">
        <v>7673</v>
      </c>
      <c r="G37" s="228" t="s">
        <v>329</v>
      </c>
      <c r="H37" s="228" t="s">
        <v>330</v>
      </c>
      <c r="I37" s="228" t="s">
        <v>331</v>
      </c>
      <c r="J37" s="228" t="s">
        <v>332</v>
      </c>
      <c r="K37" s="228" t="s">
        <v>333</v>
      </c>
      <c r="L37" s="228" t="s">
        <v>334</v>
      </c>
      <c r="M37" s="228" t="s">
        <v>335</v>
      </c>
      <c r="N37" s="228" t="s">
        <v>336</v>
      </c>
      <c r="O37" s="228" t="s">
        <v>362</v>
      </c>
      <c r="P37" s="228" t="s">
        <v>363</v>
      </c>
      <c r="Q37" s="232">
        <v>1</v>
      </c>
      <c r="R37" s="228" t="s">
        <v>339</v>
      </c>
      <c r="S37" s="228" t="s">
        <v>340</v>
      </c>
      <c r="T37" s="229">
        <v>80111620</v>
      </c>
      <c r="U37" s="228" t="s">
        <v>375</v>
      </c>
      <c r="V37" s="229">
        <v>1</v>
      </c>
      <c r="W37" s="229">
        <v>1</v>
      </c>
      <c r="X37" s="229">
        <v>330</v>
      </c>
      <c r="Y37" s="234" t="s">
        <v>342</v>
      </c>
      <c r="Z37" s="235" t="s">
        <v>343</v>
      </c>
      <c r="AA37" s="331">
        <v>67980000</v>
      </c>
      <c r="AB37" s="236">
        <v>6180000</v>
      </c>
      <c r="AC37" s="235" t="s">
        <v>376</v>
      </c>
      <c r="AD37" s="235" t="s">
        <v>366</v>
      </c>
      <c r="AE37" s="245"/>
      <c r="AF37" s="238"/>
      <c r="AG37" s="239"/>
      <c r="AH37" s="244"/>
      <c r="AI37" s="355">
        <f t="shared" si="0"/>
        <v>2060000</v>
      </c>
      <c r="AJ37" s="355">
        <f t="shared" si="1"/>
        <v>6180000</v>
      </c>
      <c r="AK37" s="355">
        <v>6180000</v>
      </c>
      <c r="AL37" s="355">
        <v>6180000</v>
      </c>
      <c r="AM37" s="325">
        <v>6180000</v>
      </c>
      <c r="AN37" s="325">
        <v>6180000</v>
      </c>
      <c r="AO37" s="325">
        <v>6180000</v>
      </c>
      <c r="AP37" s="325">
        <v>6180000</v>
      </c>
      <c r="AQ37" s="325">
        <v>6180000</v>
      </c>
      <c r="AR37" s="325">
        <v>6180000</v>
      </c>
      <c r="AS37" s="325">
        <v>6180000</v>
      </c>
      <c r="AT37" s="325">
        <f t="shared" si="2"/>
        <v>4120000</v>
      </c>
      <c r="AU37" s="322">
        <f t="shared" si="3"/>
        <v>67980000</v>
      </c>
      <c r="AV37" s="299">
        <f t="shared" si="4"/>
        <v>0</v>
      </c>
      <c r="AX37" s="296">
        <v>0</v>
      </c>
      <c r="AY37" s="296">
        <v>0</v>
      </c>
      <c r="AZ37" s="296">
        <f t="shared" si="7"/>
        <v>67980000</v>
      </c>
      <c r="BA37" s="296">
        <v>0</v>
      </c>
      <c r="BB37" s="295">
        <f t="shared" si="6"/>
        <v>67980000</v>
      </c>
    </row>
    <row r="38" spans="1:54">
      <c r="A38" s="228" t="s">
        <v>327</v>
      </c>
      <c r="B38" s="229" t="s">
        <v>328</v>
      </c>
      <c r="C38" s="229" t="s">
        <v>328</v>
      </c>
      <c r="D38" s="229">
        <v>398</v>
      </c>
      <c r="E38" s="230">
        <v>398</v>
      </c>
      <c r="F38" s="231">
        <v>7673</v>
      </c>
      <c r="G38" s="228" t="s">
        <v>329</v>
      </c>
      <c r="H38" s="228" t="s">
        <v>330</v>
      </c>
      <c r="I38" s="228" t="s">
        <v>331</v>
      </c>
      <c r="J38" s="228" t="s">
        <v>332</v>
      </c>
      <c r="K38" s="228" t="s">
        <v>333</v>
      </c>
      <c r="L38" s="228" t="s">
        <v>334</v>
      </c>
      <c r="M38" s="228" t="s">
        <v>335</v>
      </c>
      <c r="N38" s="228" t="s">
        <v>336</v>
      </c>
      <c r="O38" s="228" t="s">
        <v>362</v>
      </c>
      <c r="P38" s="228" t="s">
        <v>363</v>
      </c>
      <c r="Q38" s="232">
        <v>1</v>
      </c>
      <c r="R38" s="228" t="s">
        <v>339</v>
      </c>
      <c r="S38" s="228" t="s">
        <v>340</v>
      </c>
      <c r="T38" s="229">
        <v>80111620</v>
      </c>
      <c r="U38" s="228" t="s">
        <v>377</v>
      </c>
      <c r="V38" s="229">
        <v>1</v>
      </c>
      <c r="W38" s="229">
        <v>1</v>
      </c>
      <c r="X38" s="229">
        <v>330</v>
      </c>
      <c r="Y38" s="234" t="s">
        <v>342</v>
      </c>
      <c r="Z38" s="235" t="s">
        <v>343</v>
      </c>
      <c r="AA38" s="331">
        <v>62315000</v>
      </c>
      <c r="AB38" s="236">
        <v>5665000</v>
      </c>
      <c r="AC38" s="235" t="s">
        <v>378</v>
      </c>
      <c r="AD38" s="235" t="s">
        <v>366</v>
      </c>
      <c r="AE38" s="245"/>
      <c r="AF38" s="238"/>
      <c r="AG38" s="239"/>
      <c r="AH38" s="244"/>
      <c r="AI38" s="355">
        <f t="shared" si="0"/>
        <v>1888333.3333333335</v>
      </c>
      <c r="AJ38" s="355">
        <f t="shared" si="1"/>
        <v>5665000</v>
      </c>
      <c r="AK38" s="355">
        <v>5665000</v>
      </c>
      <c r="AL38" s="355">
        <v>5665000</v>
      </c>
      <c r="AM38" s="325">
        <v>5665000</v>
      </c>
      <c r="AN38" s="325">
        <v>5665000</v>
      </c>
      <c r="AO38" s="325">
        <v>5665000</v>
      </c>
      <c r="AP38" s="325">
        <v>5665000</v>
      </c>
      <c r="AQ38" s="325">
        <v>5665000</v>
      </c>
      <c r="AR38" s="325">
        <v>5665000</v>
      </c>
      <c r="AS38" s="325">
        <v>5665000</v>
      </c>
      <c r="AT38" s="325">
        <f t="shared" si="2"/>
        <v>3776666.666666667</v>
      </c>
      <c r="AU38" s="322">
        <f t="shared" si="3"/>
        <v>62315000</v>
      </c>
      <c r="AV38" s="299">
        <f t="shared" si="4"/>
        <v>0</v>
      </c>
      <c r="AX38" s="296">
        <v>0</v>
      </c>
      <c r="AY38" s="296">
        <v>0</v>
      </c>
      <c r="AZ38" s="296">
        <f t="shared" si="7"/>
        <v>62315000</v>
      </c>
      <c r="BA38" s="296">
        <v>0</v>
      </c>
      <c r="BB38" s="295">
        <f t="shared" si="6"/>
        <v>62315000</v>
      </c>
    </row>
    <row r="39" spans="1:54">
      <c r="A39" s="228" t="s">
        <v>327</v>
      </c>
      <c r="B39" s="229" t="s">
        <v>328</v>
      </c>
      <c r="C39" s="229" t="s">
        <v>328</v>
      </c>
      <c r="D39" s="229">
        <v>399</v>
      </c>
      <c r="E39" s="230">
        <v>399</v>
      </c>
      <c r="F39" s="231">
        <v>7673</v>
      </c>
      <c r="G39" s="228" t="s">
        <v>329</v>
      </c>
      <c r="H39" s="228" t="s">
        <v>330</v>
      </c>
      <c r="I39" s="228" t="s">
        <v>331</v>
      </c>
      <c r="J39" s="228" t="s">
        <v>332</v>
      </c>
      <c r="K39" s="228" t="s">
        <v>333</v>
      </c>
      <c r="L39" s="228" t="s">
        <v>334</v>
      </c>
      <c r="M39" s="228" t="s">
        <v>335</v>
      </c>
      <c r="N39" s="228" t="s">
        <v>336</v>
      </c>
      <c r="O39" s="228" t="s">
        <v>362</v>
      </c>
      <c r="P39" s="228" t="s">
        <v>363</v>
      </c>
      <c r="Q39" s="232">
        <v>1</v>
      </c>
      <c r="R39" s="228" t="s">
        <v>339</v>
      </c>
      <c r="S39" s="228" t="s">
        <v>340</v>
      </c>
      <c r="T39" s="229">
        <v>80111620</v>
      </c>
      <c r="U39" s="228" t="s">
        <v>379</v>
      </c>
      <c r="V39" s="229">
        <v>1</v>
      </c>
      <c r="W39" s="229">
        <v>1</v>
      </c>
      <c r="X39" s="229">
        <v>330</v>
      </c>
      <c r="Y39" s="234" t="s">
        <v>342</v>
      </c>
      <c r="Z39" s="235" t="s">
        <v>343</v>
      </c>
      <c r="AA39" s="331">
        <v>62315000</v>
      </c>
      <c r="AB39" s="236">
        <v>5665000</v>
      </c>
      <c r="AC39" s="235" t="s">
        <v>380</v>
      </c>
      <c r="AD39" s="235" t="s">
        <v>366</v>
      </c>
      <c r="AE39" s="247"/>
      <c r="AF39" s="238"/>
      <c r="AG39" s="239"/>
      <c r="AH39" s="244"/>
      <c r="AI39" s="355">
        <f t="shared" si="0"/>
        <v>1888333.3333333335</v>
      </c>
      <c r="AJ39" s="355">
        <f t="shared" si="1"/>
        <v>5665000</v>
      </c>
      <c r="AK39" s="355">
        <v>5665000</v>
      </c>
      <c r="AL39" s="355">
        <v>5665000</v>
      </c>
      <c r="AM39" s="325">
        <v>5665000</v>
      </c>
      <c r="AN39" s="325">
        <v>5665000</v>
      </c>
      <c r="AO39" s="325">
        <v>5665000</v>
      </c>
      <c r="AP39" s="325">
        <v>5665000</v>
      </c>
      <c r="AQ39" s="325">
        <v>5665000</v>
      </c>
      <c r="AR39" s="325">
        <v>5665000</v>
      </c>
      <c r="AS39" s="325">
        <v>5665000</v>
      </c>
      <c r="AT39" s="325">
        <f t="shared" si="2"/>
        <v>3776666.666666667</v>
      </c>
      <c r="AU39" s="322">
        <f t="shared" si="3"/>
        <v>62315000</v>
      </c>
      <c r="AV39" s="299">
        <f t="shared" si="4"/>
        <v>0</v>
      </c>
      <c r="AX39" s="296">
        <v>0</v>
      </c>
      <c r="AY39" s="296">
        <v>0</v>
      </c>
      <c r="AZ39" s="296">
        <f t="shared" si="7"/>
        <v>62315000</v>
      </c>
      <c r="BA39" s="296">
        <v>0</v>
      </c>
      <c r="BB39" s="295">
        <f t="shared" si="6"/>
        <v>62315000</v>
      </c>
    </row>
    <row r="40" spans="1:54">
      <c r="A40" s="228" t="s">
        <v>327</v>
      </c>
      <c r="B40" s="229" t="s">
        <v>328</v>
      </c>
      <c r="C40" s="229" t="s">
        <v>328</v>
      </c>
      <c r="D40" s="229">
        <v>400</v>
      </c>
      <c r="E40" s="230">
        <v>400</v>
      </c>
      <c r="F40" s="231">
        <v>7673</v>
      </c>
      <c r="G40" s="228" t="s">
        <v>329</v>
      </c>
      <c r="H40" s="228" t="s">
        <v>330</v>
      </c>
      <c r="I40" s="228" t="s">
        <v>331</v>
      </c>
      <c r="J40" s="228" t="s">
        <v>332</v>
      </c>
      <c r="K40" s="228" t="s">
        <v>333</v>
      </c>
      <c r="L40" s="228" t="s">
        <v>334</v>
      </c>
      <c r="M40" s="228" t="s">
        <v>335</v>
      </c>
      <c r="N40" s="228" t="s">
        <v>336</v>
      </c>
      <c r="O40" s="228" t="s">
        <v>362</v>
      </c>
      <c r="P40" s="228" t="s">
        <v>363</v>
      </c>
      <c r="Q40" s="232">
        <v>1</v>
      </c>
      <c r="R40" s="228" t="s">
        <v>339</v>
      </c>
      <c r="S40" s="228" t="s">
        <v>340</v>
      </c>
      <c r="T40" s="229">
        <v>80111620</v>
      </c>
      <c r="U40" s="228" t="s">
        <v>381</v>
      </c>
      <c r="V40" s="229">
        <v>1</v>
      </c>
      <c r="W40" s="229">
        <v>1</v>
      </c>
      <c r="X40" s="229">
        <v>330</v>
      </c>
      <c r="Y40" s="234" t="s">
        <v>342</v>
      </c>
      <c r="Z40" s="235" t="s">
        <v>343</v>
      </c>
      <c r="AA40" s="331">
        <v>82500000</v>
      </c>
      <c r="AB40" s="236">
        <v>7500000</v>
      </c>
      <c r="AC40" s="235" t="s">
        <v>382</v>
      </c>
      <c r="AD40" s="235" t="s">
        <v>366</v>
      </c>
      <c r="AE40" s="245"/>
      <c r="AF40" s="238"/>
      <c r="AG40" s="239"/>
      <c r="AH40" s="244"/>
      <c r="AI40" s="355">
        <f t="shared" si="0"/>
        <v>2500000</v>
      </c>
      <c r="AJ40" s="355">
        <f t="shared" si="1"/>
        <v>7500000</v>
      </c>
      <c r="AK40" s="355">
        <v>7500000</v>
      </c>
      <c r="AL40" s="355">
        <v>7500000</v>
      </c>
      <c r="AM40" s="325">
        <v>7500000</v>
      </c>
      <c r="AN40" s="325">
        <v>7500000</v>
      </c>
      <c r="AO40" s="325">
        <v>7500000</v>
      </c>
      <c r="AP40" s="325">
        <v>7500000</v>
      </c>
      <c r="AQ40" s="325">
        <v>7500000</v>
      </c>
      <c r="AR40" s="325">
        <v>7500000</v>
      </c>
      <c r="AS40" s="325">
        <v>7500000</v>
      </c>
      <c r="AT40" s="325">
        <f t="shared" si="2"/>
        <v>5000000</v>
      </c>
      <c r="AU40" s="322">
        <f t="shared" si="3"/>
        <v>82500000</v>
      </c>
      <c r="AV40" s="299">
        <f t="shared" si="4"/>
        <v>0</v>
      </c>
      <c r="AX40" s="296">
        <v>0</v>
      </c>
      <c r="AY40" s="296">
        <v>0</v>
      </c>
      <c r="AZ40" s="296">
        <f t="shared" si="7"/>
        <v>82500000</v>
      </c>
      <c r="BA40" s="296">
        <v>0</v>
      </c>
      <c r="BB40" s="295">
        <f t="shared" si="6"/>
        <v>82500000</v>
      </c>
    </row>
    <row r="41" spans="1:54">
      <c r="A41" s="228" t="s">
        <v>327</v>
      </c>
      <c r="B41" s="229" t="s">
        <v>328</v>
      </c>
      <c r="C41" s="229" t="s">
        <v>328</v>
      </c>
      <c r="D41" s="229">
        <v>401</v>
      </c>
      <c r="E41" s="230">
        <v>401</v>
      </c>
      <c r="F41" s="231">
        <v>7673</v>
      </c>
      <c r="G41" s="228" t="s">
        <v>329</v>
      </c>
      <c r="H41" s="228" t="s">
        <v>330</v>
      </c>
      <c r="I41" s="228" t="s">
        <v>331</v>
      </c>
      <c r="J41" s="228" t="s">
        <v>332</v>
      </c>
      <c r="K41" s="228" t="s">
        <v>333</v>
      </c>
      <c r="L41" s="228" t="s">
        <v>334</v>
      </c>
      <c r="M41" s="228" t="s">
        <v>335</v>
      </c>
      <c r="N41" s="228" t="s">
        <v>336</v>
      </c>
      <c r="O41" s="228" t="s">
        <v>362</v>
      </c>
      <c r="P41" s="228" t="s">
        <v>363</v>
      </c>
      <c r="Q41" s="232">
        <v>1</v>
      </c>
      <c r="R41" s="228" t="s">
        <v>356</v>
      </c>
      <c r="S41" s="228" t="s">
        <v>357</v>
      </c>
      <c r="T41" s="229">
        <v>80111620</v>
      </c>
      <c r="U41" s="228" t="s">
        <v>383</v>
      </c>
      <c r="V41" s="229">
        <v>1</v>
      </c>
      <c r="W41" s="229">
        <v>1</v>
      </c>
      <c r="X41" s="229">
        <v>330</v>
      </c>
      <c r="Y41" s="234" t="s">
        <v>342</v>
      </c>
      <c r="Z41" s="235" t="s">
        <v>343</v>
      </c>
      <c r="AA41" s="331">
        <v>33990000</v>
      </c>
      <c r="AB41" s="236">
        <v>3090000</v>
      </c>
      <c r="AC41" s="235" t="s">
        <v>384</v>
      </c>
      <c r="AD41" s="235" t="s">
        <v>366</v>
      </c>
      <c r="AE41" s="245"/>
      <c r="AF41" s="238"/>
      <c r="AG41" s="239"/>
      <c r="AH41" s="244"/>
      <c r="AI41" s="355">
        <f t="shared" si="0"/>
        <v>1030000</v>
      </c>
      <c r="AJ41" s="355">
        <f t="shared" si="1"/>
        <v>3090000</v>
      </c>
      <c r="AK41" s="355">
        <v>3090000</v>
      </c>
      <c r="AL41" s="355">
        <v>3090000</v>
      </c>
      <c r="AM41" s="325">
        <v>3090000</v>
      </c>
      <c r="AN41" s="325">
        <v>3090000</v>
      </c>
      <c r="AO41" s="325">
        <v>3090000</v>
      </c>
      <c r="AP41" s="325">
        <v>3090000</v>
      </c>
      <c r="AQ41" s="325">
        <v>3090000</v>
      </c>
      <c r="AR41" s="325">
        <v>3090000</v>
      </c>
      <c r="AS41" s="325">
        <v>3090000</v>
      </c>
      <c r="AT41" s="325">
        <f t="shared" si="2"/>
        <v>2060000</v>
      </c>
      <c r="AU41" s="322">
        <f t="shared" si="3"/>
        <v>33990000</v>
      </c>
      <c r="AV41" s="299">
        <f t="shared" si="4"/>
        <v>0</v>
      </c>
      <c r="AX41" s="296">
        <v>0</v>
      </c>
      <c r="AY41" s="296">
        <v>0</v>
      </c>
      <c r="AZ41" s="296">
        <f t="shared" si="7"/>
        <v>33990000</v>
      </c>
      <c r="BA41" s="296">
        <v>0</v>
      </c>
      <c r="BB41" s="295">
        <f t="shared" si="6"/>
        <v>33990000</v>
      </c>
    </row>
    <row r="42" spans="1:54">
      <c r="A42" s="228" t="s">
        <v>327</v>
      </c>
      <c r="B42" s="229" t="s">
        <v>328</v>
      </c>
      <c r="C42" s="229" t="s">
        <v>328</v>
      </c>
      <c r="D42" s="229">
        <v>402</v>
      </c>
      <c r="E42" s="230">
        <v>402</v>
      </c>
      <c r="F42" s="231">
        <v>7673</v>
      </c>
      <c r="G42" s="228" t="s">
        <v>329</v>
      </c>
      <c r="H42" s="228" t="s">
        <v>330</v>
      </c>
      <c r="I42" s="228" t="s">
        <v>331</v>
      </c>
      <c r="J42" s="228" t="s">
        <v>332</v>
      </c>
      <c r="K42" s="228" t="s">
        <v>333</v>
      </c>
      <c r="L42" s="228" t="s">
        <v>334</v>
      </c>
      <c r="M42" s="228" t="s">
        <v>335</v>
      </c>
      <c r="N42" s="228" t="s">
        <v>336</v>
      </c>
      <c r="O42" s="228" t="s">
        <v>362</v>
      </c>
      <c r="P42" s="228" t="s">
        <v>363</v>
      </c>
      <c r="Q42" s="232">
        <v>1</v>
      </c>
      <c r="R42" s="228" t="s">
        <v>356</v>
      </c>
      <c r="S42" s="228" t="s">
        <v>357</v>
      </c>
      <c r="T42" s="229">
        <v>80111620</v>
      </c>
      <c r="U42" s="228" t="s">
        <v>385</v>
      </c>
      <c r="V42" s="229">
        <v>1</v>
      </c>
      <c r="W42" s="229">
        <v>1</v>
      </c>
      <c r="X42" s="229">
        <v>330</v>
      </c>
      <c r="Y42" s="234" t="s">
        <v>342</v>
      </c>
      <c r="Z42" s="235" t="s">
        <v>343</v>
      </c>
      <c r="AA42" s="331">
        <v>56650000</v>
      </c>
      <c r="AB42" s="236">
        <v>5150000</v>
      </c>
      <c r="AC42" s="235" t="s">
        <v>386</v>
      </c>
      <c r="AD42" s="235" t="s">
        <v>366</v>
      </c>
      <c r="AE42" s="245"/>
      <c r="AF42" s="238"/>
      <c r="AG42" s="244"/>
      <c r="AH42" s="244"/>
      <c r="AI42" s="355">
        <f t="shared" si="0"/>
        <v>1716666.6666666665</v>
      </c>
      <c r="AJ42" s="355">
        <f t="shared" si="1"/>
        <v>5150000</v>
      </c>
      <c r="AK42" s="355">
        <v>5150000</v>
      </c>
      <c r="AL42" s="355">
        <v>5150000</v>
      </c>
      <c r="AM42" s="325">
        <v>5150000</v>
      </c>
      <c r="AN42" s="325">
        <v>5150000</v>
      </c>
      <c r="AO42" s="325">
        <v>5150000</v>
      </c>
      <c r="AP42" s="325">
        <v>5150000</v>
      </c>
      <c r="AQ42" s="325">
        <v>5150000</v>
      </c>
      <c r="AR42" s="325">
        <v>5150000</v>
      </c>
      <c r="AS42" s="325">
        <v>5150000</v>
      </c>
      <c r="AT42" s="325">
        <f t="shared" si="2"/>
        <v>3433333.333333333</v>
      </c>
      <c r="AU42" s="322">
        <f t="shared" si="3"/>
        <v>56650000</v>
      </c>
      <c r="AV42" s="299">
        <f t="shared" si="4"/>
        <v>0</v>
      </c>
      <c r="AX42" s="296">
        <v>0</v>
      </c>
      <c r="AY42" s="296">
        <v>0</v>
      </c>
      <c r="AZ42" s="296">
        <f t="shared" si="7"/>
        <v>56650000</v>
      </c>
      <c r="BA42" s="296">
        <v>0</v>
      </c>
      <c r="BB42" s="295">
        <f t="shared" si="6"/>
        <v>56650000</v>
      </c>
    </row>
    <row r="43" spans="1:54">
      <c r="A43" s="228" t="s">
        <v>327</v>
      </c>
      <c r="B43" s="229" t="s">
        <v>328</v>
      </c>
      <c r="C43" s="229" t="s">
        <v>328</v>
      </c>
      <c r="D43" s="229">
        <v>403</v>
      </c>
      <c r="E43" s="230">
        <v>403</v>
      </c>
      <c r="F43" s="231">
        <v>7673</v>
      </c>
      <c r="G43" s="228" t="s">
        <v>329</v>
      </c>
      <c r="H43" s="228" t="s">
        <v>330</v>
      </c>
      <c r="I43" s="228" t="s">
        <v>331</v>
      </c>
      <c r="J43" s="228" t="s">
        <v>332</v>
      </c>
      <c r="K43" s="228" t="s">
        <v>333</v>
      </c>
      <c r="L43" s="228" t="s">
        <v>334</v>
      </c>
      <c r="M43" s="228" t="s">
        <v>335</v>
      </c>
      <c r="N43" s="228" t="s">
        <v>336</v>
      </c>
      <c r="O43" s="228" t="s">
        <v>362</v>
      </c>
      <c r="P43" s="228" t="s">
        <v>363</v>
      </c>
      <c r="Q43" s="232">
        <v>1</v>
      </c>
      <c r="R43" s="228" t="s">
        <v>356</v>
      </c>
      <c r="S43" s="228" t="s">
        <v>357</v>
      </c>
      <c r="T43" s="229">
        <v>80111620</v>
      </c>
      <c r="U43" s="228" t="s">
        <v>385</v>
      </c>
      <c r="V43" s="229">
        <v>1</v>
      </c>
      <c r="W43" s="229">
        <v>1</v>
      </c>
      <c r="X43" s="229">
        <v>330</v>
      </c>
      <c r="Y43" s="234" t="s">
        <v>342</v>
      </c>
      <c r="Z43" s="235" t="s">
        <v>343</v>
      </c>
      <c r="AA43" s="331">
        <v>56650000</v>
      </c>
      <c r="AB43" s="236">
        <v>5150000</v>
      </c>
      <c r="AC43" s="235" t="s">
        <v>386</v>
      </c>
      <c r="AD43" s="248" t="s">
        <v>366</v>
      </c>
      <c r="AE43" s="245"/>
      <c r="AF43" s="238"/>
      <c r="AG43" s="239"/>
      <c r="AH43" s="244"/>
      <c r="AI43" s="355">
        <f t="shared" si="0"/>
        <v>1716666.6666666665</v>
      </c>
      <c r="AJ43" s="355">
        <f t="shared" si="1"/>
        <v>5150000</v>
      </c>
      <c r="AK43" s="355">
        <v>5150000</v>
      </c>
      <c r="AL43" s="355">
        <v>5150000</v>
      </c>
      <c r="AM43" s="325">
        <v>5150000</v>
      </c>
      <c r="AN43" s="325">
        <v>5150000</v>
      </c>
      <c r="AO43" s="325">
        <v>5150000</v>
      </c>
      <c r="AP43" s="325">
        <v>5150000</v>
      </c>
      <c r="AQ43" s="325">
        <v>5150000</v>
      </c>
      <c r="AR43" s="325">
        <v>5150000</v>
      </c>
      <c r="AS43" s="325">
        <v>5150000</v>
      </c>
      <c r="AT43" s="325">
        <f t="shared" si="2"/>
        <v>3433333.333333333</v>
      </c>
      <c r="AU43" s="322">
        <f t="shared" si="3"/>
        <v>56650000</v>
      </c>
      <c r="AV43" s="299">
        <f t="shared" si="4"/>
        <v>0</v>
      </c>
      <c r="AX43" s="296">
        <v>0</v>
      </c>
      <c r="AY43" s="296">
        <v>0</v>
      </c>
      <c r="AZ43" s="296">
        <f t="shared" si="7"/>
        <v>56650000</v>
      </c>
      <c r="BA43" s="296">
        <v>0</v>
      </c>
      <c r="BB43" s="295">
        <f t="shared" si="6"/>
        <v>56650000</v>
      </c>
    </row>
    <row r="44" spans="1:54">
      <c r="A44" s="228" t="s">
        <v>327</v>
      </c>
      <c r="B44" s="229" t="s">
        <v>328</v>
      </c>
      <c r="C44" s="229" t="s">
        <v>328</v>
      </c>
      <c r="D44" s="229">
        <v>404</v>
      </c>
      <c r="E44" s="230">
        <v>404</v>
      </c>
      <c r="F44" s="231">
        <v>7673</v>
      </c>
      <c r="G44" s="228" t="s">
        <v>329</v>
      </c>
      <c r="H44" s="228" t="s">
        <v>330</v>
      </c>
      <c r="I44" s="228" t="s">
        <v>331</v>
      </c>
      <c r="J44" s="228" t="s">
        <v>332</v>
      </c>
      <c r="K44" s="228" t="s">
        <v>333</v>
      </c>
      <c r="L44" s="228" t="s">
        <v>334</v>
      </c>
      <c r="M44" s="228" t="s">
        <v>335</v>
      </c>
      <c r="N44" s="228" t="s">
        <v>336</v>
      </c>
      <c r="O44" s="228" t="s">
        <v>362</v>
      </c>
      <c r="P44" s="228" t="s">
        <v>363</v>
      </c>
      <c r="Q44" s="232">
        <v>1</v>
      </c>
      <c r="R44" s="228" t="s">
        <v>356</v>
      </c>
      <c r="S44" s="228" t="s">
        <v>357</v>
      </c>
      <c r="T44" s="229">
        <v>80111620</v>
      </c>
      <c r="U44" s="228" t="s">
        <v>385</v>
      </c>
      <c r="V44" s="229">
        <v>1</v>
      </c>
      <c r="W44" s="229">
        <v>1</v>
      </c>
      <c r="X44" s="229">
        <v>330</v>
      </c>
      <c r="Y44" s="234" t="s">
        <v>342</v>
      </c>
      <c r="Z44" s="235" t="s">
        <v>343</v>
      </c>
      <c r="AA44" s="331">
        <v>56650000</v>
      </c>
      <c r="AB44" s="236">
        <v>5150000</v>
      </c>
      <c r="AC44" s="235" t="s">
        <v>386</v>
      </c>
      <c r="AD44" s="235" t="s">
        <v>366</v>
      </c>
      <c r="AE44" s="245"/>
      <c r="AF44" s="238"/>
      <c r="AG44" s="239"/>
      <c r="AH44" s="244"/>
      <c r="AI44" s="355">
        <f t="shared" si="0"/>
        <v>1716666.6666666665</v>
      </c>
      <c r="AJ44" s="355">
        <f t="shared" si="1"/>
        <v>5150000</v>
      </c>
      <c r="AK44" s="355">
        <v>5150000</v>
      </c>
      <c r="AL44" s="355">
        <v>5150000</v>
      </c>
      <c r="AM44" s="325">
        <v>5150000</v>
      </c>
      <c r="AN44" s="325">
        <v>5150000</v>
      </c>
      <c r="AO44" s="325">
        <v>5150000</v>
      </c>
      <c r="AP44" s="325">
        <v>5150000</v>
      </c>
      <c r="AQ44" s="325">
        <v>5150000</v>
      </c>
      <c r="AR44" s="325">
        <v>5150000</v>
      </c>
      <c r="AS44" s="325">
        <v>5150000</v>
      </c>
      <c r="AT44" s="325">
        <f t="shared" si="2"/>
        <v>3433333.333333333</v>
      </c>
      <c r="AU44" s="322">
        <f t="shared" si="3"/>
        <v>56650000</v>
      </c>
      <c r="AV44" s="299">
        <f t="shared" si="4"/>
        <v>0</v>
      </c>
      <c r="AX44" s="296">
        <v>0</v>
      </c>
      <c r="AY44" s="296">
        <v>0</v>
      </c>
      <c r="AZ44" s="296">
        <f t="shared" si="7"/>
        <v>56650000</v>
      </c>
      <c r="BA44" s="296">
        <v>0</v>
      </c>
      <c r="BB44" s="295">
        <f t="shared" si="6"/>
        <v>56650000</v>
      </c>
    </row>
    <row r="45" spans="1:54">
      <c r="A45" s="228" t="s">
        <v>327</v>
      </c>
      <c r="B45" s="229" t="s">
        <v>328</v>
      </c>
      <c r="C45" s="229" t="s">
        <v>328</v>
      </c>
      <c r="D45" s="229">
        <v>405</v>
      </c>
      <c r="E45" s="230">
        <v>405</v>
      </c>
      <c r="F45" s="231">
        <v>7673</v>
      </c>
      <c r="G45" s="228" t="s">
        <v>329</v>
      </c>
      <c r="H45" s="228" t="s">
        <v>330</v>
      </c>
      <c r="I45" s="228" t="s">
        <v>331</v>
      </c>
      <c r="J45" s="228" t="s">
        <v>332</v>
      </c>
      <c r="K45" s="228" t="s">
        <v>333</v>
      </c>
      <c r="L45" s="228" t="s">
        <v>334</v>
      </c>
      <c r="M45" s="228" t="s">
        <v>335</v>
      </c>
      <c r="N45" s="228" t="s">
        <v>336</v>
      </c>
      <c r="O45" s="228" t="s">
        <v>362</v>
      </c>
      <c r="P45" s="228" t="s">
        <v>363</v>
      </c>
      <c r="Q45" s="232">
        <v>1</v>
      </c>
      <c r="R45" s="228" t="s">
        <v>356</v>
      </c>
      <c r="S45" s="228" t="s">
        <v>357</v>
      </c>
      <c r="T45" s="229">
        <v>80111620</v>
      </c>
      <c r="U45" s="228" t="s">
        <v>385</v>
      </c>
      <c r="V45" s="229">
        <v>1</v>
      </c>
      <c r="W45" s="229">
        <v>1</v>
      </c>
      <c r="X45" s="229">
        <v>330</v>
      </c>
      <c r="Y45" s="234" t="s">
        <v>342</v>
      </c>
      <c r="Z45" s="235" t="s">
        <v>343</v>
      </c>
      <c r="AA45" s="331">
        <v>56650000</v>
      </c>
      <c r="AB45" s="236">
        <v>5150000</v>
      </c>
      <c r="AC45" s="235" t="s">
        <v>386</v>
      </c>
      <c r="AD45" s="235" t="s">
        <v>366</v>
      </c>
      <c r="AE45" s="247"/>
      <c r="AF45" s="238"/>
      <c r="AG45" s="239"/>
      <c r="AH45" s="244"/>
      <c r="AI45" s="355">
        <f t="shared" si="0"/>
        <v>1716666.6666666665</v>
      </c>
      <c r="AJ45" s="355">
        <f t="shared" si="1"/>
        <v>5150000</v>
      </c>
      <c r="AK45" s="355">
        <v>5150000</v>
      </c>
      <c r="AL45" s="355">
        <v>5150000</v>
      </c>
      <c r="AM45" s="325">
        <v>5150000</v>
      </c>
      <c r="AN45" s="325">
        <v>5150000</v>
      </c>
      <c r="AO45" s="325">
        <v>5150000</v>
      </c>
      <c r="AP45" s="325">
        <v>5150000</v>
      </c>
      <c r="AQ45" s="325">
        <v>5150000</v>
      </c>
      <c r="AR45" s="325">
        <v>5150000</v>
      </c>
      <c r="AS45" s="325">
        <v>5150000</v>
      </c>
      <c r="AT45" s="325">
        <f t="shared" si="2"/>
        <v>3433333.333333333</v>
      </c>
      <c r="AU45" s="322">
        <f t="shared" si="3"/>
        <v>56650000</v>
      </c>
      <c r="AV45" s="299">
        <f t="shared" si="4"/>
        <v>0</v>
      </c>
      <c r="AX45" s="296">
        <v>0</v>
      </c>
      <c r="AY45" s="296">
        <v>0</v>
      </c>
      <c r="AZ45" s="296">
        <f t="shared" si="7"/>
        <v>56650000</v>
      </c>
      <c r="BA45" s="296">
        <v>0</v>
      </c>
      <c r="BB45" s="295">
        <f t="shared" si="6"/>
        <v>56650000</v>
      </c>
    </row>
    <row r="46" spans="1:54">
      <c r="A46" s="228" t="s">
        <v>327</v>
      </c>
      <c r="B46" s="229" t="s">
        <v>328</v>
      </c>
      <c r="C46" s="229" t="s">
        <v>328</v>
      </c>
      <c r="D46" s="229">
        <v>406</v>
      </c>
      <c r="E46" s="230">
        <v>406</v>
      </c>
      <c r="F46" s="231">
        <v>7673</v>
      </c>
      <c r="G46" s="228" t="s">
        <v>329</v>
      </c>
      <c r="H46" s="228" t="s">
        <v>330</v>
      </c>
      <c r="I46" s="228" t="s">
        <v>331</v>
      </c>
      <c r="J46" s="228" t="s">
        <v>332</v>
      </c>
      <c r="K46" s="228" t="s">
        <v>333</v>
      </c>
      <c r="L46" s="228" t="s">
        <v>334</v>
      </c>
      <c r="M46" s="228" t="s">
        <v>335</v>
      </c>
      <c r="N46" s="228" t="s">
        <v>336</v>
      </c>
      <c r="O46" s="228" t="s">
        <v>362</v>
      </c>
      <c r="P46" s="228" t="s">
        <v>363</v>
      </c>
      <c r="Q46" s="232">
        <v>1</v>
      </c>
      <c r="R46" s="228" t="s">
        <v>356</v>
      </c>
      <c r="S46" s="228" t="s">
        <v>357</v>
      </c>
      <c r="T46" s="229">
        <v>80111620</v>
      </c>
      <c r="U46" s="228" t="s">
        <v>385</v>
      </c>
      <c r="V46" s="229">
        <v>1</v>
      </c>
      <c r="W46" s="229">
        <v>1</v>
      </c>
      <c r="X46" s="229">
        <v>330</v>
      </c>
      <c r="Y46" s="234" t="s">
        <v>342</v>
      </c>
      <c r="Z46" s="235" t="s">
        <v>343</v>
      </c>
      <c r="AA46" s="331">
        <v>56650000</v>
      </c>
      <c r="AB46" s="236">
        <v>5150000</v>
      </c>
      <c r="AC46" s="235" t="s">
        <v>386</v>
      </c>
      <c r="AD46" s="235" t="s">
        <v>366</v>
      </c>
      <c r="AE46" s="245"/>
      <c r="AF46" s="238"/>
      <c r="AG46" s="239"/>
      <c r="AH46" s="244"/>
      <c r="AI46" s="355">
        <f t="shared" si="0"/>
        <v>1716666.6666666665</v>
      </c>
      <c r="AJ46" s="355">
        <f t="shared" si="1"/>
        <v>5150000</v>
      </c>
      <c r="AK46" s="355">
        <v>5150000</v>
      </c>
      <c r="AL46" s="355">
        <v>5150000</v>
      </c>
      <c r="AM46" s="325">
        <v>5150000</v>
      </c>
      <c r="AN46" s="325">
        <v>5150000</v>
      </c>
      <c r="AO46" s="325">
        <v>5150000</v>
      </c>
      <c r="AP46" s="325">
        <v>5150000</v>
      </c>
      <c r="AQ46" s="325">
        <v>5150000</v>
      </c>
      <c r="AR46" s="325">
        <v>5150000</v>
      </c>
      <c r="AS46" s="325">
        <v>5150000</v>
      </c>
      <c r="AT46" s="325">
        <f t="shared" si="2"/>
        <v>3433333.333333333</v>
      </c>
      <c r="AU46" s="322">
        <f t="shared" si="3"/>
        <v>56650000</v>
      </c>
      <c r="AV46" s="299">
        <f t="shared" si="4"/>
        <v>0</v>
      </c>
      <c r="AX46" s="296">
        <v>0</v>
      </c>
      <c r="AY46" s="296">
        <v>0</v>
      </c>
      <c r="AZ46" s="296">
        <f t="shared" si="7"/>
        <v>56650000</v>
      </c>
      <c r="BA46" s="296">
        <v>0</v>
      </c>
      <c r="BB46" s="295">
        <f t="shared" si="6"/>
        <v>56650000</v>
      </c>
    </row>
    <row r="47" spans="1:54">
      <c r="A47" s="228" t="s">
        <v>327</v>
      </c>
      <c r="B47" s="229" t="s">
        <v>328</v>
      </c>
      <c r="C47" s="229" t="s">
        <v>328</v>
      </c>
      <c r="D47" s="229">
        <v>407</v>
      </c>
      <c r="E47" s="230">
        <v>407</v>
      </c>
      <c r="F47" s="231">
        <v>7673</v>
      </c>
      <c r="G47" s="228" t="s">
        <v>329</v>
      </c>
      <c r="H47" s="228" t="s">
        <v>330</v>
      </c>
      <c r="I47" s="228" t="s">
        <v>331</v>
      </c>
      <c r="J47" s="228" t="s">
        <v>332</v>
      </c>
      <c r="K47" s="228" t="s">
        <v>333</v>
      </c>
      <c r="L47" s="228" t="s">
        <v>334</v>
      </c>
      <c r="M47" s="228" t="s">
        <v>335</v>
      </c>
      <c r="N47" s="228" t="s">
        <v>336</v>
      </c>
      <c r="O47" s="228" t="s">
        <v>362</v>
      </c>
      <c r="P47" s="228" t="s">
        <v>363</v>
      </c>
      <c r="Q47" s="232">
        <v>1</v>
      </c>
      <c r="R47" s="228" t="s">
        <v>356</v>
      </c>
      <c r="S47" s="228" t="s">
        <v>357</v>
      </c>
      <c r="T47" s="229">
        <v>80111620</v>
      </c>
      <c r="U47" s="228" t="s">
        <v>385</v>
      </c>
      <c r="V47" s="229">
        <v>1</v>
      </c>
      <c r="W47" s="229">
        <v>1</v>
      </c>
      <c r="X47" s="229">
        <v>330</v>
      </c>
      <c r="Y47" s="234" t="s">
        <v>342</v>
      </c>
      <c r="Z47" s="235" t="s">
        <v>343</v>
      </c>
      <c r="AA47" s="331">
        <v>56650000</v>
      </c>
      <c r="AB47" s="236">
        <v>5150000</v>
      </c>
      <c r="AC47" s="235" t="s">
        <v>386</v>
      </c>
      <c r="AD47" s="235" t="s">
        <v>366</v>
      </c>
      <c r="AE47" s="247"/>
      <c r="AF47" s="238"/>
      <c r="AG47" s="239"/>
      <c r="AH47" s="244"/>
      <c r="AI47" s="355">
        <f t="shared" si="0"/>
        <v>1716666.6666666665</v>
      </c>
      <c r="AJ47" s="355">
        <f t="shared" si="1"/>
        <v>5150000</v>
      </c>
      <c r="AK47" s="355">
        <v>5150000</v>
      </c>
      <c r="AL47" s="355">
        <v>5150000</v>
      </c>
      <c r="AM47" s="325">
        <v>5150000</v>
      </c>
      <c r="AN47" s="325">
        <v>5150000</v>
      </c>
      <c r="AO47" s="325">
        <v>5150000</v>
      </c>
      <c r="AP47" s="325">
        <v>5150000</v>
      </c>
      <c r="AQ47" s="325">
        <v>5150000</v>
      </c>
      <c r="AR47" s="325">
        <v>5150000</v>
      </c>
      <c r="AS47" s="325">
        <v>5150000</v>
      </c>
      <c r="AT47" s="325">
        <f t="shared" si="2"/>
        <v>3433333.333333333</v>
      </c>
      <c r="AU47" s="322">
        <f t="shared" si="3"/>
        <v>56650000</v>
      </c>
      <c r="AV47" s="299">
        <f t="shared" si="4"/>
        <v>0</v>
      </c>
      <c r="AX47" s="296">
        <v>0</v>
      </c>
      <c r="AY47" s="296">
        <v>0</v>
      </c>
      <c r="AZ47" s="296">
        <f t="shared" si="7"/>
        <v>56650000</v>
      </c>
      <c r="BA47" s="296">
        <v>0</v>
      </c>
      <c r="BB47" s="295">
        <f t="shared" si="6"/>
        <v>56650000</v>
      </c>
    </row>
    <row r="48" spans="1:54">
      <c r="A48" s="228" t="s">
        <v>327</v>
      </c>
      <c r="B48" s="229" t="s">
        <v>328</v>
      </c>
      <c r="C48" s="229" t="s">
        <v>328</v>
      </c>
      <c r="D48" s="229">
        <v>408</v>
      </c>
      <c r="E48" s="230">
        <v>408</v>
      </c>
      <c r="F48" s="231">
        <v>7673</v>
      </c>
      <c r="G48" s="228" t="s">
        <v>329</v>
      </c>
      <c r="H48" s="228" t="s">
        <v>330</v>
      </c>
      <c r="I48" s="228" t="s">
        <v>331</v>
      </c>
      <c r="J48" s="228" t="s">
        <v>332</v>
      </c>
      <c r="K48" s="228" t="s">
        <v>333</v>
      </c>
      <c r="L48" s="228" t="s">
        <v>334</v>
      </c>
      <c r="M48" s="228" t="s">
        <v>335</v>
      </c>
      <c r="N48" s="228" t="s">
        <v>336</v>
      </c>
      <c r="O48" s="228" t="s">
        <v>362</v>
      </c>
      <c r="P48" s="228" t="s">
        <v>363</v>
      </c>
      <c r="Q48" s="232">
        <v>1</v>
      </c>
      <c r="R48" s="228" t="s">
        <v>356</v>
      </c>
      <c r="S48" s="228" t="s">
        <v>357</v>
      </c>
      <c r="T48" s="229">
        <v>80111620</v>
      </c>
      <c r="U48" s="228" t="s">
        <v>385</v>
      </c>
      <c r="V48" s="229">
        <v>1</v>
      </c>
      <c r="W48" s="229">
        <v>1</v>
      </c>
      <c r="X48" s="229">
        <v>330</v>
      </c>
      <c r="Y48" s="234" t="s">
        <v>342</v>
      </c>
      <c r="Z48" s="235" t="s">
        <v>343</v>
      </c>
      <c r="AA48" s="331">
        <v>56650000</v>
      </c>
      <c r="AB48" s="236">
        <v>5150000</v>
      </c>
      <c r="AC48" s="235" t="s">
        <v>386</v>
      </c>
      <c r="AD48" s="235" t="s">
        <v>366</v>
      </c>
      <c r="AE48" s="245"/>
      <c r="AF48" s="238"/>
      <c r="AG48" s="239"/>
      <c r="AH48" s="244"/>
      <c r="AI48" s="355">
        <f t="shared" si="0"/>
        <v>1716666.6666666665</v>
      </c>
      <c r="AJ48" s="355">
        <f t="shared" si="1"/>
        <v>5150000</v>
      </c>
      <c r="AK48" s="355">
        <v>5150000</v>
      </c>
      <c r="AL48" s="355">
        <v>5150000</v>
      </c>
      <c r="AM48" s="325">
        <v>5150000</v>
      </c>
      <c r="AN48" s="325">
        <v>5150000</v>
      </c>
      <c r="AO48" s="325">
        <v>5150000</v>
      </c>
      <c r="AP48" s="325">
        <v>5150000</v>
      </c>
      <c r="AQ48" s="325">
        <v>5150000</v>
      </c>
      <c r="AR48" s="325">
        <v>5150000</v>
      </c>
      <c r="AS48" s="325">
        <v>5150000</v>
      </c>
      <c r="AT48" s="325">
        <f t="shared" si="2"/>
        <v>3433333.333333333</v>
      </c>
      <c r="AU48" s="322">
        <f t="shared" si="3"/>
        <v>56650000</v>
      </c>
      <c r="AV48" s="299">
        <f t="shared" si="4"/>
        <v>0</v>
      </c>
      <c r="AX48" s="296">
        <v>0</v>
      </c>
      <c r="AY48" s="296">
        <v>0</v>
      </c>
      <c r="AZ48" s="296">
        <f t="shared" si="7"/>
        <v>56650000</v>
      </c>
      <c r="BA48" s="296">
        <v>0</v>
      </c>
      <c r="BB48" s="295">
        <f t="shared" si="6"/>
        <v>56650000</v>
      </c>
    </row>
    <row r="49" spans="1:54">
      <c r="A49" s="228" t="s">
        <v>327</v>
      </c>
      <c r="B49" s="229" t="s">
        <v>328</v>
      </c>
      <c r="C49" s="229" t="s">
        <v>328</v>
      </c>
      <c r="D49" s="229">
        <v>409</v>
      </c>
      <c r="E49" s="230">
        <v>409</v>
      </c>
      <c r="F49" s="231">
        <v>7673</v>
      </c>
      <c r="G49" s="228" t="s">
        <v>329</v>
      </c>
      <c r="H49" s="228" t="s">
        <v>330</v>
      </c>
      <c r="I49" s="228" t="s">
        <v>331</v>
      </c>
      <c r="J49" s="228" t="s">
        <v>332</v>
      </c>
      <c r="K49" s="228" t="s">
        <v>333</v>
      </c>
      <c r="L49" s="228" t="s">
        <v>334</v>
      </c>
      <c r="M49" s="228" t="s">
        <v>335</v>
      </c>
      <c r="N49" s="228" t="s">
        <v>336</v>
      </c>
      <c r="O49" s="228" t="s">
        <v>362</v>
      </c>
      <c r="P49" s="228" t="s">
        <v>363</v>
      </c>
      <c r="Q49" s="232">
        <v>1</v>
      </c>
      <c r="R49" s="228" t="s">
        <v>356</v>
      </c>
      <c r="S49" s="228" t="s">
        <v>357</v>
      </c>
      <c r="T49" s="229">
        <v>80111620</v>
      </c>
      <c r="U49" s="228" t="s">
        <v>385</v>
      </c>
      <c r="V49" s="229">
        <v>1</v>
      </c>
      <c r="W49" s="229">
        <v>1</v>
      </c>
      <c r="X49" s="229">
        <v>330</v>
      </c>
      <c r="Y49" s="234" t="s">
        <v>342</v>
      </c>
      <c r="Z49" s="235" t="s">
        <v>343</v>
      </c>
      <c r="AA49" s="331">
        <v>56650000</v>
      </c>
      <c r="AB49" s="236">
        <v>5150000</v>
      </c>
      <c r="AC49" s="235" t="s">
        <v>386</v>
      </c>
      <c r="AD49" s="235" t="s">
        <v>366</v>
      </c>
      <c r="AE49" s="245"/>
      <c r="AF49" s="238"/>
      <c r="AG49" s="239"/>
      <c r="AH49" s="244"/>
      <c r="AI49" s="355">
        <f t="shared" si="0"/>
        <v>1716666.6666666665</v>
      </c>
      <c r="AJ49" s="355">
        <f t="shared" si="1"/>
        <v>5150000</v>
      </c>
      <c r="AK49" s="355">
        <v>5150000</v>
      </c>
      <c r="AL49" s="355">
        <v>5150000</v>
      </c>
      <c r="AM49" s="325">
        <v>5150000</v>
      </c>
      <c r="AN49" s="325">
        <v>5150000</v>
      </c>
      <c r="AO49" s="325">
        <v>5150000</v>
      </c>
      <c r="AP49" s="325">
        <v>5150000</v>
      </c>
      <c r="AQ49" s="325">
        <v>5150000</v>
      </c>
      <c r="AR49" s="325">
        <v>5150000</v>
      </c>
      <c r="AS49" s="325">
        <v>5150000</v>
      </c>
      <c r="AT49" s="325">
        <f t="shared" si="2"/>
        <v>3433333.333333333</v>
      </c>
      <c r="AU49" s="322">
        <f t="shared" si="3"/>
        <v>56650000</v>
      </c>
      <c r="AV49" s="299">
        <f t="shared" si="4"/>
        <v>0</v>
      </c>
      <c r="AX49" s="296">
        <v>0</v>
      </c>
      <c r="AY49" s="296">
        <v>0</v>
      </c>
      <c r="AZ49" s="296">
        <f t="shared" si="7"/>
        <v>56650000</v>
      </c>
      <c r="BA49" s="296">
        <v>0</v>
      </c>
      <c r="BB49" s="295">
        <f t="shared" si="6"/>
        <v>56650000</v>
      </c>
    </row>
    <row r="50" spans="1:54">
      <c r="A50" s="228" t="s">
        <v>327</v>
      </c>
      <c r="B50" s="229" t="s">
        <v>328</v>
      </c>
      <c r="C50" s="229" t="s">
        <v>328</v>
      </c>
      <c r="D50" s="229">
        <v>410</v>
      </c>
      <c r="E50" s="230">
        <v>410</v>
      </c>
      <c r="F50" s="231">
        <v>7673</v>
      </c>
      <c r="G50" s="228" t="s">
        <v>329</v>
      </c>
      <c r="H50" s="228" t="s">
        <v>330</v>
      </c>
      <c r="I50" s="228" t="s">
        <v>331</v>
      </c>
      <c r="J50" s="228" t="s">
        <v>332</v>
      </c>
      <c r="K50" s="228" t="s">
        <v>333</v>
      </c>
      <c r="L50" s="228" t="s">
        <v>334</v>
      </c>
      <c r="M50" s="228" t="s">
        <v>335</v>
      </c>
      <c r="N50" s="228" t="s">
        <v>336</v>
      </c>
      <c r="O50" s="228" t="s">
        <v>362</v>
      </c>
      <c r="P50" s="228" t="s">
        <v>363</v>
      </c>
      <c r="Q50" s="232">
        <v>1</v>
      </c>
      <c r="R50" s="228" t="s">
        <v>356</v>
      </c>
      <c r="S50" s="228" t="s">
        <v>357</v>
      </c>
      <c r="T50" s="229">
        <v>80111620</v>
      </c>
      <c r="U50" s="228" t="s">
        <v>385</v>
      </c>
      <c r="V50" s="229">
        <v>1</v>
      </c>
      <c r="W50" s="229">
        <v>1</v>
      </c>
      <c r="X50" s="229">
        <v>330</v>
      </c>
      <c r="Y50" s="234" t="s">
        <v>342</v>
      </c>
      <c r="Z50" s="235" t="s">
        <v>343</v>
      </c>
      <c r="AA50" s="331">
        <v>56650000</v>
      </c>
      <c r="AB50" s="236">
        <v>5150000</v>
      </c>
      <c r="AC50" s="235" t="s">
        <v>386</v>
      </c>
      <c r="AD50" s="235" t="s">
        <v>366</v>
      </c>
      <c r="AE50" s="245"/>
      <c r="AF50" s="238"/>
      <c r="AG50" s="239"/>
      <c r="AH50" s="244"/>
      <c r="AI50" s="355">
        <f t="shared" si="0"/>
        <v>1716666.6666666665</v>
      </c>
      <c r="AJ50" s="355">
        <f t="shared" si="1"/>
        <v>5150000</v>
      </c>
      <c r="AK50" s="355">
        <v>5150000</v>
      </c>
      <c r="AL50" s="355">
        <v>5150000</v>
      </c>
      <c r="AM50" s="325">
        <v>5150000</v>
      </c>
      <c r="AN50" s="325">
        <v>5150000</v>
      </c>
      <c r="AO50" s="325">
        <v>5150000</v>
      </c>
      <c r="AP50" s="325">
        <v>5150000</v>
      </c>
      <c r="AQ50" s="325">
        <v>5150000</v>
      </c>
      <c r="AR50" s="325">
        <v>5150000</v>
      </c>
      <c r="AS50" s="325">
        <v>5150000</v>
      </c>
      <c r="AT50" s="325">
        <f t="shared" si="2"/>
        <v>3433333.333333333</v>
      </c>
      <c r="AU50" s="322">
        <f t="shared" si="3"/>
        <v>56650000</v>
      </c>
      <c r="AV50" s="299">
        <f t="shared" si="4"/>
        <v>0</v>
      </c>
      <c r="AX50" s="296">
        <v>0</v>
      </c>
      <c r="AY50" s="296">
        <v>0</v>
      </c>
      <c r="AZ50" s="296">
        <f t="shared" si="7"/>
        <v>56650000</v>
      </c>
      <c r="BA50" s="296">
        <v>0</v>
      </c>
      <c r="BB50" s="295">
        <f t="shared" si="6"/>
        <v>56650000</v>
      </c>
    </row>
    <row r="51" spans="1:54">
      <c r="A51" s="228" t="s">
        <v>327</v>
      </c>
      <c r="B51" s="229" t="s">
        <v>328</v>
      </c>
      <c r="C51" s="229" t="s">
        <v>328</v>
      </c>
      <c r="D51" s="229">
        <v>411</v>
      </c>
      <c r="E51" s="230">
        <v>411</v>
      </c>
      <c r="F51" s="231">
        <v>7673</v>
      </c>
      <c r="G51" s="228" t="s">
        <v>329</v>
      </c>
      <c r="H51" s="228" t="s">
        <v>330</v>
      </c>
      <c r="I51" s="228" t="s">
        <v>331</v>
      </c>
      <c r="J51" s="228" t="s">
        <v>332</v>
      </c>
      <c r="K51" s="228" t="s">
        <v>333</v>
      </c>
      <c r="L51" s="228" t="s">
        <v>334</v>
      </c>
      <c r="M51" s="228" t="s">
        <v>335</v>
      </c>
      <c r="N51" s="228" t="s">
        <v>336</v>
      </c>
      <c r="O51" s="228" t="s">
        <v>362</v>
      </c>
      <c r="P51" s="228" t="s">
        <v>363</v>
      </c>
      <c r="Q51" s="232">
        <v>1</v>
      </c>
      <c r="R51" s="228" t="s">
        <v>356</v>
      </c>
      <c r="S51" s="228" t="s">
        <v>357</v>
      </c>
      <c r="T51" s="229">
        <v>80111620</v>
      </c>
      <c r="U51" s="228" t="s">
        <v>385</v>
      </c>
      <c r="V51" s="229">
        <v>1</v>
      </c>
      <c r="W51" s="229">
        <v>1</v>
      </c>
      <c r="X51" s="229">
        <v>330</v>
      </c>
      <c r="Y51" s="234" t="s">
        <v>342</v>
      </c>
      <c r="Z51" s="235" t="s">
        <v>343</v>
      </c>
      <c r="AA51" s="331">
        <v>56650000</v>
      </c>
      <c r="AB51" s="236">
        <v>5150000</v>
      </c>
      <c r="AC51" s="235" t="s">
        <v>386</v>
      </c>
      <c r="AD51" s="235" t="s">
        <v>366</v>
      </c>
      <c r="AE51" s="245"/>
      <c r="AF51" s="238"/>
      <c r="AG51" s="241"/>
      <c r="AH51" s="241"/>
      <c r="AI51" s="355">
        <f t="shared" si="0"/>
        <v>1716666.6666666665</v>
      </c>
      <c r="AJ51" s="355">
        <f t="shared" si="1"/>
        <v>5150000</v>
      </c>
      <c r="AK51" s="355">
        <v>5150000</v>
      </c>
      <c r="AL51" s="355">
        <v>5150000</v>
      </c>
      <c r="AM51" s="325">
        <v>5150000</v>
      </c>
      <c r="AN51" s="325">
        <v>5150000</v>
      </c>
      <c r="AO51" s="325">
        <v>5150000</v>
      </c>
      <c r="AP51" s="325">
        <v>5150000</v>
      </c>
      <c r="AQ51" s="325">
        <v>5150000</v>
      </c>
      <c r="AR51" s="325">
        <v>5150000</v>
      </c>
      <c r="AS51" s="325">
        <v>5150000</v>
      </c>
      <c r="AT51" s="325">
        <f t="shared" si="2"/>
        <v>3433333.333333333</v>
      </c>
      <c r="AU51" s="322">
        <f t="shared" si="3"/>
        <v>56650000</v>
      </c>
      <c r="AV51" s="299">
        <f t="shared" si="4"/>
        <v>0</v>
      </c>
      <c r="AX51" s="296">
        <v>0</v>
      </c>
      <c r="AY51" s="296">
        <v>0</v>
      </c>
      <c r="AZ51" s="296">
        <f t="shared" si="7"/>
        <v>56650000</v>
      </c>
      <c r="BA51" s="296">
        <v>0</v>
      </c>
      <c r="BB51" s="295">
        <f t="shared" si="6"/>
        <v>56650000</v>
      </c>
    </row>
    <row r="52" spans="1:54">
      <c r="A52" s="228" t="s">
        <v>327</v>
      </c>
      <c r="B52" s="229" t="s">
        <v>328</v>
      </c>
      <c r="C52" s="229" t="s">
        <v>328</v>
      </c>
      <c r="D52" s="229">
        <v>412</v>
      </c>
      <c r="E52" s="230">
        <v>412</v>
      </c>
      <c r="F52" s="231">
        <v>7673</v>
      </c>
      <c r="G52" s="228" t="s">
        <v>329</v>
      </c>
      <c r="H52" s="228" t="s">
        <v>330</v>
      </c>
      <c r="I52" s="228" t="s">
        <v>331</v>
      </c>
      <c r="J52" s="228" t="s">
        <v>332</v>
      </c>
      <c r="K52" s="228" t="s">
        <v>333</v>
      </c>
      <c r="L52" s="228" t="s">
        <v>334</v>
      </c>
      <c r="M52" s="228" t="s">
        <v>335</v>
      </c>
      <c r="N52" s="228" t="s">
        <v>336</v>
      </c>
      <c r="O52" s="228" t="s">
        <v>362</v>
      </c>
      <c r="P52" s="228" t="s">
        <v>363</v>
      </c>
      <c r="Q52" s="232">
        <v>1</v>
      </c>
      <c r="R52" s="228" t="s">
        <v>339</v>
      </c>
      <c r="S52" s="228" t="s">
        <v>340</v>
      </c>
      <c r="T52" s="229">
        <v>80111600</v>
      </c>
      <c r="U52" s="228" t="s">
        <v>387</v>
      </c>
      <c r="V52" s="229">
        <v>1</v>
      </c>
      <c r="W52" s="229">
        <v>1</v>
      </c>
      <c r="X52" s="229">
        <v>330</v>
      </c>
      <c r="Y52" s="234" t="s">
        <v>342</v>
      </c>
      <c r="Z52" s="235" t="s">
        <v>343</v>
      </c>
      <c r="AA52" s="331">
        <v>88000000</v>
      </c>
      <c r="AB52" s="236">
        <v>8000000</v>
      </c>
      <c r="AC52" s="235" t="s">
        <v>388</v>
      </c>
      <c r="AD52" s="235" t="s">
        <v>389</v>
      </c>
      <c r="AE52" s="245"/>
      <c r="AF52" s="238"/>
      <c r="AG52" s="241"/>
      <c r="AH52" s="241"/>
      <c r="AI52" s="355">
        <f t="shared" si="0"/>
        <v>2666666.666666667</v>
      </c>
      <c r="AJ52" s="355">
        <f t="shared" si="1"/>
        <v>8000000</v>
      </c>
      <c r="AK52" s="355">
        <v>8000000</v>
      </c>
      <c r="AL52" s="355">
        <v>8000000</v>
      </c>
      <c r="AM52" s="325">
        <v>8000000</v>
      </c>
      <c r="AN52" s="325">
        <v>8000000</v>
      </c>
      <c r="AO52" s="325">
        <v>8000000</v>
      </c>
      <c r="AP52" s="325">
        <v>8000000</v>
      </c>
      <c r="AQ52" s="325">
        <v>8000000</v>
      </c>
      <c r="AR52" s="325">
        <v>8000000</v>
      </c>
      <c r="AS52" s="325">
        <v>8000000</v>
      </c>
      <c r="AT52" s="325">
        <f t="shared" si="2"/>
        <v>5333333.333333334</v>
      </c>
      <c r="AU52" s="322">
        <f t="shared" si="3"/>
        <v>88000000</v>
      </c>
      <c r="AV52" s="299">
        <f t="shared" si="4"/>
        <v>0</v>
      </c>
      <c r="AX52" s="296">
        <v>0</v>
      </c>
      <c r="AY52" s="296">
        <v>0</v>
      </c>
      <c r="AZ52" s="296">
        <f t="shared" si="7"/>
        <v>88000000</v>
      </c>
      <c r="BA52" s="296">
        <v>0</v>
      </c>
      <c r="BB52" s="295">
        <f t="shared" si="6"/>
        <v>88000000</v>
      </c>
    </row>
    <row r="53" spans="1:54" s="272" customFormat="1" hidden="1">
      <c r="A53" s="262" t="s">
        <v>327</v>
      </c>
      <c r="B53" s="263" t="s">
        <v>328</v>
      </c>
      <c r="C53" s="263" t="s">
        <v>328</v>
      </c>
      <c r="D53" s="263">
        <v>413</v>
      </c>
      <c r="E53" s="263">
        <v>413</v>
      </c>
      <c r="F53" s="264">
        <v>7673</v>
      </c>
      <c r="G53" s="262" t="s">
        <v>329</v>
      </c>
      <c r="H53" s="262" t="s">
        <v>390</v>
      </c>
      <c r="I53" s="262" t="s">
        <v>391</v>
      </c>
      <c r="J53" s="262" t="s">
        <v>332</v>
      </c>
      <c r="K53" s="262" t="s">
        <v>333</v>
      </c>
      <c r="L53" s="262" t="s">
        <v>334</v>
      </c>
      <c r="M53" s="262" t="s">
        <v>335</v>
      </c>
      <c r="N53" s="262" t="s">
        <v>336</v>
      </c>
      <c r="O53" s="262" t="s">
        <v>337</v>
      </c>
      <c r="P53" s="262" t="s">
        <v>338</v>
      </c>
      <c r="Q53" s="265">
        <v>1</v>
      </c>
      <c r="R53" s="262" t="s">
        <v>392</v>
      </c>
      <c r="S53" s="262" t="s">
        <v>393</v>
      </c>
      <c r="T53" s="263">
        <v>72151605</v>
      </c>
      <c r="U53" s="262" t="s">
        <v>394</v>
      </c>
      <c r="V53" s="263">
        <v>3</v>
      </c>
      <c r="W53" s="263">
        <v>5</v>
      </c>
      <c r="X53" s="263">
        <v>210</v>
      </c>
      <c r="Y53" s="262" t="s">
        <v>395</v>
      </c>
      <c r="Z53" s="266" t="s">
        <v>343</v>
      </c>
      <c r="AA53" s="382">
        <v>157760500</v>
      </c>
      <c r="AB53" s="267">
        <v>22537214.285714287</v>
      </c>
      <c r="AC53" s="266" t="s">
        <v>396</v>
      </c>
      <c r="AD53" s="266" t="s">
        <v>397</v>
      </c>
      <c r="AE53" s="268"/>
      <c r="AF53" s="269"/>
      <c r="AG53" s="270"/>
      <c r="AH53" s="300"/>
      <c r="AI53" s="356">
        <v>0</v>
      </c>
      <c r="AJ53" s="356">
        <v>0</v>
      </c>
      <c r="AK53" s="356">
        <v>0</v>
      </c>
      <c r="AL53" s="356">
        <v>0</v>
      </c>
      <c r="AM53" s="357">
        <v>0</v>
      </c>
      <c r="AN53" s="356">
        <v>22537214.285714287</v>
      </c>
      <c r="AO53" s="356">
        <v>22537214.285714287</v>
      </c>
      <c r="AP53" s="356">
        <v>22537214.285714287</v>
      </c>
      <c r="AQ53" s="356">
        <v>22537214.285714287</v>
      </c>
      <c r="AR53" s="356">
        <v>22537214.285714287</v>
      </c>
      <c r="AS53" s="356">
        <v>22537214.285714287</v>
      </c>
      <c r="AT53" s="356">
        <v>22537214.285714287</v>
      </c>
      <c r="AU53" s="323">
        <f t="shared" si="3"/>
        <v>157760500.00000003</v>
      </c>
      <c r="AV53" s="303">
        <f t="shared" si="4"/>
        <v>0</v>
      </c>
      <c r="AW53" s="301"/>
      <c r="AX53" s="301">
        <f>AU53</f>
        <v>157760500.00000003</v>
      </c>
      <c r="AY53" s="301">
        <v>0</v>
      </c>
      <c r="AZ53" s="301">
        <v>0</v>
      </c>
      <c r="BA53" s="301">
        <v>0</v>
      </c>
      <c r="BB53" s="302">
        <f t="shared" si="6"/>
        <v>157760500.00000003</v>
      </c>
    </row>
    <row r="54" spans="1:54" s="346" customFormat="1" hidden="1">
      <c r="A54" s="332" t="s">
        <v>327</v>
      </c>
      <c r="B54" s="333" t="s">
        <v>328</v>
      </c>
      <c r="C54" s="333" t="s">
        <v>328</v>
      </c>
      <c r="D54" s="333">
        <v>414</v>
      </c>
      <c r="E54" s="333">
        <v>414</v>
      </c>
      <c r="F54" s="334">
        <v>7673</v>
      </c>
      <c r="G54" s="332" t="s">
        <v>329</v>
      </c>
      <c r="H54" s="332" t="s">
        <v>398</v>
      </c>
      <c r="I54" s="332" t="s">
        <v>399</v>
      </c>
      <c r="J54" s="332" t="s">
        <v>332</v>
      </c>
      <c r="K54" s="332" t="s">
        <v>333</v>
      </c>
      <c r="L54" s="332" t="s">
        <v>334</v>
      </c>
      <c r="M54" s="332" t="s">
        <v>335</v>
      </c>
      <c r="N54" s="332" t="s">
        <v>336</v>
      </c>
      <c r="O54" s="332" t="s">
        <v>337</v>
      </c>
      <c r="P54" s="332" t="s">
        <v>338</v>
      </c>
      <c r="Q54" s="335">
        <v>1</v>
      </c>
      <c r="R54" s="332" t="s">
        <v>400</v>
      </c>
      <c r="S54" s="332" t="s">
        <v>401</v>
      </c>
      <c r="T54" s="333" t="s">
        <v>402</v>
      </c>
      <c r="U54" s="332" t="s">
        <v>403</v>
      </c>
      <c r="V54" s="333">
        <v>3</v>
      </c>
      <c r="W54" s="333">
        <v>5</v>
      </c>
      <c r="X54" s="333">
        <v>30</v>
      </c>
      <c r="Y54" s="332" t="s">
        <v>404</v>
      </c>
      <c r="Z54" s="336" t="s">
        <v>343</v>
      </c>
      <c r="AA54" s="380">
        <v>92608376</v>
      </c>
      <c r="AB54" s="337">
        <v>92608376</v>
      </c>
      <c r="AC54" s="336" t="s">
        <v>405</v>
      </c>
      <c r="AD54" s="336" t="s">
        <v>345</v>
      </c>
      <c r="AE54" s="338"/>
      <c r="AF54" s="339"/>
      <c r="AG54" s="340"/>
      <c r="AH54" s="341"/>
      <c r="AI54" s="358">
        <v>0</v>
      </c>
      <c r="AJ54" s="358">
        <v>0</v>
      </c>
      <c r="AK54" s="358">
        <v>0</v>
      </c>
      <c r="AL54" s="358">
        <v>0</v>
      </c>
      <c r="AM54" s="359">
        <v>0</v>
      </c>
      <c r="AN54" s="359">
        <v>0</v>
      </c>
      <c r="AO54" s="359">
        <v>0</v>
      </c>
      <c r="AP54" s="359">
        <v>0</v>
      </c>
      <c r="AQ54" s="359">
        <v>0</v>
      </c>
      <c r="AR54" s="359">
        <v>92608376</v>
      </c>
      <c r="AS54" s="359">
        <v>0</v>
      </c>
      <c r="AT54" s="359">
        <v>0</v>
      </c>
      <c r="AU54" s="342">
        <f t="shared" si="3"/>
        <v>92608376</v>
      </c>
      <c r="AV54" s="343">
        <f t="shared" si="4"/>
        <v>0</v>
      </c>
      <c r="AW54" s="344"/>
      <c r="AX54" s="344">
        <f>+AU54</f>
        <v>92608376</v>
      </c>
      <c r="AY54" s="344">
        <v>0</v>
      </c>
      <c r="AZ54" s="344">
        <v>0</v>
      </c>
      <c r="BA54" s="344">
        <v>0</v>
      </c>
      <c r="BB54" s="345">
        <f t="shared" si="6"/>
        <v>92608376</v>
      </c>
    </row>
    <row r="55" spans="1:54" s="272" customFormat="1" hidden="1">
      <c r="A55" s="262" t="s">
        <v>327</v>
      </c>
      <c r="B55" s="263" t="s">
        <v>328</v>
      </c>
      <c r="C55" s="263" t="s">
        <v>328</v>
      </c>
      <c r="D55" s="263">
        <v>415</v>
      </c>
      <c r="E55" s="263">
        <v>415</v>
      </c>
      <c r="F55" s="264">
        <v>7673</v>
      </c>
      <c r="G55" s="262" t="s">
        <v>329</v>
      </c>
      <c r="H55" s="262" t="s">
        <v>406</v>
      </c>
      <c r="I55" s="262" t="s">
        <v>407</v>
      </c>
      <c r="J55" s="262" t="s">
        <v>332</v>
      </c>
      <c r="K55" s="262" t="s">
        <v>333</v>
      </c>
      <c r="L55" s="262" t="s">
        <v>334</v>
      </c>
      <c r="M55" s="262" t="s">
        <v>335</v>
      </c>
      <c r="N55" s="262" t="s">
        <v>336</v>
      </c>
      <c r="O55" s="262" t="s">
        <v>362</v>
      </c>
      <c r="P55" s="262" t="s">
        <v>408</v>
      </c>
      <c r="Q55" s="265">
        <v>1</v>
      </c>
      <c r="R55" s="262" t="s">
        <v>356</v>
      </c>
      <c r="S55" s="262" t="s">
        <v>357</v>
      </c>
      <c r="T55" s="263" t="s">
        <v>409</v>
      </c>
      <c r="U55" s="262" t="s">
        <v>410</v>
      </c>
      <c r="V55" s="263">
        <v>4</v>
      </c>
      <c r="W55" s="263">
        <v>5</v>
      </c>
      <c r="X55" s="263">
        <v>240</v>
      </c>
      <c r="Y55" s="273" t="s">
        <v>342</v>
      </c>
      <c r="Z55" s="266" t="s">
        <v>343</v>
      </c>
      <c r="AA55" s="267">
        <v>184761500</v>
      </c>
      <c r="AB55" s="267">
        <v>23095187.5</v>
      </c>
      <c r="AC55" s="266" t="s">
        <v>411</v>
      </c>
      <c r="AD55" s="266" t="s">
        <v>366</v>
      </c>
      <c r="AE55" s="268"/>
      <c r="AF55" s="269"/>
      <c r="AG55" s="270"/>
      <c r="AH55" s="270"/>
      <c r="AI55" s="356">
        <v>0</v>
      </c>
      <c r="AJ55" s="356">
        <v>0</v>
      </c>
      <c r="AK55" s="356">
        <v>0</v>
      </c>
      <c r="AL55" s="356">
        <v>0</v>
      </c>
      <c r="AM55" s="357">
        <v>0</v>
      </c>
      <c r="AN55" s="357">
        <v>0</v>
      </c>
      <c r="AO55" s="357">
        <v>0</v>
      </c>
      <c r="AP55" s="357">
        <f>AA55*40%</f>
        <v>73904600</v>
      </c>
      <c r="AQ55" s="357">
        <v>0</v>
      </c>
      <c r="AR55" s="357">
        <f>AA55*30%</f>
        <v>55428450</v>
      </c>
      <c r="AS55" s="357">
        <v>0</v>
      </c>
      <c r="AT55" s="357">
        <f>AA55*30%</f>
        <v>55428450</v>
      </c>
      <c r="AU55" s="323">
        <f>SUM(AI55:AT55)</f>
        <v>184761500</v>
      </c>
      <c r="AV55" s="303">
        <f t="shared" si="4"/>
        <v>0</v>
      </c>
      <c r="AW55" s="301"/>
      <c r="AX55" s="301">
        <v>0</v>
      </c>
      <c r="AY55" s="301">
        <f>+AU55</f>
        <v>184761500</v>
      </c>
      <c r="AZ55" s="301">
        <v>0</v>
      </c>
      <c r="BA55" s="301">
        <v>0</v>
      </c>
      <c r="BB55" s="302">
        <f t="shared" si="6"/>
        <v>184761500</v>
      </c>
    </row>
    <row r="56" spans="1:54" s="272" customFormat="1" hidden="1">
      <c r="A56" s="262" t="s">
        <v>327</v>
      </c>
      <c r="B56" s="263" t="s">
        <v>328</v>
      </c>
      <c r="C56" s="263" t="s">
        <v>328</v>
      </c>
      <c r="D56" s="263" t="s">
        <v>412</v>
      </c>
      <c r="E56" s="263">
        <v>934</v>
      </c>
      <c r="F56" s="264">
        <v>7673</v>
      </c>
      <c r="G56" s="262" t="s">
        <v>329</v>
      </c>
      <c r="H56" s="262" t="s">
        <v>413</v>
      </c>
      <c r="I56" s="262" t="s">
        <v>407</v>
      </c>
      <c r="J56" s="262" t="s">
        <v>332</v>
      </c>
      <c r="K56" s="262" t="s">
        <v>333</v>
      </c>
      <c r="L56" s="262" t="s">
        <v>334</v>
      </c>
      <c r="M56" s="262" t="s">
        <v>335</v>
      </c>
      <c r="N56" s="274" t="s">
        <v>336</v>
      </c>
      <c r="O56" s="262" t="s">
        <v>337</v>
      </c>
      <c r="P56" s="262" t="s">
        <v>338</v>
      </c>
      <c r="Q56" s="265">
        <v>1</v>
      </c>
      <c r="R56" s="262" t="s">
        <v>414</v>
      </c>
      <c r="S56" s="262" t="s">
        <v>415</v>
      </c>
      <c r="T56" s="263" t="s">
        <v>416</v>
      </c>
      <c r="U56" s="262" t="s">
        <v>417</v>
      </c>
      <c r="V56" s="263">
        <v>8</v>
      </c>
      <c r="W56" s="263">
        <v>11</v>
      </c>
      <c r="X56" s="263">
        <v>360</v>
      </c>
      <c r="Y56" s="275" t="s">
        <v>404</v>
      </c>
      <c r="Z56" s="266" t="s">
        <v>343</v>
      </c>
      <c r="AA56" s="382">
        <v>3360000</v>
      </c>
      <c r="AB56" s="267">
        <v>280000</v>
      </c>
      <c r="AC56" s="266" t="s">
        <v>418</v>
      </c>
      <c r="AD56" s="266" t="s">
        <v>419</v>
      </c>
      <c r="AE56" s="268"/>
      <c r="AF56" s="269"/>
      <c r="AG56" s="276"/>
      <c r="AH56" s="301"/>
      <c r="AI56" s="357">
        <v>280000</v>
      </c>
      <c r="AJ56" s="357">
        <v>280000</v>
      </c>
      <c r="AK56" s="357">
        <v>280000</v>
      </c>
      <c r="AL56" s="357">
        <v>280000</v>
      </c>
      <c r="AM56" s="357">
        <v>280000</v>
      </c>
      <c r="AN56" s="357">
        <v>280000</v>
      </c>
      <c r="AO56" s="357">
        <v>280000</v>
      </c>
      <c r="AP56" s="357">
        <v>280000</v>
      </c>
      <c r="AQ56" s="357">
        <v>280000</v>
      </c>
      <c r="AR56" s="357">
        <v>280000</v>
      </c>
      <c r="AS56" s="357">
        <v>280000</v>
      </c>
      <c r="AT56" s="357">
        <v>280000</v>
      </c>
      <c r="AU56" s="323">
        <f t="shared" si="3"/>
        <v>3360000</v>
      </c>
      <c r="AV56" s="303">
        <f t="shared" si="4"/>
        <v>0</v>
      </c>
      <c r="AW56" s="301"/>
      <c r="AX56" s="301">
        <f>+AU56</f>
        <v>3360000</v>
      </c>
      <c r="AY56" s="301">
        <v>0</v>
      </c>
      <c r="AZ56" s="301">
        <v>0</v>
      </c>
      <c r="BA56" s="301">
        <v>0</v>
      </c>
      <c r="BB56" s="302">
        <f t="shared" si="6"/>
        <v>3360000</v>
      </c>
    </row>
    <row r="57" spans="1:54" s="319" customFormat="1" hidden="1">
      <c r="A57" s="304" t="s">
        <v>327</v>
      </c>
      <c r="B57" s="305" t="s">
        <v>328</v>
      </c>
      <c r="C57" s="305" t="s">
        <v>328</v>
      </c>
      <c r="D57" s="305" t="s">
        <v>420</v>
      </c>
      <c r="E57" s="305">
        <v>935</v>
      </c>
      <c r="F57" s="306">
        <v>7673</v>
      </c>
      <c r="G57" s="304" t="s">
        <v>329</v>
      </c>
      <c r="H57" s="304" t="s">
        <v>421</v>
      </c>
      <c r="I57" s="304" t="s">
        <v>422</v>
      </c>
      <c r="J57" s="304" t="s">
        <v>332</v>
      </c>
      <c r="K57" s="304" t="s">
        <v>333</v>
      </c>
      <c r="L57" s="304" t="s">
        <v>334</v>
      </c>
      <c r="M57" s="304" t="s">
        <v>335</v>
      </c>
      <c r="N57" s="307" t="s">
        <v>336</v>
      </c>
      <c r="O57" s="304" t="s">
        <v>337</v>
      </c>
      <c r="P57" s="304" t="s">
        <v>338</v>
      </c>
      <c r="Q57" s="308">
        <v>0.86</v>
      </c>
      <c r="R57" s="304" t="s">
        <v>423</v>
      </c>
      <c r="S57" s="304" t="s">
        <v>424</v>
      </c>
      <c r="T57" s="305">
        <v>80141607</v>
      </c>
      <c r="U57" s="304" t="s">
        <v>425</v>
      </c>
      <c r="V57" s="305">
        <v>2</v>
      </c>
      <c r="W57" s="305">
        <v>3</v>
      </c>
      <c r="X57" s="309">
        <v>240</v>
      </c>
      <c r="Y57" s="310" t="s">
        <v>395</v>
      </c>
      <c r="Z57" s="311" t="s">
        <v>343</v>
      </c>
      <c r="AA57" s="381">
        <f>58000000*86%</f>
        <v>49880000</v>
      </c>
      <c r="AB57" s="312">
        <f>7250000*86%</f>
        <v>6235000</v>
      </c>
      <c r="AC57" s="311" t="s">
        <v>426</v>
      </c>
      <c r="AD57" s="311" t="s">
        <v>427</v>
      </c>
      <c r="AE57" s="313"/>
      <c r="AF57" s="314"/>
      <c r="AG57" s="315"/>
      <c r="AH57" s="316"/>
      <c r="AI57" s="360">
        <v>0</v>
      </c>
      <c r="AJ57" s="360">
        <v>0</v>
      </c>
      <c r="AK57" s="361">
        <v>0</v>
      </c>
      <c r="AL57" s="361">
        <v>0</v>
      </c>
      <c r="AM57" s="361">
        <v>0</v>
      </c>
      <c r="AN57" s="362">
        <f t="shared" ref="AN57:AS57" si="8">7250000*86%</f>
        <v>6235000</v>
      </c>
      <c r="AO57" s="362">
        <f t="shared" si="8"/>
        <v>6235000</v>
      </c>
      <c r="AP57" s="362">
        <f t="shared" si="8"/>
        <v>6235000</v>
      </c>
      <c r="AQ57" s="362">
        <f t="shared" si="8"/>
        <v>6235000</v>
      </c>
      <c r="AR57" s="362">
        <f t="shared" si="8"/>
        <v>6235000</v>
      </c>
      <c r="AS57" s="362">
        <f t="shared" si="8"/>
        <v>6235000</v>
      </c>
      <c r="AT57" s="362">
        <f>(7250000*86%)*2</f>
        <v>12470000</v>
      </c>
      <c r="AU57" s="324">
        <f>SUM(AI57:AT57)</f>
        <v>49880000</v>
      </c>
      <c r="AV57" s="318">
        <f t="shared" si="4"/>
        <v>0</v>
      </c>
      <c r="AW57" s="316"/>
      <c r="AX57" s="316">
        <f>AU57*86%</f>
        <v>42896800</v>
      </c>
      <c r="AY57" s="316">
        <v>0</v>
      </c>
      <c r="AZ57" s="316">
        <f>AU57*14%</f>
        <v>6983200.0000000009</v>
      </c>
      <c r="BA57" s="316">
        <v>0</v>
      </c>
      <c r="BB57" s="317">
        <f t="shared" si="6"/>
        <v>49880000</v>
      </c>
    </row>
    <row r="58" spans="1:54" s="319" customFormat="1">
      <c r="A58" s="304" t="s">
        <v>327</v>
      </c>
      <c r="B58" s="305" t="s">
        <v>328</v>
      </c>
      <c r="C58" s="305" t="s">
        <v>328</v>
      </c>
      <c r="D58" s="305" t="s">
        <v>420</v>
      </c>
      <c r="E58" s="305">
        <v>935</v>
      </c>
      <c r="F58" s="306">
        <v>7673</v>
      </c>
      <c r="G58" s="304" t="s">
        <v>329</v>
      </c>
      <c r="H58" s="304" t="s">
        <v>421</v>
      </c>
      <c r="I58" s="304" t="s">
        <v>422</v>
      </c>
      <c r="J58" s="304" t="s">
        <v>332</v>
      </c>
      <c r="K58" s="304" t="s">
        <v>333</v>
      </c>
      <c r="L58" s="304" t="s">
        <v>334</v>
      </c>
      <c r="M58" s="304" t="s">
        <v>335</v>
      </c>
      <c r="N58" s="307" t="s">
        <v>336</v>
      </c>
      <c r="O58" s="304" t="s">
        <v>337</v>
      </c>
      <c r="P58" s="304" t="s">
        <v>363</v>
      </c>
      <c r="Q58" s="308">
        <v>0.14000000000000001</v>
      </c>
      <c r="R58" s="304" t="s">
        <v>423</v>
      </c>
      <c r="S58" s="304" t="s">
        <v>424</v>
      </c>
      <c r="T58" s="305">
        <v>80141607</v>
      </c>
      <c r="U58" s="304" t="s">
        <v>425</v>
      </c>
      <c r="V58" s="305">
        <v>2</v>
      </c>
      <c r="W58" s="305">
        <v>3</v>
      </c>
      <c r="X58" s="309">
        <v>240</v>
      </c>
      <c r="Y58" s="310" t="s">
        <v>395</v>
      </c>
      <c r="Z58" s="311" t="s">
        <v>343</v>
      </c>
      <c r="AA58" s="312">
        <f>58000000*14%</f>
        <v>8120000.0000000009</v>
      </c>
      <c r="AB58" s="312">
        <f>7250000*14%</f>
        <v>1015000.0000000001</v>
      </c>
      <c r="AC58" s="311" t="s">
        <v>426</v>
      </c>
      <c r="AD58" s="311" t="s">
        <v>427</v>
      </c>
      <c r="AE58" s="313"/>
      <c r="AF58" s="314"/>
      <c r="AG58" s="315"/>
      <c r="AH58" s="315"/>
      <c r="AI58" s="360">
        <v>0</v>
      </c>
      <c r="AJ58" s="360">
        <v>0</v>
      </c>
      <c r="AK58" s="361">
        <v>0</v>
      </c>
      <c r="AL58" s="361">
        <v>0</v>
      </c>
      <c r="AM58" s="361">
        <v>0</v>
      </c>
      <c r="AN58" s="365">
        <f t="shared" ref="AN58:AS58" si="9">7250000*14%</f>
        <v>1015000.0000000001</v>
      </c>
      <c r="AO58" s="365">
        <f t="shared" si="9"/>
        <v>1015000.0000000001</v>
      </c>
      <c r="AP58" s="365">
        <f t="shared" si="9"/>
        <v>1015000.0000000001</v>
      </c>
      <c r="AQ58" s="365">
        <f t="shared" si="9"/>
        <v>1015000.0000000001</v>
      </c>
      <c r="AR58" s="365">
        <f t="shared" si="9"/>
        <v>1015000.0000000001</v>
      </c>
      <c r="AS58" s="365">
        <f t="shared" si="9"/>
        <v>1015000.0000000001</v>
      </c>
      <c r="AT58" s="365">
        <f>(7250000*14%)*2</f>
        <v>2030000.0000000002</v>
      </c>
      <c r="AU58" s="324">
        <f t="shared" ref="AU58" si="10">SUM(AI58:AT58)</f>
        <v>8120000.0000000009</v>
      </c>
      <c r="AV58" s="318">
        <f t="shared" ref="AV58" si="11">+AU58-AA58</f>
        <v>0</v>
      </c>
      <c r="AW58" s="316"/>
      <c r="AX58" s="316">
        <f>AU58*86%</f>
        <v>6983200.0000000009</v>
      </c>
      <c r="AY58" s="316">
        <v>0</v>
      </c>
      <c r="AZ58" s="316">
        <f>AU58*14%</f>
        <v>1136800.0000000002</v>
      </c>
      <c r="BA58" s="316">
        <v>0</v>
      </c>
      <c r="BB58" s="317">
        <f t="shared" ref="BB58" si="12">SUM(AX58:BA58)</f>
        <v>8120000.0000000009</v>
      </c>
    </row>
    <row r="59" spans="1:54" s="319" customFormat="1" hidden="1">
      <c r="A59" s="304" t="s">
        <v>327</v>
      </c>
      <c r="B59" s="305" t="s">
        <v>328</v>
      </c>
      <c r="C59" s="305" t="s">
        <v>328</v>
      </c>
      <c r="D59" s="305" t="s">
        <v>428</v>
      </c>
      <c r="E59" s="305">
        <v>937</v>
      </c>
      <c r="F59" s="306">
        <v>7673</v>
      </c>
      <c r="G59" s="304" t="s">
        <v>329</v>
      </c>
      <c r="H59" s="304" t="s">
        <v>429</v>
      </c>
      <c r="I59" s="304" t="s">
        <v>430</v>
      </c>
      <c r="J59" s="304" t="s">
        <v>332</v>
      </c>
      <c r="K59" s="304" t="s">
        <v>333</v>
      </c>
      <c r="L59" s="304" t="s">
        <v>334</v>
      </c>
      <c r="M59" s="304" t="s">
        <v>335</v>
      </c>
      <c r="N59" s="307" t="s">
        <v>336</v>
      </c>
      <c r="O59" s="304" t="s">
        <v>337</v>
      </c>
      <c r="P59" s="304" t="s">
        <v>338</v>
      </c>
      <c r="Q59" s="308">
        <v>0.71</v>
      </c>
      <c r="R59" s="304" t="s">
        <v>431</v>
      </c>
      <c r="S59" s="304" t="s">
        <v>432</v>
      </c>
      <c r="T59" s="305" t="s">
        <v>433</v>
      </c>
      <c r="U59" s="304" t="s">
        <v>434</v>
      </c>
      <c r="V59" s="305">
        <v>4</v>
      </c>
      <c r="W59" s="305">
        <v>5</v>
      </c>
      <c r="X59" s="309">
        <v>60</v>
      </c>
      <c r="Y59" s="310" t="s">
        <v>435</v>
      </c>
      <c r="Z59" s="311" t="s">
        <v>343</v>
      </c>
      <c r="AA59" s="381">
        <f>5117000*71%</f>
        <v>3633070</v>
      </c>
      <c r="AB59" s="312">
        <f>2558500*71%</f>
        <v>1816535</v>
      </c>
      <c r="AC59" s="311" t="s">
        <v>436</v>
      </c>
      <c r="AD59" s="311" t="s">
        <v>437</v>
      </c>
      <c r="AE59" s="313"/>
      <c r="AF59" s="314"/>
      <c r="AG59" s="315"/>
      <c r="AH59" s="316"/>
      <c r="AI59" s="360">
        <v>0</v>
      </c>
      <c r="AJ59" s="360">
        <v>0</v>
      </c>
      <c r="AK59" s="361">
        <v>0</v>
      </c>
      <c r="AL59" s="361">
        <v>0</v>
      </c>
      <c r="AM59" s="361">
        <v>0</v>
      </c>
      <c r="AN59" s="361">
        <v>0</v>
      </c>
      <c r="AO59" s="361">
        <v>0</v>
      </c>
      <c r="AP59" s="361">
        <v>0</v>
      </c>
      <c r="AQ59" s="361">
        <v>0</v>
      </c>
      <c r="AR59" s="361">
        <v>0</v>
      </c>
      <c r="AS59" s="361">
        <v>0</v>
      </c>
      <c r="AT59" s="362">
        <f>5117000*71%</f>
        <v>3633070</v>
      </c>
      <c r="AU59" s="324">
        <f t="shared" si="3"/>
        <v>3633070</v>
      </c>
      <c r="AV59" s="318">
        <f t="shared" si="4"/>
        <v>0</v>
      </c>
      <c r="AW59" s="316"/>
      <c r="AX59" s="316">
        <f>AU59*71%</f>
        <v>2579479.6999999997</v>
      </c>
      <c r="AY59" s="316">
        <v>0</v>
      </c>
      <c r="AZ59" s="316">
        <f>AU59*29%</f>
        <v>1053590.2999999998</v>
      </c>
      <c r="BA59" s="316">
        <v>0</v>
      </c>
      <c r="BB59" s="317">
        <f>SUM(AX59:BA59)</f>
        <v>3633069.9999999995</v>
      </c>
    </row>
    <row r="60" spans="1:54" s="319" customFormat="1">
      <c r="A60" s="304" t="s">
        <v>327</v>
      </c>
      <c r="B60" s="305" t="s">
        <v>328</v>
      </c>
      <c r="C60" s="305" t="s">
        <v>328</v>
      </c>
      <c r="D60" s="305" t="s">
        <v>428</v>
      </c>
      <c r="E60" s="305">
        <v>937</v>
      </c>
      <c r="F60" s="306">
        <v>7673</v>
      </c>
      <c r="G60" s="304" t="s">
        <v>329</v>
      </c>
      <c r="H60" s="304" t="s">
        <v>429</v>
      </c>
      <c r="I60" s="304" t="s">
        <v>430</v>
      </c>
      <c r="J60" s="304" t="s">
        <v>332</v>
      </c>
      <c r="K60" s="304" t="s">
        <v>333</v>
      </c>
      <c r="L60" s="304" t="s">
        <v>334</v>
      </c>
      <c r="M60" s="304" t="s">
        <v>335</v>
      </c>
      <c r="N60" s="307" t="s">
        <v>336</v>
      </c>
      <c r="O60" s="304" t="s">
        <v>337</v>
      </c>
      <c r="P60" s="304" t="s">
        <v>363</v>
      </c>
      <c r="Q60" s="308">
        <v>0.28999999999999998</v>
      </c>
      <c r="R60" s="304" t="s">
        <v>431</v>
      </c>
      <c r="S60" s="304" t="s">
        <v>432</v>
      </c>
      <c r="T60" s="305" t="s">
        <v>433</v>
      </c>
      <c r="U60" s="304" t="s">
        <v>434</v>
      </c>
      <c r="V60" s="305">
        <v>4</v>
      </c>
      <c r="W60" s="305">
        <v>5</v>
      </c>
      <c r="X60" s="309">
        <v>60</v>
      </c>
      <c r="Y60" s="310" t="s">
        <v>435</v>
      </c>
      <c r="Z60" s="311" t="s">
        <v>343</v>
      </c>
      <c r="AA60" s="312">
        <f>5117000*29%</f>
        <v>1483930</v>
      </c>
      <c r="AB60" s="312">
        <f>2558500*29%</f>
        <v>741965</v>
      </c>
      <c r="AC60" s="311" t="s">
        <v>436</v>
      </c>
      <c r="AD60" s="311" t="s">
        <v>437</v>
      </c>
      <c r="AE60" s="313"/>
      <c r="AF60" s="314"/>
      <c r="AG60" s="315"/>
      <c r="AH60" s="315"/>
      <c r="AI60" s="360">
        <v>0</v>
      </c>
      <c r="AJ60" s="360">
        <v>0</v>
      </c>
      <c r="AK60" s="361">
        <v>0</v>
      </c>
      <c r="AL60" s="361">
        <v>0</v>
      </c>
      <c r="AM60" s="361">
        <v>0</v>
      </c>
      <c r="AN60" s="361">
        <v>0</v>
      </c>
      <c r="AO60" s="361">
        <v>0</v>
      </c>
      <c r="AP60" s="361">
        <v>0</v>
      </c>
      <c r="AQ60" s="361">
        <v>0</v>
      </c>
      <c r="AR60" s="361">
        <v>0</v>
      </c>
      <c r="AS60" s="361">
        <v>0</v>
      </c>
      <c r="AT60" s="365">
        <f>5117000*29%</f>
        <v>1483930</v>
      </c>
      <c r="AU60" s="324">
        <f t="shared" ref="AU60" si="13">SUM(AI60:AT60)</f>
        <v>1483930</v>
      </c>
      <c r="AV60" s="318">
        <f t="shared" ref="AV60" si="14">+AU60-AA60</f>
        <v>0</v>
      </c>
      <c r="AW60" s="316"/>
      <c r="AX60" s="316">
        <f>AU60*71%</f>
        <v>1053590.3</v>
      </c>
      <c r="AY60" s="316">
        <v>0</v>
      </c>
      <c r="AZ60" s="316">
        <f>AU60*29%</f>
        <v>430339.69999999995</v>
      </c>
      <c r="BA60" s="316">
        <v>0</v>
      </c>
      <c r="BB60" s="317">
        <f>SUM(AX60:BA60)</f>
        <v>1483930</v>
      </c>
    </row>
    <row r="61" spans="1:54" s="319" customFormat="1" hidden="1">
      <c r="A61" s="304" t="s">
        <v>327</v>
      </c>
      <c r="B61" s="305" t="s">
        <v>328</v>
      </c>
      <c r="C61" s="305" t="s">
        <v>328</v>
      </c>
      <c r="D61" s="305" t="s">
        <v>438</v>
      </c>
      <c r="E61" s="305">
        <v>938</v>
      </c>
      <c r="F61" s="306">
        <v>7673</v>
      </c>
      <c r="G61" s="304" t="s">
        <v>329</v>
      </c>
      <c r="H61" s="304" t="s">
        <v>439</v>
      </c>
      <c r="I61" s="304" t="s">
        <v>407</v>
      </c>
      <c r="J61" s="304" t="s">
        <v>332</v>
      </c>
      <c r="K61" s="304" t="s">
        <v>333</v>
      </c>
      <c r="L61" s="304" t="s">
        <v>334</v>
      </c>
      <c r="M61" s="304" t="s">
        <v>335</v>
      </c>
      <c r="N61" s="307" t="s">
        <v>336</v>
      </c>
      <c r="O61" s="304" t="s">
        <v>337</v>
      </c>
      <c r="P61" s="304" t="s">
        <v>338</v>
      </c>
      <c r="Q61" s="308">
        <v>0.95</v>
      </c>
      <c r="R61" s="304" t="s">
        <v>440</v>
      </c>
      <c r="S61" s="304" t="s">
        <v>441</v>
      </c>
      <c r="T61" s="305" t="s">
        <v>442</v>
      </c>
      <c r="U61" s="304" t="s">
        <v>443</v>
      </c>
      <c r="V61" s="305">
        <v>3</v>
      </c>
      <c r="W61" s="305">
        <v>5</v>
      </c>
      <c r="X61" s="309">
        <v>360</v>
      </c>
      <c r="Y61" s="310" t="s">
        <v>444</v>
      </c>
      <c r="Z61" s="311" t="s">
        <v>343</v>
      </c>
      <c r="AA61" s="381">
        <f>471340694*95%</f>
        <v>447773659.29999995</v>
      </c>
      <c r="AB61" s="312">
        <f>39278391.1666667*95%</f>
        <v>37314471.608333364</v>
      </c>
      <c r="AC61" s="311" t="s">
        <v>445</v>
      </c>
      <c r="AD61" s="311" t="s">
        <v>419</v>
      </c>
      <c r="AE61" s="313"/>
      <c r="AF61" s="314"/>
      <c r="AG61" s="315"/>
      <c r="AH61" s="316"/>
      <c r="AI61" s="362">
        <f t="shared" ref="AI61:AT61" si="15">39278391.1666667*95%</f>
        <v>37314471.608333364</v>
      </c>
      <c r="AJ61" s="362">
        <f t="shared" si="15"/>
        <v>37314471.608333364</v>
      </c>
      <c r="AK61" s="362">
        <f t="shared" si="15"/>
        <v>37314471.608333364</v>
      </c>
      <c r="AL61" s="362">
        <f t="shared" si="15"/>
        <v>37314471.608333364</v>
      </c>
      <c r="AM61" s="362">
        <f t="shared" si="15"/>
        <v>37314471.608333364</v>
      </c>
      <c r="AN61" s="362">
        <f t="shared" si="15"/>
        <v>37314471.608333364</v>
      </c>
      <c r="AO61" s="362">
        <f t="shared" si="15"/>
        <v>37314471.608333364</v>
      </c>
      <c r="AP61" s="362">
        <f t="shared" si="15"/>
        <v>37314471.608333364</v>
      </c>
      <c r="AQ61" s="362">
        <f t="shared" si="15"/>
        <v>37314471.608333364</v>
      </c>
      <c r="AR61" s="362">
        <f t="shared" si="15"/>
        <v>37314471.608333364</v>
      </c>
      <c r="AS61" s="362">
        <f t="shared" si="15"/>
        <v>37314471.608333364</v>
      </c>
      <c r="AT61" s="362">
        <f t="shared" si="15"/>
        <v>37314471.608333364</v>
      </c>
      <c r="AU61" s="324">
        <f t="shared" si="3"/>
        <v>447773659.30000025</v>
      </c>
      <c r="AV61" s="318">
        <f t="shared" si="4"/>
        <v>0</v>
      </c>
      <c r="AW61" s="316"/>
      <c r="AX61" s="316">
        <f>AU61*95%</f>
        <v>425384976.33500022</v>
      </c>
      <c r="AY61" s="316">
        <v>0</v>
      </c>
      <c r="AZ61" s="316">
        <f>AU61*5%</f>
        <v>22388682.965000015</v>
      </c>
      <c r="BA61" s="316">
        <v>0</v>
      </c>
      <c r="BB61" s="317">
        <f t="shared" si="6"/>
        <v>447773659.30000025</v>
      </c>
    </row>
    <row r="62" spans="1:54" s="319" customFormat="1">
      <c r="A62" s="304" t="s">
        <v>327</v>
      </c>
      <c r="B62" s="305" t="s">
        <v>328</v>
      </c>
      <c r="C62" s="305" t="s">
        <v>328</v>
      </c>
      <c r="D62" s="305" t="s">
        <v>438</v>
      </c>
      <c r="E62" s="305">
        <v>938</v>
      </c>
      <c r="F62" s="306">
        <v>7673</v>
      </c>
      <c r="G62" s="304" t="s">
        <v>329</v>
      </c>
      <c r="H62" s="304" t="s">
        <v>439</v>
      </c>
      <c r="I62" s="304" t="s">
        <v>407</v>
      </c>
      <c r="J62" s="304" t="s">
        <v>332</v>
      </c>
      <c r="K62" s="304" t="s">
        <v>333</v>
      </c>
      <c r="L62" s="304" t="s">
        <v>334</v>
      </c>
      <c r="M62" s="304" t="s">
        <v>335</v>
      </c>
      <c r="N62" s="307" t="s">
        <v>336</v>
      </c>
      <c r="O62" s="304" t="s">
        <v>337</v>
      </c>
      <c r="P62" s="304" t="s">
        <v>363</v>
      </c>
      <c r="Q62" s="308">
        <v>0.05</v>
      </c>
      <c r="R62" s="304" t="s">
        <v>440</v>
      </c>
      <c r="S62" s="304" t="s">
        <v>441</v>
      </c>
      <c r="T62" s="305" t="s">
        <v>442</v>
      </c>
      <c r="U62" s="304" t="s">
        <v>443</v>
      </c>
      <c r="V62" s="305">
        <v>3</v>
      </c>
      <c r="W62" s="305">
        <v>5</v>
      </c>
      <c r="X62" s="309">
        <v>360</v>
      </c>
      <c r="Y62" s="310" t="s">
        <v>444</v>
      </c>
      <c r="Z62" s="311" t="s">
        <v>343</v>
      </c>
      <c r="AA62" s="312">
        <f>471340694*5%</f>
        <v>23567034.700000003</v>
      </c>
      <c r="AB62" s="312">
        <f>39278391.1666667*5%</f>
        <v>1963919.5583333352</v>
      </c>
      <c r="AC62" s="311" t="s">
        <v>445</v>
      </c>
      <c r="AD62" s="311" t="s">
        <v>419</v>
      </c>
      <c r="AE62" s="313"/>
      <c r="AF62" s="314"/>
      <c r="AG62" s="315"/>
      <c r="AH62" s="315"/>
      <c r="AI62" s="365">
        <f t="shared" ref="AI62:AT62" si="16">39278391.1666667*5%</f>
        <v>1963919.5583333352</v>
      </c>
      <c r="AJ62" s="365">
        <f t="shared" si="16"/>
        <v>1963919.5583333352</v>
      </c>
      <c r="AK62" s="365">
        <f t="shared" si="16"/>
        <v>1963919.5583333352</v>
      </c>
      <c r="AL62" s="365">
        <f t="shared" si="16"/>
        <v>1963919.5583333352</v>
      </c>
      <c r="AM62" s="365">
        <f t="shared" si="16"/>
        <v>1963919.5583333352</v>
      </c>
      <c r="AN62" s="365">
        <f t="shared" si="16"/>
        <v>1963919.5583333352</v>
      </c>
      <c r="AO62" s="365">
        <f t="shared" si="16"/>
        <v>1963919.5583333352</v>
      </c>
      <c r="AP62" s="365">
        <f t="shared" si="16"/>
        <v>1963919.5583333352</v>
      </c>
      <c r="AQ62" s="365">
        <f t="shared" si="16"/>
        <v>1963919.5583333352</v>
      </c>
      <c r="AR62" s="365">
        <f t="shared" si="16"/>
        <v>1963919.5583333352</v>
      </c>
      <c r="AS62" s="365">
        <f t="shared" si="16"/>
        <v>1963919.5583333352</v>
      </c>
      <c r="AT62" s="365">
        <f t="shared" si="16"/>
        <v>1963919.5583333352</v>
      </c>
      <c r="AU62" s="324">
        <f t="shared" ref="AU62" si="17">SUM(AI62:AT62)</f>
        <v>23567034.700000018</v>
      </c>
      <c r="AV62" s="318">
        <f t="shared" ref="AV62" si="18">+AU62-AA62</f>
        <v>0</v>
      </c>
      <c r="AW62" s="316"/>
      <c r="AX62" s="316">
        <f>AU62*95%</f>
        <v>22388682.965000015</v>
      </c>
      <c r="AY62" s="316">
        <v>0</v>
      </c>
      <c r="AZ62" s="316">
        <f>AU62*5%</f>
        <v>1178351.735000001</v>
      </c>
      <c r="BA62" s="316">
        <v>0</v>
      </c>
      <c r="BB62" s="317">
        <f t="shared" ref="BB62" si="19">SUM(AX62:BA62)</f>
        <v>23567034.700000014</v>
      </c>
    </row>
    <row r="63" spans="1:54" s="272" customFormat="1" hidden="1">
      <c r="A63" s="262" t="s">
        <v>327</v>
      </c>
      <c r="B63" s="263" t="s">
        <v>328</v>
      </c>
      <c r="C63" s="263" t="s">
        <v>328</v>
      </c>
      <c r="D63" s="263" t="s">
        <v>446</v>
      </c>
      <c r="E63" s="263">
        <v>939</v>
      </c>
      <c r="F63" s="264">
        <v>7673</v>
      </c>
      <c r="G63" s="262" t="s">
        <v>329</v>
      </c>
      <c r="H63" s="262" t="s">
        <v>447</v>
      </c>
      <c r="I63" s="262" t="s">
        <v>430</v>
      </c>
      <c r="J63" s="262" t="s">
        <v>332</v>
      </c>
      <c r="K63" s="262" t="s">
        <v>333</v>
      </c>
      <c r="L63" s="262" t="s">
        <v>334</v>
      </c>
      <c r="M63" s="262" t="s">
        <v>335</v>
      </c>
      <c r="N63" s="274" t="s">
        <v>336</v>
      </c>
      <c r="O63" s="262" t="s">
        <v>337</v>
      </c>
      <c r="P63" s="262" t="s">
        <v>338</v>
      </c>
      <c r="Q63" s="265">
        <v>1</v>
      </c>
      <c r="R63" s="262" t="s">
        <v>448</v>
      </c>
      <c r="S63" s="262" t="s">
        <v>449</v>
      </c>
      <c r="T63" s="263" t="s">
        <v>450</v>
      </c>
      <c r="U63" s="262" t="s">
        <v>451</v>
      </c>
      <c r="V63" s="263">
        <v>2</v>
      </c>
      <c r="W63" s="263">
        <v>2</v>
      </c>
      <c r="X63" s="263">
        <v>30</v>
      </c>
      <c r="Y63" s="275" t="s">
        <v>435</v>
      </c>
      <c r="Z63" s="266" t="s">
        <v>343</v>
      </c>
      <c r="AA63" s="381">
        <v>5539000</v>
      </c>
      <c r="AB63" s="267">
        <v>5539000</v>
      </c>
      <c r="AC63" s="266" t="s">
        <v>452</v>
      </c>
      <c r="AD63" s="266" t="s">
        <v>427</v>
      </c>
      <c r="AE63" s="268"/>
      <c r="AF63" s="269"/>
      <c r="AG63" s="276"/>
      <c r="AH63" s="301"/>
      <c r="AI63" s="356">
        <v>0</v>
      </c>
      <c r="AJ63" s="356">
        <v>0</v>
      </c>
      <c r="AK63" s="357">
        <v>0</v>
      </c>
      <c r="AL63" s="357">
        <v>0</v>
      </c>
      <c r="AM63" s="357">
        <v>0</v>
      </c>
      <c r="AN63" s="357">
        <v>0</v>
      </c>
      <c r="AO63" s="357">
        <v>0</v>
      </c>
      <c r="AP63" s="357">
        <v>0</v>
      </c>
      <c r="AQ63" s="357">
        <v>0</v>
      </c>
      <c r="AR63" s="357">
        <v>0</v>
      </c>
      <c r="AS63" s="357">
        <v>5539000</v>
      </c>
      <c r="AT63" s="357"/>
      <c r="AU63" s="323">
        <f t="shared" si="3"/>
        <v>5539000</v>
      </c>
      <c r="AV63" s="303">
        <f t="shared" si="4"/>
        <v>0</v>
      </c>
      <c r="AW63" s="301"/>
      <c r="AX63" s="301">
        <f>AU63</f>
        <v>5539000</v>
      </c>
      <c r="AY63" s="301">
        <v>0</v>
      </c>
      <c r="AZ63" s="301">
        <v>0</v>
      </c>
      <c r="BA63" s="301">
        <v>0</v>
      </c>
      <c r="BB63" s="302">
        <f t="shared" si="6"/>
        <v>5539000</v>
      </c>
    </row>
    <row r="64" spans="1:54" s="272" customFormat="1" hidden="1">
      <c r="A64" s="262" t="s">
        <v>327</v>
      </c>
      <c r="B64" s="263" t="s">
        <v>328</v>
      </c>
      <c r="C64" s="263" t="s">
        <v>328</v>
      </c>
      <c r="D64" s="263" t="s">
        <v>453</v>
      </c>
      <c r="E64" s="263">
        <v>941</v>
      </c>
      <c r="F64" s="264">
        <v>7673</v>
      </c>
      <c r="G64" s="262" t="s">
        <v>329</v>
      </c>
      <c r="H64" s="262" t="s">
        <v>454</v>
      </c>
      <c r="I64" s="262" t="s">
        <v>455</v>
      </c>
      <c r="J64" s="262" t="s">
        <v>332</v>
      </c>
      <c r="K64" s="262" t="s">
        <v>333</v>
      </c>
      <c r="L64" s="262" t="s">
        <v>334</v>
      </c>
      <c r="M64" s="262" t="s">
        <v>335</v>
      </c>
      <c r="N64" s="274" t="s">
        <v>336</v>
      </c>
      <c r="O64" s="262" t="s">
        <v>337</v>
      </c>
      <c r="P64" s="262" t="s">
        <v>338</v>
      </c>
      <c r="Q64" s="265">
        <v>1</v>
      </c>
      <c r="R64" s="262" t="s">
        <v>456</v>
      </c>
      <c r="S64" s="262" t="s">
        <v>457</v>
      </c>
      <c r="T64" s="263">
        <v>31162800</v>
      </c>
      <c r="U64" s="262" t="s">
        <v>458</v>
      </c>
      <c r="V64" s="263">
        <v>2</v>
      </c>
      <c r="W64" s="263">
        <v>4</v>
      </c>
      <c r="X64" s="277">
        <v>180</v>
      </c>
      <c r="Y64" s="275" t="s">
        <v>404</v>
      </c>
      <c r="Z64" s="266" t="s">
        <v>343</v>
      </c>
      <c r="AA64" s="381">
        <v>20000000</v>
      </c>
      <c r="AB64" s="267">
        <v>3333333.3333333302</v>
      </c>
      <c r="AC64" s="266" t="s">
        <v>459</v>
      </c>
      <c r="AD64" s="266" t="s">
        <v>427</v>
      </c>
      <c r="AE64" s="268"/>
      <c r="AF64" s="269"/>
      <c r="AG64" s="276"/>
      <c r="AH64" s="301"/>
      <c r="AI64" s="356">
        <v>0</v>
      </c>
      <c r="AJ64" s="356">
        <v>0</v>
      </c>
      <c r="AK64" s="357">
        <v>0</v>
      </c>
      <c r="AL64" s="357">
        <v>0</v>
      </c>
      <c r="AM64" s="357">
        <v>0</v>
      </c>
      <c r="AN64" s="357">
        <v>0</v>
      </c>
      <c r="AO64" s="357">
        <v>3333333.3333333302</v>
      </c>
      <c r="AP64" s="357">
        <v>3333333.3333333302</v>
      </c>
      <c r="AQ64" s="357">
        <v>3333333.3333333302</v>
      </c>
      <c r="AR64" s="357">
        <v>3333333.3333333302</v>
      </c>
      <c r="AS64" s="357">
        <v>3333333.3333333302</v>
      </c>
      <c r="AT64" s="357">
        <v>3333333.3333333302</v>
      </c>
      <c r="AU64" s="323">
        <f t="shared" si="3"/>
        <v>19999999.999999981</v>
      </c>
      <c r="AV64" s="303">
        <f t="shared" si="4"/>
        <v>0</v>
      </c>
      <c r="AW64" s="301"/>
      <c r="AX64" s="301">
        <f>AU64</f>
        <v>19999999.999999981</v>
      </c>
      <c r="AY64" s="301">
        <v>0</v>
      </c>
      <c r="AZ64" s="301">
        <v>0</v>
      </c>
      <c r="BA64" s="301">
        <v>0</v>
      </c>
      <c r="BB64" s="302">
        <f t="shared" si="6"/>
        <v>19999999.999999981</v>
      </c>
    </row>
    <row r="65" spans="1:54" s="319" customFormat="1" hidden="1">
      <c r="A65" s="304" t="s">
        <v>327</v>
      </c>
      <c r="B65" s="305" t="s">
        <v>328</v>
      </c>
      <c r="C65" s="305" t="s">
        <v>328</v>
      </c>
      <c r="D65" s="305" t="s">
        <v>460</v>
      </c>
      <c r="E65" s="305">
        <v>942</v>
      </c>
      <c r="F65" s="306">
        <v>7673</v>
      </c>
      <c r="G65" s="304" t="s">
        <v>329</v>
      </c>
      <c r="H65" s="304" t="s">
        <v>461</v>
      </c>
      <c r="I65" s="304" t="s">
        <v>407</v>
      </c>
      <c r="J65" s="304" t="s">
        <v>332</v>
      </c>
      <c r="K65" s="304" t="s">
        <v>333</v>
      </c>
      <c r="L65" s="304" t="s">
        <v>334</v>
      </c>
      <c r="M65" s="304" t="s">
        <v>335</v>
      </c>
      <c r="N65" s="307" t="s">
        <v>336</v>
      </c>
      <c r="O65" s="304" t="s">
        <v>337</v>
      </c>
      <c r="P65" s="304" t="s">
        <v>338</v>
      </c>
      <c r="Q65" s="308">
        <v>0.81</v>
      </c>
      <c r="R65" s="304" t="s">
        <v>414</v>
      </c>
      <c r="S65" s="304" t="s">
        <v>415</v>
      </c>
      <c r="T65" s="305" t="s">
        <v>462</v>
      </c>
      <c r="U65" s="304" t="s">
        <v>463</v>
      </c>
      <c r="V65" s="305">
        <v>3</v>
      </c>
      <c r="W65" s="305">
        <v>4</v>
      </c>
      <c r="X65" s="309">
        <v>360</v>
      </c>
      <c r="Y65" s="310" t="s">
        <v>435</v>
      </c>
      <c r="Z65" s="311" t="s">
        <v>343</v>
      </c>
      <c r="AA65" s="381">
        <f>71651306*81%</f>
        <v>58037557.860000007</v>
      </c>
      <c r="AB65" s="312">
        <f>5970942.16666667*81%</f>
        <v>4836463.1550000031</v>
      </c>
      <c r="AC65" s="311" t="s">
        <v>464</v>
      </c>
      <c r="AD65" s="311" t="s">
        <v>419</v>
      </c>
      <c r="AE65" s="313"/>
      <c r="AF65" s="314"/>
      <c r="AG65" s="320"/>
      <c r="AH65" s="316"/>
      <c r="AI65" s="362">
        <f t="shared" ref="AI65:AT65" si="20">5970942.16666667*81%</f>
        <v>4836463.1550000031</v>
      </c>
      <c r="AJ65" s="362">
        <f t="shared" si="20"/>
        <v>4836463.1550000031</v>
      </c>
      <c r="AK65" s="362">
        <f t="shared" si="20"/>
        <v>4836463.1550000031</v>
      </c>
      <c r="AL65" s="362">
        <f t="shared" si="20"/>
        <v>4836463.1550000031</v>
      </c>
      <c r="AM65" s="362">
        <f t="shared" si="20"/>
        <v>4836463.1550000031</v>
      </c>
      <c r="AN65" s="362">
        <f t="shared" si="20"/>
        <v>4836463.1550000031</v>
      </c>
      <c r="AO65" s="362">
        <f t="shared" si="20"/>
        <v>4836463.1550000031</v>
      </c>
      <c r="AP65" s="362">
        <f t="shared" si="20"/>
        <v>4836463.1550000031</v>
      </c>
      <c r="AQ65" s="362">
        <f t="shared" si="20"/>
        <v>4836463.1550000031</v>
      </c>
      <c r="AR65" s="362">
        <f t="shared" si="20"/>
        <v>4836463.1550000031</v>
      </c>
      <c r="AS65" s="362">
        <f t="shared" si="20"/>
        <v>4836463.1550000031</v>
      </c>
      <c r="AT65" s="362">
        <f t="shared" si="20"/>
        <v>4836463.1550000031</v>
      </c>
      <c r="AU65" s="324">
        <f t="shared" si="3"/>
        <v>58037557.860000022</v>
      </c>
      <c r="AV65" s="318">
        <f t="shared" si="4"/>
        <v>0</v>
      </c>
      <c r="AW65" s="316"/>
      <c r="AX65" s="316">
        <f>AU65*81%</f>
        <v>47010421.866600022</v>
      </c>
      <c r="AY65" s="316">
        <v>0</v>
      </c>
      <c r="AZ65" s="316">
        <f>AU65*19%</f>
        <v>11027135.993400004</v>
      </c>
      <c r="BA65" s="316">
        <v>0</v>
      </c>
      <c r="BB65" s="317">
        <f t="shared" si="6"/>
        <v>58037557.860000029</v>
      </c>
    </row>
    <row r="66" spans="1:54" s="319" customFormat="1">
      <c r="A66" s="304" t="s">
        <v>327</v>
      </c>
      <c r="B66" s="305" t="s">
        <v>328</v>
      </c>
      <c r="C66" s="305" t="s">
        <v>328</v>
      </c>
      <c r="D66" s="305" t="s">
        <v>460</v>
      </c>
      <c r="E66" s="305">
        <v>942</v>
      </c>
      <c r="F66" s="306">
        <v>7673</v>
      </c>
      <c r="G66" s="304" t="s">
        <v>329</v>
      </c>
      <c r="H66" s="304" t="s">
        <v>461</v>
      </c>
      <c r="I66" s="304" t="s">
        <v>407</v>
      </c>
      <c r="J66" s="304" t="s">
        <v>332</v>
      </c>
      <c r="K66" s="304" t="s">
        <v>333</v>
      </c>
      <c r="L66" s="304" t="s">
        <v>334</v>
      </c>
      <c r="M66" s="304" t="s">
        <v>335</v>
      </c>
      <c r="N66" s="307" t="s">
        <v>336</v>
      </c>
      <c r="O66" s="304" t="s">
        <v>337</v>
      </c>
      <c r="P66" s="304" t="s">
        <v>363</v>
      </c>
      <c r="Q66" s="308">
        <v>0.19</v>
      </c>
      <c r="R66" s="304" t="s">
        <v>414</v>
      </c>
      <c r="S66" s="304" t="s">
        <v>415</v>
      </c>
      <c r="T66" s="305" t="s">
        <v>462</v>
      </c>
      <c r="U66" s="304" t="s">
        <v>463</v>
      </c>
      <c r="V66" s="305">
        <v>3</v>
      </c>
      <c r="W66" s="305">
        <v>4</v>
      </c>
      <c r="X66" s="309">
        <v>360</v>
      </c>
      <c r="Y66" s="310" t="s">
        <v>435</v>
      </c>
      <c r="Z66" s="311" t="s">
        <v>343</v>
      </c>
      <c r="AA66" s="312">
        <f>71651306*19%</f>
        <v>13613748.140000001</v>
      </c>
      <c r="AB66" s="312">
        <f>5970942.16666667*19%</f>
        <v>1134479.0116666672</v>
      </c>
      <c r="AC66" s="311" t="s">
        <v>464</v>
      </c>
      <c r="AD66" s="311" t="s">
        <v>419</v>
      </c>
      <c r="AE66" s="313"/>
      <c r="AF66" s="314"/>
      <c r="AG66" s="320"/>
      <c r="AH66" s="315"/>
      <c r="AI66" s="365">
        <f t="shared" ref="AI66:AT66" si="21">5970942.16666667*19%</f>
        <v>1134479.0116666672</v>
      </c>
      <c r="AJ66" s="365">
        <f t="shared" si="21"/>
        <v>1134479.0116666672</v>
      </c>
      <c r="AK66" s="365">
        <f t="shared" si="21"/>
        <v>1134479.0116666672</v>
      </c>
      <c r="AL66" s="365">
        <f t="shared" si="21"/>
        <v>1134479.0116666672</v>
      </c>
      <c r="AM66" s="365">
        <f t="shared" si="21"/>
        <v>1134479.0116666672</v>
      </c>
      <c r="AN66" s="365">
        <f t="shared" si="21"/>
        <v>1134479.0116666672</v>
      </c>
      <c r="AO66" s="365">
        <f t="shared" si="21"/>
        <v>1134479.0116666672</v>
      </c>
      <c r="AP66" s="365">
        <f t="shared" si="21"/>
        <v>1134479.0116666672</v>
      </c>
      <c r="AQ66" s="365">
        <f t="shared" si="21"/>
        <v>1134479.0116666672</v>
      </c>
      <c r="AR66" s="365">
        <f t="shared" si="21"/>
        <v>1134479.0116666672</v>
      </c>
      <c r="AS66" s="365">
        <f t="shared" si="21"/>
        <v>1134479.0116666672</v>
      </c>
      <c r="AT66" s="365">
        <f t="shared" si="21"/>
        <v>1134479.0116666672</v>
      </c>
      <c r="AU66" s="324">
        <f t="shared" ref="AU66" si="22">SUM(AI66:AT66)</f>
        <v>13613748.140000002</v>
      </c>
      <c r="AV66" s="318">
        <f t="shared" ref="AV66" si="23">+AU66-AA66</f>
        <v>0</v>
      </c>
      <c r="AW66" s="316"/>
      <c r="AX66" s="316">
        <f>AU66*81%</f>
        <v>11027135.993400002</v>
      </c>
      <c r="AY66" s="316">
        <v>0</v>
      </c>
      <c r="AZ66" s="316">
        <f>AU66*19%</f>
        <v>2586612.1466000006</v>
      </c>
      <c r="BA66" s="316">
        <v>0</v>
      </c>
      <c r="BB66" s="317">
        <f t="shared" ref="BB66" si="24">SUM(AX66:BA66)</f>
        <v>13613748.140000002</v>
      </c>
    </row>
    <row r="67" spans="1:54" s="319" customFormat="1" hidden="1">
      <c r="A67" s="304" t="s">
        <v>327</v>
      </c>
      <c r="B67" s="305" t="s">
        <v>328</v>
      </c>
      <c r="C67" s="305" t="s">
        <v>328</v>
      </c>
      <c r="D67" s="305" t="s">
        <v>465</v>
      </c>
      <c r="E67" s="305">
        <v>943</v>
      </c>
      <c r="F67" s="306">
        <v>7673</v>
      </c>
      <c r="G67" s="304" t="s">
        <v>329</v>
      </c>
      <c r="H67" s="304" t="s">
        <v>466</v>
      </c>
      <c r="I67" s="304" t="s">
        <v>430</v>
      </c>
      <c r="J67" s="304" t="s">
        <v>332</v>
      </c>
      <c r="K67" s="304" t="s">
        <v>333</v>
      </c>
      <c r="L67" s="304" t="s">
        <v>334</v>
      </c>
      <c r="M67" s="304" t="s">
        <v>335</v>
      </c>
      <c r="N67" s="307" t="s">
        <v>336</v>
      </c>
      <c r="O67" s="304" t="s">
        <v>337</v>
      </c>
      <c r="P67" s="304" t="s">
        <v>338</v>
      </c>
      <c r="Q67" s="308">
        <v>0.91</v>
      </c>
      <c r="R67" s="304" t="s">
        <v>467</v>
      </c>
      <c r="S67" s="304" t="s">
        <v>468</v>
      </c>
      <c r="T67" s="305" t="s">
        <v>469</v>
      </c>
      <c r="U67" s="304" t="s">
        <v>470</v>
      </c>
      <c r="V67" s="305">
        <v>3</v>
      </c>
      <c r="W67" s="305">
        <v>4</v>
      </c>
      <c r="X67" s="305">
        <v>240</v>
      </c>
      <c r="Y67" s="310" t="s">
        <v>404</v>
      </c>
      <c r="Z67" s="311" t="s">
        <v>343</v>
      </c>
      <c r="AA67" s="381">
        <f>5500000*91%</f>
        <v>5005000</v>
      </c>
      <c r="AB67" s="312">
        <f>687500*91%</f>
        <v>625625</v>
      </c>
      <c r="AC67" s="311" t="s">
        <v>471</v>
      </c>
      <c r="AD67" s="311" t="s">
        <v>472</v>
      </c>
      <c r="AE67" s="313"/>
      <c r="AF67" s="314"/>
      <c r="AG67" s="315"/>
      <c r="AH67" s="316"/>
      <c r="AI67" s="360">
        <v>0</v>
      </c>
      <c r="AJ67" s="360">
        <v>0</v>
      </c>
      <c r="AK67" s="360">
        <v>0</v>
      </c>
      <c r="AL67" s="360">
        <v>0</v>
      </c>
      <c r="AM67" s="362">
        <f t="shared" ref="AM67:AT67" si="25">687500*91%</f>
        <v>625625</v>
      </c>
      <c r="AN67" s="362">
        <f t="shared" si="25"/>
        <v>625625</v>
      </c>
      <c r="AO67" s="362">
        <f t="shared" si="25"/>
        <v>625625</v>
      </c>
      <c r="AP67" s="362">
        <f t="shared" si="25"/>
        <v>625625</v>
      </c>
      <c r="AQ67" s="362">
        <f t="shared" si="25"/>
        <v>625625</v>
      </c>
      <c r="AR67" s="362">
        <f t="shared" si="25"/>
        <v>625625</v>
      </c>
      <c r="AS67" s="362">
        <f t="shared" si="25"/>
        <v>625625</v>
      </c>
      <c r="AT67" s="362">
        <f t="shared" si="25"/>
        <v>625625</v>
      </c>
      <c r="AU67" s="324">
        <f t="shared" si="3"/>
        <v>5005000</v>
      </c>
      <c r="AV67" s="318">
        <f t="shared" si="4"/>
        <v>0</v>
      </c>
      <c r="AW67" s="316"/>
      <c r="AX67" s="316">
        <f>AU67*91%</f>
        <v>4554550</v>
      </c>
      <c r="AY67" s="316">
        <v>0</v>
      </c>
      <c r="AZ67" s="316">
        <f>AU67*9%</f>
        <v>450450</v>
      </c>
      <c r="BA67" s="316">
        <v>0</v>
      </c>
      <c r="BB67" s="317">
        <f t="shared" si="6"/>
        <v>5005000</v>
      </c>
    </row>
    <row r="68" spans="1:54" s="319" customFormat="1">
      <c r="A68" s="304" t="s">
        <v>327</v>
      </c>
      <c r="B68" s="305" t="s">
        <v>328</v>
      </c>
      <c r="C68" s="305" t="s">
        <v>328</v>
      </c>
      <c r="D68" s="305" t="s">
        <v>465</v>
      </c>
      <c r="E68" s="305">
        <v>943</v>
      </c>
      <c r="F68" s="306">
        <v>7673</v>
      </c>
      <c r="G68" s="304" t="s">
        <v>329</v>
      </c>
      <c r="H68" s="304" t="s">
        <v>466</v>
      </c>
      <c r="I68" s="304" t="s">
        <v>430</v>
      </c>
      <c r="J68" s="304" t="s">
        <v>332</v>
      </c>
      <c r="K68" s="304" t="s">
        <v>333</v>
      </c>
      <c r="L68" s="304" t="s">
        <v>334</v>
      </c>
      <c r="M68" s="304" t="s">
        <v>335</v>
      </c>
      <c r="N68" s="307" t="s">
        <v>336</v>
      </c>
      <c r="O68" s="304" t="s">
        <v>337</v>
      </c>
      <c r="P68" s="304" t="s">
        <v>363</v>
      </c>
      <c r="Q68" s="308">
        <v>0.09</v>
      </c>
      <c r="R68" s="304" t="s">
        <v>467</v>
      </c>
      <c r="S68" s="304" t="s">
        <v>468</v>
      </c>
      <c r="T68" s="305" t="s">
        <v>469</v>
      </c>
      <c r="U68" s="304" t="s">
        <v>470</v>
      </c>
      <c r="V68" s="305">
        <v>3</v>
      </c>
      <c r="W68" s="305">
        <v>4</v>
      </c>
      <c r="X68" s="305">
        <v>240</v>
      </c>
      <c r="Y68" s="310" t="s">
        <v>404</v>
      </c>
      <c r="Z68" s="311" t="s">
        <v>343</v>
      </c>
      <c r="AA68" s="312">
        <f>5500000*9%</f>
        <v>495000</v>
      </c>
      <c r="AB68" s="312">
        <f>687500*9%</f>
        <v>61875</v>
      </c>
      <c r="AC68" s="311" t="s">
        <v>471</v>
      </c>
      <c r="AD68" s="311" t="s">
        <v>472</v>
      </c>
      <c r="AE68" s="313"/>
      <c r="AF68" s="314"/>
      <c r="AG68" s="315"/>
      <c r="AH68" s="315"/>
      <c r="AI68" s="360">
        <v>0</v>
      </c>
      <c r="AJ68" s="360">
        <v>0</v>
      </c>
      <c r="AK68" s="360">
        <v>0</v>
      </c>
      <c r="AL68" s="360">
        <v>0</v>
      </c>
      <c r="AM68" s="365">
        <f t="shared" ref="AM68:AT68" si="26">687500*9%</f>
        <v>61875</v>
      </c>
      <c r="AN68" s="365">
        <f t="shared" si="26"/>
        <v>61875</v>
      </c>
      <c r="AO68" s="365">
        <f t="shared" si="26"/>
        <v>61875</v>
      </c>
      <c r="AP68" s="365">
        <f t="shared" si="26"/>
        <v>61875</v>
      </c>
      <c r="AQ68" s="365">
        <f t="shared" si="26"/>
        <v>61875</v>
      </c>
      <c r="AR68" s="365">
        <f t="shared" si="26"/>
        <v>61875</v>
      </c>
      <c r="AS68" s="365">
        <f t="shared" si="26"/>
        <v>61875</v>
      </c>
      <c r="AT68" s="365">
        <f t="shared" si="26"/>
        <v>61875</v>
      </c>
      <c r="AU68" s="324">
        <f t="shared" ref="AU68" si="27">SUM(AI68:AT68)</f>
        <v>495000</v>
      </c>
      <c r="AV68" s="318">
        <f t="shared" ref="AV68" si="28">+AU68-AA68</f>
        <v>0</v>
      </c>
      <c r="AW68" s="316"/>
      <c r="AX68" s="316">
        <f>AU68*91%</f>
        <v>450450</v>
      </c>
      <c r="AY68" s="316">
        <v>0</v>
      </c>
      <c r="AZ68" s="316">
        <f>AU68*9%</f>
        <v>44550</v>
      </c>
      <c r="BA68" s="316">
        <v>0</v>
      </c>
      <c r="BB68" s="317">
        <f t="shared" ref="BB68" si="29">SUM(AX68:BA68)</f>
        <v>495000</v>
      </c>
    </row>
    <row r="69" spans="1:54" s="272" customFormat="1" hidden="1">
      <c r="A69" s="262" t="s">
        <v>327</v>
      </c>
      <c r="B69" s="263" t="s">
        <v>328</v>
      </c>
      <c r="C69" s="263" t="s">
        <v>328</v>
      </c>
      <c r="D69" s="263" t="s">
        <v>473</v>
      </c>
      <c r="E69" s="263">
        <v>945</v>
      </c>
      <c r="F69" s="264">
        <v>7673</v>
      </c>
      <c r="G69" s="262" t="s">
        <v>329</v>
      </c>
      <c r="H69" s="262" t="s">
        <v>474</v>
      </c>
      <c r="I69" s="262" t="s">
        <v>407</v>
      </c>
      <c r="J69" s="262" t="s">
        <v>332</v>
      </c>
      <c r="K69" s="262" t="s">
        <v>333</v>
      </c>
      <c r="L69" s="262" t="s">
        <v>334</v>
      </c>
      <c r="M69" s="262" t="s">
        <v>335</v>
      </c>
      <c r="N69" s="274" t="s">
        <v>336</v>
      </c>
      <c r="O69" s="262" t="s">
        <v>337</v>
      </c>
      <c r="P69" s="262" t="s">
        <v>338</v>
      </c>
      <c r="Q69" s="265">
        <v>1</v>
      </c>
      <c r="R69" s="262" t="s">
        <v>475</v>
      </c>
      <c r="S69" s="262" t="s">
        <v>476</v>
      </c>
      <c r="T69" s="263">
        <v>82101905</v>
      </c>
      <c r="U69" s="262" t="s">
        <v>477</v>
      </c>
      <c r="V69" s="263">
        <v>5</v>
      </c>
      <c r="W69" s="263">
        <v>8</v>
      </c>
      <c r="X69" s="263">
        <v>360</v>
      </c>
      <c r="Y69" s="275" t="s">
        <v>395</v>
      </c>
      <c r="Z69" s="266" t="s">
        <v>343</v>
      </c>
      <c r="AA69" s="381">
        <v>10550000</v>
      </c>
      <c r="AB69" s="267">
        <v>879166.66666666698</v>
      </c>
      <c r="AC69" s="266" t="s">
        <v>478</v>
      </c>
      <c r="AD69" s="266" t="s">
        <v>479</v>
      </c>
      <c r="AE69" s="268"/>
      <c r="AF69" s="269"/>
      <c r="AG69" s="276"/>
      <c r="AH69" s="301"/>
      <c r="AI69" s="356">
        <v>0</v>
      </c>
      <c r="AJ69" s="356">
        <v>0</v>
      </c>
      <c r="AK69" s="357">
        <v>0</v>
      </c>
      <c r="AL69" s="357">
        <v>0</v>
      </c>
      <c r="AM69" s="357">
        <v>0</v>
      </c>
      <c r="AN69" s="357">
        <v>0</v>
      </c>
      <c r="AO69" s="357">
        <f t="shared" ref="AO69:AT69" si="30">879166.666666667*2</f>
        <v>1758333.333333334</v>
      </c>
      <c r="AP69" s="357">
        <f t="shared" si="30"/>
        <v>1758333.333333334</v>
      </c>
      <c r="AQ69" s="357">
        <f t="shared" si="30"/>
        <v>1758333.333333334</v>
      </c>
      <c r="AR69" s="357">
        <f t="shared" si="30"/>
        <v>1758333.333333334</v>
      </c>
      <c r="AS69" s="357">
        <f t="shared" si="30"/>
        <v>1758333.333333334</v>
      </c>
      <c r="AT69" s="357">
        <f t="shared" si="30"/>
        <v>1758333.333333334</v>
      </c>
      <c r="AU69" s="323">
        <f t="shared" si="3"/>
        <v>10550000.000000004</v>
      </c>
      <c r="AV69" s="303">
        <f t="shared" si="4"/>
        <v>0</v>
      </c>
      <c r="AW69" s="301"/>
      <c r="AX69" s="301">
        <f>AU69</f>
        <v>10550000.000000004</v>
      </c>
      <c r="AY69" s="301">
        <v>0</v>
      </c>
      <c r="AZ69" s="301">
        <v>0</v>
      </c>
      <c r="BA69" s="301">
        <v>0</v>
      </c>
      <c r="BB69" s="302">
        <f t="shared" si="6"/>
        <v>10550000.000000004</v>
      </c>
    </row>
    <row r="70" spans="1:54" s="272" customFormat="1">
      <c r="A70" s="262" t="s">
        <v>327</v>
      </c>
      <c r="B70" s="263" t="s">
        <v>328</v>
      </c>
      <c r="C70" s="263" t="s">
        <v>328</v>
      </c>
      <c r="D70" s="263" t="s">
        <v>480</v>
      </c>
      <c r="E70" s="263">
        <v>946</v>
      </c>
      <c r="F70" s="264">
        <v>7673</v>
      </c>
      <c r="G70" s="262" t="s">
        <v>329</v>
      </c>
      <c r="H70" s="262" t="s">
        <v>481</v>
      </c>
      <c r="I70" s="262" t="s">
        <v>482</v>
      </c>
      <c r="J70" s="262" t="s">
        <v>332</v>
      </c>
      <c r="K70" s="262" t="s">
        <v>333</v>
      </c>
      <c r="L70" s="262" t="s">
        <v>334</v>
      </c>
      <c r="M70" s="262" t="s">
        <v>335</v>
      </c>
      <c r="N70" s="262" t="s">
        <v>336</v>
      </c>
      <c r="O70" s="262" t="s">
        <v>362</v>
      </c>
      <c r="P70" s="262" t="s">
        <v>363</v>
      </c>
      <c r="Q70" s="265">
        <v>1</v>
      </c>
      <c r="R70" s="262" t="s">
        <v>483</v>
      </c>
      <c r="S70" s="262" t="s">
        <v>484</v>
      </c>
      <c r="T70" s="263" t="s">
        <v>485</v>
      </c>
      <c r="U70" s="262" t="s">
        <v>486</v>
      </c>
      <c r="V70" s="263">
        <v>2</v>
      </c>
      <c r="W70" s="263">
        <v>2</v>
      </c>
      <c r="X70" s="263">
        <v>315</v>
      </c>
      <c r="Y70" s="262" t="s">
        <v>435</v>
      </c>
      <c r="Z70" s="266" t="s">
        <v>343</v>
      </c>
      <c r="AA70" s="381">
        <v>8000000</v>
      </c>
      <c r="AB70" s="267">
        <v>761904.76190476189</v>
      </c>
      <c r="AC70" s="266" t="s">
        <v>487</v>
      </c>
      <c r="AD70" s="266" t="s">
        <v>427</v>
      </c>
      <c r="AE70" s="268"/>
      <c r="AF70" s="269"/>
      <c r="AG70" s="276"/>
      <c r="AH70" s="276"/>
      <c r="AI70" s="356">
        <v>0</v>
      </c>
      <c r="AJ70" s="356">
        <v>0</v>
      </c>
      <c r="AK70" s="357">
        <v>0</v>
      </c>
      <c r="AL70" s="357">
        <v>0</v>
      </c>
      <c r="AM70" s="357">
        <v>0</v>
      </c>
      <c r="AN70" s="357">
        <v>1000000</v>
      </c>
      <c r="AO70" s="357">
        <v>1000000</v>
      </c>
      <c r="AP70" s="357">
        <v>1000000</v>
      </c>
      <c r="AQ70" s="357">
        <v>1000000</v>
      </c>
      <c r="AR70" s="357">
        <v>1000000</v>
      </c>
      <c r="AS70" s="357">
        <v>1000000</v>
      </c>
      <c r="AT70" s="357">
        <v>2000000</v>
      </c>
      <c r="AU70" s="323">
        <f t="shared" si="3"/>
        <v>8000000</v>
      </c>
      <c r="AV70" s="303">
        <f t="shared" si="4"/>
        <v>0</v>
      </c>
      <c r="AW70" s="301"/>
      <c r="AX70" s="301">
        <v>0</v>
      </c>
      <c r="AY70" s="301">
        <v>0</v>
      </c>
      <c r="AZ70" s="301">
        <f>AU70</f>
        <v>8000000</v>
      </c>
      <c r="BA70" s="301">
        <v>0</v>
      </c>
      <c r="BB70" s="302">
        <f t="shared" si="6"/>
        <v>8000000</v>
      </c>
    </row>
    <row r="71" spans="1:54" s="346" customFormat="1" hidden="1">
      <c r="A71" s="332" t="s">
        <v>327</v>
      </c>
      <c r="B71" s="333" t="s">
        <v>328</v>
      </c>
      <c r="C71" s="333" t="s">
        <v>328</v>
      </c>
      <c r="D71" s="333" t="s">
        <v>488</v>
      </c>
      <c r="E71" s="333">
        <v>952</v>
      </c>
      <c r="F71" s="334">
        <v>7673</v>
      </c>
      <c r="G71" s="332" t="s">
        <v>329</v>
      </c>
      <c r="H71" s="332" t="s">
        <v>489</v>
      </c>
      <c r="I71" s="332" t="s">
        <v>399</v>
      </c>
      <c r="J71" s="332" t="s">
        <v>332</v>
      </c>
      <c r="K71" s="332" t="s">
        <v>333</v>
      </c>
      <c r="L71" s="332" t="s">
        <v>334</v>
      </c>
      <c r="M71" s="332" t="s">
        <v>335</v>
      </c>
      <c r="N71" s="332" t="s">
        <v>336</v>
      </c>
      <c r="O71" s="332" t="s">
        <v>337</v>
      </c>
      <c r="P71" s="347" t="s">
        <v>338</v>
      </c>
      <c r="Q71" s="335">
        <v>1</v>
      </c>
      <c r="R71" s="336" t="s">
        <v>490</v>
      </c>
      <c r="S71" s="348" t="s">
        <v>491</v>
      </c>
      <c r="T71" s="333" t="s">
        <v>492</v>
      </c>
      <c r="U71" s="332" t="s">
        <v>493</v>
      </c>
      <c r="V71" s="333">
        <v>3</v>
      </c>
      <c r="W71" s="349">
        <v>5</v>
      </c>
      <c r="X71" s="333">
        <v>30</v>
      </c>
      <c r="Y71" s="332" t="s">
        <v>435</v>
      </c>
      <c r="Z71" s="350" t="s">
        <v>343</v>
      </c>
      <c r="AA71" s="383">
        <v>92608376</v>
      </c>
      <c r="AB71" s="337">
        <v>92608376</v>
      </c>
      <c r="AC71" s="336" t="s">
        <v>494</v>
      </c>
      <c r="AD71" s="336" t="s">
        <v>397</v>
      </c>
      <c r="AE71" s="338"/>
      <c r="AF71" s="339"/>
      <c r="AG71" s="340"/>
      <c r="AH71" s="341"/>
      <c r="AI71" s="358">
        <v>0</v>
      </c>
      <c r="AJ71" s="358">
        <v>0</v>
      </c>
      <c r="AK71" s="359">
        <v>0</v>
      </c>
      <c r="AL71" s="359">
        <v>0</v>
      </c>
      <c r="AM71" s="359">
        <v>0</v>
      </c>
      <c r="AN71" s="359">
        <v>0</v>
      </c>
      <c r="AO71" s="359">
        <v>0</v>
      </c>
      <c r="AP71" s="359">
        <v>0</v>
      </c>
      <c r="AQ71" s="359">
        <v>0</v>
      </c>
      <c r="AR71" s="359">
        <v>0</v>
      </c>
      <c r="AS71" s="359">
        <v>92608376</v>
      </c>
      <c r="AT71" s="359">
        <v>0</v>
      </c>
      <c r="AU71" s="342">
        <f t="shared" si="3"/>
        <v>92608376</v>
      </c>
      <c r="AV71" s="343">
        <f t="shared" si="4"/>
        <v>0</v>
      </c>
      <c r="AW71" s="344"/>
      <c r="AX71" s="344">
        <f>AU71</f>
        <v>92608376</v>
      </c>
      <c r="AY71" s="344">
        <v>0</v>
      </c>
      <c r="AZ71" s="344">
        <v>0</v>
      </c>
      <c r="BA71" s="344">
        <v>0</v>
      </c>
      <c r="BB71" s="345">
        <f t="shared" si="6"/>
        <v>92608376</v>
      </c>
    </row>
    <row r="72" spans="1:54" s="272" customFormat="1" hidden="1">
      <c r="A72" s="262" t="s">
        <v>327</v>
      </c>
      <c r="B72" s="263" t="s">
        <v>328</v>
      </c>
      <c r="C72" s="263" t="s">
        <v>328</v>
      </c>
      <c r="D72" s="263">
        <v>952</v>
      </c>
      <c r="E72" s="263">
        <v>931</v>
      </c>
      <c r="F72" s="264">
        <v>7673</v>
      </c>
      <c r="G72" s="262" t="s">
        <v>329</v>
      </c>
      <c r="H72" s="262" t="s">
        <v>495</v>
      </c>
      <c r="I72" s="262" t="s">
        <v>407</v>
      </c>
      <c r="J72" s="262" t="s">
        <v>332</v>
      </c>
      <c r="K72" s="262" t="s">
        <v>333</v>
      </c>
      <c r="L72" s="262" t="s">
        <v>334</v>
      </c>
      <c r="M72" s="262" t="s">
        <v>335</v>
      </c>
      <c r="N72" s="262" t="s">
        <v>336</v>
      </c>
      <c r="O72" s="262" t="s">
        <v>362</v>
      </c>
      <c r="P72" s="262" t="s">
        <v>496</v>
      </c>
      <c r="Q72" s="265">
        <v>1</v>
      </c>
      <c r="R72" s="262" t="s">
        <v>497</v>
      </c>
      <c r="S72" s="262" t="s">
        <v>498</v>
      </c>
      <c r="T72" s="262">
        <v>93141501</v>
      </c>
      <c r="U72" s="262" t="s">
        <v>499</v>
      </c>
      <c r="V72" s="263">
        <v>3</v>
      </c>
      <c r="W72" s="263">
        <v>7</v>
      </c>
      <c r="X72" s="263">
        <v>210</v>
      </c>
      <c r="Y72" s="275" t="s">
        <v>342</v>
      </c>
      <c r="Z72" s="266" t="s">
        <v>500</v>
      </c>
      <c r="AA72" s="278">
        <v>1076000000</v>
      </c>
      <c r="AB72" s="267">
        <v>153714285.714286</v>
      </c>
      <c r="AC72" s="266" t="s">
        <v>501</v>
      </c>
      <c r="AD72" s="279" t="s">
        <v>366</v>
      </c>
      <c r="AE72" s="280"/>
      <c r="AF72" s="269"/>
      <c r="AG72" s="271"/>
      <c r="AH72" s="270"/>
      <c r="AI72" s="356">
        <v>0</v>
      </c>
      <c r="AJ72" s="356">
        <v>0</v>
      </c>
      <c r="AK72" s="356">
        <v>0</v>
      </c>
      <c r="AL72" s="356">
        <v>0</v>
      </c>
      <c r="AM72" s="357">
        <v>0</v>
      </c>
      <c r="AN72" s="357">
        <v>153714285.7142857</v>
      </c>
      <c r="AO72" s="357">
        <v>153714285.7142857</v>
      </c>
      <c r="AP72" s="357">
        <v>153714285.7142857</v>
      </c>
      <c r="AQ72" s="357">
        <v>153714285.7142857</v>
      </c>
      <c r="AR72" s="357">
        <v>153714285.7142857</v>
      </c>
      <c r="AS72" s="357">
        <v>153714285.7142857</v>
      </c>
      <c r="AT72" s="357">
        <v>153714285.7142857</v>
      </c>
      <c r="AU72" s="323">
        <f t="shared" ref="AU72:AU75" si="31">SUM(AI72:AT72)</f>
        <v>1076000000</v>
      </c>
      <c r="AV72" s="303">
        <f t="shared" ref="AV72:AV74" si="32">+AU72-AA72</f>
        <v>0</v>
      </c>
      <c r="AW72" s="301"/>
      <c r="AX72" s="301">
        <v>0</v>
      </c>
      <c r="AY72" s="301">
        <v>0</v>
      </c>
      <c r="AZ72" s="301">
        <v>0</v>
      </c>
      <c r="BA72" s="301">
        <f>AU72</f>
        <v>1076000000</v>
      </c>
      <c r="BB72" s="302">
        <f t="shared" ref="BB72:BB75" si="33">SUM(AX72:BA72)</f>
        <v>1076000000</v>
      </c>
    </row>
    <row r="73" spans="1:54" hidden="1">
      <c r="A73" s="228" t="s">
        <v>327</v>
      </c>
      <c r="B73" s="229" t="s">
        <v>328</v>
      </c>
      <c r="C73" s="229" t="s">
        <v>328</v>
      </c>
      <c r="D73" s="229">
        <v>953</v>
      </c>
      <c r="E73" s="229">
        <v>958</v>
      </c>
      <c r="F73" s="231">
        <v>7673</v>
      </c>
      <c r="G73" s="228" t="s">
        <v>329</v>
      </c>
      <c r="H73" s="228" t="s">
        <v>495</v>
      </c>
      <c r="I73" s="228" t="s">
        <v>331</v>
      </c>
      <c r="J73" s="228" t="s">
        <v>332</v>
      </c>
      <c r="K73" s="228" t="s">
        <v>333</v>
      </c>
      <c r="L73" s="228" t="s">
        <v>334</v>
      </c>
      <c r="M73" s="228" t="s">
        <v>335</v>
      </c>
      <c r="N73" s="228" t="s">
        <v>336</v>
      </c>
      <c r="O73" s="228" t="s">
        <v>362</v>
      </c>
      <c r="P73" s="228" t="s">
        <v>496</v>
      </c>
      <c r="Q73" s="232">
        <v>1</v>
      </c>
      <c r="R73" s="228" t="s">
        <v>339</v>
      </c>
      <c r="S73" s="228" t="s">
        <v>340</v>
      </c>
      <c r="T73" s="228">
        <v>80111620</v>
      </c>
      <c r="U73" s="228" t="s">
        <v>502</v>
      </c>
      <c r="V73" s="229">
        <v>1</v>
      </c>
      <c r="W73" s="229">
        <v>1</v>
      </c>
      <c r="X73" s="229">
        <v>330</v>
      </c>
      <c r="Y73" s="249" t="s">
        <v>342</v>
      </c>
      <c r="Z73" s="235" t="s">
        <v>500</v>
      </c>
      <c r="AA73" s="250">
        <v>77000000</v>
      </c>
      <c r="AB73" s="236">
        <v>7000000</v>
      </c>
      <c r="AC73" s="251" t="s">
        <v>503</v>
      </c>
      <c r="AD73" s="251" t="s">
        <v>366</v>
      </c>
      <c r="AE73" s="237"/>
      <c r="AF73" s="238"/>
      <c r="AG73" s="240"/>
      <c r="AH73" s="240"/>
      <c r="AI73" s="355">
        <f t="shared" ref="AI73:AI75" si="34">AB73/30*10</f>
        <v>2333333.3333333335</v>
      </c>
      <c r="AJ73" s="355">
        <f t="shared" ref="AJ73:AJ75" si="35">AB73</f>
        <v>7000000</v>
      </c>
      <c r="AK73" s="355">
        <v>7000000</v>
      </c>
      <c r="AL73" s="355">
        <v>7000000</v>
      </c>
      <c r="AM73" s="325">
        <v>7000000</v>
      </c>
      <c r="AN73" s="325">
        <v>7000000</v>
      </c>
      <c r="AO73" s="325">
        <v>7000000</v>
      </c>
      <c r="AP73" s="325">
        <v>7000000</v>
      </c>
      <c r="AQ73" s="325">
        <v>7000000</v>
      </c>
      <c r="AR73" s="325">
        <v>7000000</v>
      </c>
      <c r="AS73" s="325">
        <v>7000000</v>
      </c>
      <c r="AT73" s="325">
        <f t="shared" ref="AT73:AT75" si="36">AB73/30*20</f>
        <v>4666666.666666667</v>
      </c>
      <c r="AU73" s="322">
        <f t="shared" si="31"/>
        <v>77000000.000000015</v>
      </c>
      <c r="AV73" s="299">
        <f t="shared" si="32"/>
        <v>0</v>
      </c>
      <c r="AX73" s="296">
        <v>0</v>
      </c>
      <c r="AY73" s="296">
        <v>0</v>
      </c>
      <c r="AZ73" s="296">
        <v>0</v>
      </c>
      <c r="BA73" s="296">
        <f>AU73</f>
        <v>77000000.000000015</v>
      </c>
      <c r="BB73" s="295">
        <f t="shared" si="33"/>
        <v>77000000.000000015</v>
      </c>
    </row>
    <row r="74" spans="1:54" hidden="1">
      <c r="A74" s="228" t="s">
        <v>504</v>
      </c>
      <c r="B74" s="229" t="s">
        <v>328</v>
      </c>
      <c r="C74" s="229" t="s">
        <v>328</v>
      </c>
      <c r="D74" s="229"/>
      <c r="E74" s="229">
        <v>959</v>
      </c>
      <c r="F74" s="231">
        <v>7673</v>
      </c>
      <c r="G74" s="228" t="s">
        <v>329</v>
      </c>
      <c r="H74" s="228" t="s">
        <v>495</v>
      </c>
      <c r="I74" s="228" t="s">
        <v>331</v>
      </c>
      <c r="J74" s="228" t="s">
        <v>332</v>
      </c>
      <c r="K74" s="228" t="s">
        <v>333</v>
      </c>
      <c r="L74" s="228" t="s">
        <v>334</v>
      </c>
      <c r="M74" s="228" t="s">
        <v>335</v>
      </c>
      <c r="N74" s="228" t="s">
        <v>336</v>
      </c>
      <c r="O74" s="228" t="s">
        <v>362</v>
      </c>
      <c r="P74" s="228" t="s">
        <v>496</v>
      </c>
      <c r="Q74" s="232">
        <v>1</v>
      </c>
      <c r="R74" s="228" t="s">
        <v>339</v>
      </c>
      <c r="S74" s="228" t="s">
        <v>340</v>
      </c>
      <c r="T74" s="228">
        <v>80111620</v>
      </c>
      <c r="U74" s="228" t="s">
        <v>505</v>
      </c>
      <c r="V74" s="229">
        <v>1</v>
      </c>
      <c r="W74" s="229">
        <v>1</v>
      </c>
      <c r="X74" s="229">
        <v>330</v>
      </c>
      <c r="Y74" s="249" t="s">
        <v>342</v>
      </c>
      <c r="Z74" s="235" t="s">
        <v>500</v>
      </c>
      <c r="AA74" s="250">
        <v>77000000</v>
      </c>
      <c r="AB74" s="236">
        <v>7000000</v>
      </c>
      <c r="AC74" s="251" t="s">
        <v>506</v>
      </c>
      <c r="AD74" s="251" t="s">
        <v>366</v>
      </c>
      <c r="AE74" s="237"/>
      <c r="AF74" s="238"/>
      <c r="AG74" s="240"/>
      <c r="AH74" s="240"/>
      <c r="AI74" s="355">
        <f t="shared" si="34"/>
        <v>2333333.3333333335</v>
      </c>
      <c r="AJ74" s="355">
        <f t="shared" si="35"/>
        <v>7000000</v>
      </c>
      <c r="AK74" s="355">
        <v>7000000</v>
      </c>
      <c r="AL74" s="355">
        <v>7000000</v>
      </c>
      <c r="AM74" s="325">
        <v>7000000</v>
      </c>
      <c r="AN74" s="325">
        <v>7000000</v>
      </c>
      <c r="AO74" s="325">
        <v>7000000</v>
      </c>
      <c r="AP74" s="325">
        <v>7000000</v>
      </c>
      <c r="AQ74" s="325">
        <v>7000000</v>
      </c>
      <c r="AR74" s="325">
        <v>7000000</v>
      </c>
      <c r="AS74" s="325">
        <v>7000000</v>
      </c>
      <c r="AT74" s="325">
        <f t="shared" si="36"/>
        <v>4666666.666666667</v>
      </c>
      <c r="AU74" s="322">
        <f t="shared" si="31"/>
        <v>77000000.000000015</v>
      </c>
      <c r="AV74" s="299">
        <f t="shared" si="32"/>
        <v>0</v>
      </c>
      <c r="AX74" s="296">
        <v>0</v>
      </c>
      <c r="AY74" s="296">
        <v>0</v>
      </c>
      <c r="AZ74" s="296">
        <v>0</v>
      </c>
      <c r="BA74" s="296">
        <f>AU74</f>
        <v>77000000.000000015</v>
      </c>
      <c r="BB74" s="295">
        <f t="shared" si="33"/>
        <v>77000000.000000015</v>
      </c>
    </row>
    <row r="75" spans="1:54" hidden="1">
      <c r="A75" s="252" t="s">
        <v>327</v>
      </c>
      <c r="B75" s="253" t="s">
        <v>328</v>
      </c>
      <c r="C75" s="253" t="s">
        <v>507</v>
      </c>
      <c r="D75" s="253" t="s">
        <v>508</v>
      </c>
      <c r="E75" s="230" t="s">
        <v>509</v>
      </c>
      <c r="F75" s="254">
        <v>7673</v>
      </c>
      <c r="G75" s="252" t="s">
        <v>329</v>
      </c>
      <c r="H75" s="252" t="s">
        <v>510</v>
      </c>
      <c r="I75" s="252" t="s">
        <v>407</v>
      </c>
      <c r="J75" s="252" t="s">
        <v>332</v>
      </c>
      <c r="K75" s="252" t="s">
        <v>333</v>
      </c>
      <c r="L75" s="252" t="s">
        <v>334</v>
      </c>
      <c r="M75" s="252" t="s">
        <v>335</v>
      </c>
      <c r="N75" s="252" t="s">
        <v>336</v>
      </c>
      <c r="O75" s="252" t="s">
        <v>511</v>
      </c>
      <c r="P75" s="252" t="s">
        <v>338</v>
      </c>
      <c r="Q75" s="255">
        <v>0.33</v>
      </c>
      <c r="R75" s="252" t="s">
        <v>512</v>
      </c>
      <c r="S75" s="252" t="s">
        <v>513</v>
      </c>
      <c r="T75" s="256" t="s">
        <v>514</v>
      </c>
      <c r="U75" s="257" t="s">
        <v>515</v>
      </c>
      <c r="V75" s="253" t="s">
        <v>514</v>
      </c>
      <c r="W75" s="253" t="s">
        <v>514</v>
      </c>
      <c r="X75" s="253" t="s">
        <v>514</v>
      </c>
      <c r="Y75" s="252" t="s">
        <v>516</v>
      </c>
      <c r="Z75" s="258" t="s">
        <v>517</v>
      </c>
      <c r="AA75" s="384">
        <f>150000000*33%</f>
        <v>49500000</v>
      </c>
      <c r="AB75" s="260"/>
      <c r="AC75" s="261"/>
      <c r="AD75" s="261" t="s">
        <v>518</v>
      </c>
      <c r="AE75" s="241"/>
      <c r="AF75" s="238"/>
      <c r="AG75" s="241"/>
      <c r="AH75" s="298"/>
      <c r="AI75" s="355">
        <f t="shared" si="34"/>
        <v>0</v>
      </c>
      <c r="AJ75" s="355">
        <f t="shared" si="35"/>
        <v>0</v>
      </c>
      <c r="AK75" s="363">
        <v>0</v>
      </c>
      <c r="AL75" s="363">
        <v>0</v>
      </c>
      <c r="AM75" s="325">
        <v>0</v>
      </c>
      <c r="AN75" s="325">
        <f>50000000*33%</f>
        <v>16500000</v>
      </c>
      <c r="AO75" s="325">
        <v>0</v>
      </c>
      <c r="AP75" s="325">
        <f>50000000*33%</f>
        <v>16500000</v>
      </c>
      <c r="AQ75" s="325">
        <v>0</v>
      </c>
      <c r="AR75" s="325">
        <f>50000000*33%</f>
        <v>16500000</v>
      </c>
      <c r="AS75" s="325">
        <v>0</v>
      </c>
      <c r="AT75" s="325">
        <f t="shared" si="36"/>
        <v>0</v>
      </c>
      <c r="AU75" s="322">
        <f t="shared" si="31"/>
        <v>49500000</v>
      </c>
      <c r="AV75" s="299">
        <f>+AU75-AA75</f>
        <v>0</v>
      </c>
      <c r="AX75" s="296">
        <f>AU75*33%</f>
        <v>16335000</v>
      </c>
      <c r="AY75" s="296">
        <v>0</v>
      </c>
      <c r="AZ75" s="296">
        <f>AU75*67%</f>
        <v>33165000.000000004</v>
      </c>
      <c r="BA75" s="296">
        <v>0</v>
      </c>
      <c r="BB75" s="295">
        <f t="shared" si="33"/>
        <v>49500000</v>
      </c>
    </row>
    <row r="76" spans="1:54">
      <c r="A76" s="252" t="s">
        <v>327</v>
      </c>
      <c r="B76" s="253" t="s">
        <v>328</v>
      </c>
      <c r="C76" s="253" t="s">
        <v>507</v>
      </c>
      <c r="D76" s="253" t="s">
        <v>508</v>
      </c>
      <c r="E76" s="230" t="s">
        <v>509</v>
      </c>
      <c r="F76" s="254">
        <v>7673</v>
      </c>
      <c r="G76" s="252" t="s">
        <v>329</v>
      </c>
      <c r="H76" s="252" t="s">
        <v>510</v>
      </c>
      <c r="I76" s="252" t="s">
        <v>407</v>
      </c>
      <c r="J76" s="252" t="s">
        <v>332</v>
      </c>
      <c r="K76" s="252" t="s">
        <v>333</v>
      </c>
      <c r="L76" s="252" t="s">
        <v>334</v>
      </c>
      <c r="M76" s="252" t="s">
        <v>335</v>
      </c>
      <c r="N76" s="252" t="s">
        <v>336</v>
      </c>
      <c r="O76" s="252" t="s">
        <v>511</v>
      </c>
      <c r="P76" s="252" t="s">
        <v>363</v>
      </c>
      <c r="Q76" s="255">
        <v>0.67</v>
      </c>
      <c r="R76" s="252" t="s">
        <v>512</v>
      </c>
      <c r="S76" s="252" t="s">
        <v>513</v>
      </c>
      <c r="T76" s="256" t="s">
        <v>514</v>
      </c>
      <c r="U76" s="257" t="s">
        <v>515</v>
      </c>
      <c r="V76" s="253" t="s">
        <v>514</v>
      </c>
      <c r="W76" s="253" t="s">
        <v>514</v>
      </c>
      <c r="X76" s="253" t="s">
        <v>514</v>
      </c>
      <c r="Y76" s="252" t="s">
        <v>516</v>
      </c>
      <c r="Z76" s="258" t="s">
        <v>517</v>
      </c>
      <c r="AA76" s="259">
        <f>150000000*67%</f>
        <v>100500000</v>
      </c>
      <c r="AB76" s="260"/>
      <c r="AC76" s="261"/>
      <c r="AD76" s="261" t="s">
        <v>518</v>
      </c>
      <c r="AE76" s="241"/>
      <c r="AF76" s="238"/>
      <c r="AG76" s="241"/>
      <c r="AH76" s="241"/>
      <c r="AI76" s="355">
        <f t="shared" ref="AI76" si="37">AB76/30*10</f>
        <v>0</v>
      </c>
      <c r="AJ76" s="355">
        <f t="shared" ref="AJ76" si="38">AB76</f>
        <v>0</v>
      </c>
      <c r="AK76" s="363">
        <v>0</v>
      </c>
      <c r="AL76" s="363">
        <v>0</v>
      </c>
      <c r="AM76" s="325">
        <v>0</v>
      </c>
      <c r="AN76" s="325">
        <f>50000000*67%</f>
        <v>33500000.000000004</v>
      </c>
      <c r="AO76" s="325">
        <v>0</v>
      </c>
      <c r="AP76" s="325">
        <f>50000000*67%</f>
        <v>33500000.000000004</v>
      </c>
      <c r="AQ76" s="325">
        <v>0</v>
      </c>
      <c r="AR76" s="325">
        <f>50000000*67%</f>
        <v>33500000.000000004</v>
      </c>
      <c r="AS76" s="325">
        <v>0</v>
      </c>
      <c r="AT76" s="325">
        <f t="shared" ref="AT76" si="39">AB76/30*20</f>
        <v>0</v>
      </c>
      <c r="AU76" s="322">
        <f t="shared" ref="AU76:AU77" si="40">SUM(AI76:AT76)</f>
        <v>100500000.00000001</v>
      </c>
      <c r="AV76" s="299">
        <f>+AU76-AA76</f>
        <v>0</v>
      </c>
      <c r="AX76" s="296">
        <f>AU76*33%</f>
        <v>33165000.000000007</v>
      </c>
      <c r="AY76" s="296">
        <v>0</v>
      </c>
      <c r="AZ76" s="296">
        <f>AU76*67%</f>
        <v>67335000.000000015</v>
      </c>
      <c r="BA76" s="296">
        <v>0</v>
      </c>
      <c r="BB76" s="295">
        <f t="shared" ref="BB76:BB77" si="41">SUM(AX76:BA76)</f>
        <v>100500000.00000003</v>
      </c>
    </row>
    <row r="77" spans="1:54" s="281" customFormat="1" hidden="1">
      <c r="A77"/>
      <c r="B77"/>
      <c r="C77"/>
      <c r="D77"/>
      <c r="E77"/>
      <c r="F77"/>
      <c r="G77"/>
      <c r="H77"/>
      <c r="I77"/>
      <c r="J77"/>
      <c r="K77"/>
      <c r="L77"/>
      <c r="M77"/>
      <c r="N77"/>
      <c r="O77"/>
      <c r="P77" s="252" t="s">
        <v>338</v>
      </c>
      <c r="Q77" s="351">
        <v>1</v>
      </c>
      <c r="R77"/>
      <c r="S77"/>
      <c r="T77"/>
      <c r="U77"/>
      <c r="V77"/>
      <c r="W77"/>
      <c r="X77"/>
      <c r="Y77"/>
      <c r="Z77"/>
      <c r="AA77" s="385">
        <v>14783248</v>
      </c>
      <c r="AC77" s="352" t="s">
        <v>519</v>
      </c>
      <c r="AD77"/>
      <c r="AE77"/>
      <c r="AF77"/>
      <c r="AG77"/>
      <c r="AH77"/>
      <c r="AI77" s="325">
        <v>0</v>
      </c>
      <c r="AJ77" s="325">
        <v>0</v>
      </c>
      <c r="AK77" s="325">
        <v>0</v>
      </c>
      <c r="AL77" s="325">
        <v>0</v>
      </c>
      <c r="AM77" s="325">
        <v>0</v>
      </c>
      <c r="AN77" s="325">
        <v>0</v>
      </c>
      <c r="AO77" s="325">
        <v>0</v>
      </c>
      <c r="AP77" s="325">
        <v>0</v>
      </c>
      <c r="AQ77" s="325">
        <v>14783248</v>
      </c>
      <c r="AR77" s="325">
        <v>0</v>
      </c>
      <c r="AS77" s="325">
        <v>0</v>
      </c>
      <c r="AT77" s="325">
        <v>0</v>
      </c>
      <c r="AU77" s="322">
        <f t="shared" si="40"/>
        <v>14783248</v>
      </c>
      <c r="AV77" s="295"/>
      <c r="AW77" s="295"/>
      <c r="AX77" s="325">
        <f>+AU77</f>
        <v>14783248</v>
      </c>
      <c r="AY77" s="296">
        <v>0</v>
      </c>
      <c r="AZ77" s="296">
        <v>0</v>
      </c>
      <c r="BA77" s="296">
        <v>0</v>
      </c>
      <c r="BB77" s="295">
        <f t="shared" si="41"/>
        <v>14783248</v>
      </c>
    </row>
    <row r="78" spans="1:54" s="281" customFormat="1" hidden="1">
      <c r="A78"/>
      <c r="B78"/>
      <c r="C78"/>
      <c r="D78"/>
      <c r="E78"/>
      <c r="F78"/>
      <c r="G78"/>
      <c r="H78"/>
      <c r="I78"/>
      <c r="J78"/>
      <c r="K78"/>
      <c r="L78"/>
      <c r="M78"/>
      <c r="N78"/>
      <c r="O78"/>
      <c r="P78" s="354"/>
      <c r="Q78" s="351"/>
      <c r="R78"/>
      <c r="S78"/>
      <c r="T78"/>
      <c r="U78"/>
      <c r="V78"/>
      <c r="W78"/>
      <c r="X78"/>
      <c r="Y78"/>
      <c r="Z78"/>
      <c r="AA78" s="353">
        <f>SUM(AA2:AA77)</f>
        <v>5425259000</v>
      </c>
      <c r="AC78" s="352"/>
      <c r="AD78"/>
      <c r="AE78"/>
      <c r="AF78"/>
      <c r="AG78"/>
      <c r="AH78"/>
      <c r="AI78" s="367">
        <f>SUM(AI2:AI77)</f>
        <v>144889000.00000006</v>
      </c>
      <c r="AJ78" s="367">
        <f t="shared" ref="AJ78:AT78" si="42">SUM(AJ2:AJ77)</f>
        <v>316828333.33333337</v>
      </c>
      <c r="AK78" s="367">
        <f t="shared" si="42"/>
        <v>316828333.33333337</v>
      </c>
      <c r="AL78" s="367">
        <f t="shared" si="42"/>
        <v>316828333.33333337</v>
      </c>
      <c r="AM78" s="367">
        <f t="shared" si="42"/>
        <v>317515833.33333337</v>
      </c>
      <c r="AN78" s="367">
        <f t="shared" si="42"/>
        <v>552017333.33333337</v>
      </c>
      <c r="AO78" s="367">
        <f t="shared" si="42"/>
        <v>507109000</v>
      </c>
      <c r="AP78" s="367">
        <f t="shared" si="42"/>
        <v>631013600</v>
      </c>
      <c r="AQ78" s="367">
        <f t="shared" si="42"/>
        <v>521892248</v>
      </c>
      <c r="AR78" s="367">
        <f t="shared" si="42"/>
        <v>705145826</v>
      </c>
      <c r="AS78" s="367">
        <f t="shared" si="42"/>
        <v>605256376</v>
      </c>
      <c r="AT78" s="367">
        <f t="shared" si="42"/>
        <v>489934783.33333349</v>
      </c>
      <c r="AU78" s="367">
        <f>SUM(AI78:AT78)</f>
        <v>5425259000</v>
      </c>
      <c r="AV78" s="295"/>
      <c r="AW78" s="295"/>
      <c r="AX78" s="296"/>
      <c r="AY78" s="296"/>
      <c r="AZ78" s="296"/>
      <c r="BA78" s="296"/>
      <c r="BB78" s="330">
        <f>SUM(BB2:BB77)</f>
        <v>5425259000</v>
      </c>
    </row>
    <row r="79" spans="1:54">
      <c r="AI79" s="368" t="s">
        <v>310</v>
      </c>
      <c r="AJ79" s="368" t="s">
        <v>311</v>
      </c>
      <c r="AK79" s="368" t="s">
        <v>312</v>
      </c>
      <c r="AL79" s="368" t="s">
        <v>313</v>
      </c>
      <c r="AM79" s="368" t="s">
        <v>314</v>
      </c>
      <c r="AN79" s="368" t="s">
        <v>315</v>
      </c>
      <c r="AO79" s="368" t="s">
        <v>316</v>
      </c>
      <c r="AP79" s="368" t="s">
        <v>317</v>
      </c>
      <c r="AQ79" s="368" t="s">
        <v>318</v>
      </c>
      <c r="AR79" s="368" t="s">
        <v>319</v>
      </c>
      <c r="AS79" s="368" t="s">
        <v>320</v>
      </c>
      <c r="AT79" s="368" t="s">
        <v>321</v>
      </c>
      <c r="AU79" s="367"/>
    </row>
    <row r="80" spans="1:54">
      <c r="AH80" s="296" t="s">
        <v>323</v>
      </c>
      <c r="AI80" s="321">
        <f>+AI2+AI3+AI4+AI5+AI6+AI7+AI8+AI9+AI10+AI11+AI12+AI13+AI14+AI15+AI16+AI17+AI18+AI19+AI20+AI21+AI22+AI23+AI24+AI25+AI26+AI27+AI28+AI29+AI30+AI31+AI53+AI54+AI56+AI57+AI59+AI61+AI63+AI64+AI65+AI67+AI69+AI71+AI75+AI77</f>
        <v>93098268.096666679</v>
      </c>
      <c r="AJ80" s="321">
        <f t="shared" ref="AJ80:AT80" si="43">+AJ2+AJ3+AJ4+AJ5+AJ6+AJ7+AJ8+AJ9+AJ10+AJ11+AJ12+AJ13+AJ14+AJ15+AJ16+AJ17+AJ18+AJ19+AJ20+AJ21+AJ22+AJ23+AJ24+AJ25+AJ26+AJ27+AJ28+AJ29+AJ30+AJ31+AJ53+AJ54+AJ56+AJ57+AJ59+AJ61+AJ63+AJ64+AJ65+AJ67+AJ69+AJ71+AJ75+AJ77</f>
        <v>167652934.76333335</v>
      </c>
      <c r="AK80" s="321">
        <f t="shared" si="43"/>
        <v>167652934.76333335</v>
      </c>
      <c r="AL80" s="321">
        <f t="shared" si="43"/>
        <v>167652934.76333335</v>
      </c>
      <c r="AM80" s="321">
        <f t="shared" si="43"/>
        <v>168278559.76333335</v>
      </c>
      <c r="AN80" s="321">
        <f t="shared" si="43"/>
        <v>213550774.04904768</v>
      </c>
      <c r="AO80" s="321">
        <f t="shared" si="43"/>
        <v>202142440.71571437</v>
      </c>
      <c r="AP80" s="321">
        <f t="shared" si="43"/>
        <v>218642440.71571437</v>
      </c>
      <c r="AQ80" s="321">
        <f t="shared" si="43"/>
        <v>216925688.71571437</v>
      </c>
      <c r="AR80" s="321">
        <f t="shared" si="43"/>
        <v>311250816.71571434</v>
      </c>
      <c r="AS80" s="321">
        <f t="shared" si="43"/>
        <v>300289816.71571434</v>
      </c>
      <c r="AT80" s="321">
        <f t="shared" si="43"/>
        <v>174733177.38238099</v>
      </c>
      <c r="AU80" s="324">
        <f>SUM(AI80:AT80)</f>
        <v>2401870787.1600008</v>
      </c>
      <c r="AV80" s="321">
        <v>2501937000</v>
      </c>
      <c r="AW80" s="326">
        <f>+AV80-AU80</f>
        <v>100066212.8399992</v>
      </c>
      <c r="AX80" s="321"/>
      <c r="AY80" s="321"/>
    </row>
    <row r="81" spans="1:51">
      <c r="AA81" s="366">
        <f>SUM(AA2:AA52)+AA73+AA74</f>
        <v>2997679000</v>
      </c>
      <c r="AH81" s="296" t="s">
        <v>324</v>
      </c>
      <c r="AI81" s="321">
        <f>+AI55</f>
        <v>0</v>
      </c>
      <c r="AJ81" s="321">
        <f t="shared" ref="AJ81:AT81" si="44">+AJ55</f>
        <v>0</v>
      </c>
      <c r="AK81" s="321">
        <f t="shared" si="44"/>
        <v>0</v>
      </c>
      <c r="AL81" s="321">
        <f t="shared" si="44"/>
        <v>0</v>
      </c>
      <c r="AM81" s="321">
        <f t="shared" si="44"/>
        <v>0</v>
      </c>
      <c r="AN81" s="321">
        <f t="shared" si="44"/>
        <v>0</v>
      </c>
      <c r="AO81" s="321">
        <f t="shared" si="44"/>
        <v>0</v>
      </c>
      <c r="AP81" s="321">
        <f t="shared" si="44"/>
        <v>73904600</v>
      </c>
      <c r="AQ81" s="321">
        <f t="shared" si="44"/>
        <v>0</v>
      </c>
      <c r="AR81" s="321">
        <f t="shared" si="44"/>
        <v>55428450</v>
      </c>
      <c r="AS81" s="321">
        <f t="shared" si="44"/>
        <v>0</v>
      </c>
      <c r="AT81" s="321">
        <f t="shared" si="44"/>
        <v>55428450</v>
      </c>
      <c r="AU81" s="324">
        <f t="shared" ref="AU81:AU83" si="45">SUM(AI81:AT81)</f>
        <v>184761500</v>
      </c>
      <c r="AV81" s="321">
        <v>184762000</v>
      </c>
      <c r="AW81" s="326">
        <f>+AV81-AU81</f>
        <v>500</v>
      </c>
      <c r="AX81" s="321"/>
      <c r="AY81" s="321"/>
    </row>
    <row r="82" spans="1:51">
      <c r="AH82" s="296" t="s">
        <v>325</v>
      </c>
      <c r="AI82" s="321">
        <f>+AI32+AI33+AI34+AI35+AI36+AI37+AI38+AI39+AI40+AI41+AI42+AI43+AI44+AI45+AI46+AI47+AI48+AI49+AI50+AI51+AI52+AI58+AI60+AI62+AI66+AI68+AI70+AI76</f>
        <v>47124065.236666664</v>
      </c>
      <c r="AJ82" s="321">
        <f t="shared" ref="AJ82:AT82" si="46">+AJ32+AJ33+AJ34+AJ35+AJ36+AJ37+AJ38+AJ39+AJ40+AJ41+AJ42+AJ43+AJ44+AJ45+AJ46+AJ47+AJ48+AJ49+AJ50+AJ51+AJ52+AJ58+AJ60+AJ62+AJ66+AJ68+AJ70+AJ76</f>
        <v>135175398.56999999</v>
      </c>
      <c r="AK82" s="321">
        <f t="shared" si="46"/>
        <v>135175398.56999999</v>
      </c>
      <c r="AL82" s="321">
        <f t="shared" si="46"/>
        <v>135175398.56999999</v>
      </c>
      <c r="AM82" s="321">
        <f t="shared" si="46"/>
        <v>135237273.56999999</v>
      </c>
      <c r="AN82" s="321">
        <f t="shared" si="46"/>
        <v>170752273.56999999</v>
      </c>
      <c r="AO82" s="321">
        <f t="shared" si="46"/>
        <v>137252273.56999999</v>
      </c>
      <c r="AP82" s="321">
        <f t="shared" si="46"/>
        <v>170752273.56999999</v>
      </c>
      <c r="AQ82" s="321">
        <f t="shared" si="46"/>
        <v>137252273.56999999</v>
      </c>
      <c r="AR82" s="321">
        <f t="shared" si="46"/>
        <v>170752273.56999999</v>
      </c>
      <c r="AS82" s="321">
        <f t="shared" si="46"/>
        <v>137252273.56999999</v>
      </c>
      <c r="AT82" s="321">
        <f t="shared" si="46"/>
        <v>96725536.903333321</v>
      </c>
      <c r="AU82" s="324">
        <f t="shared" si="45"/>
        <v>1608626712.8399997</v>
      </c>
      <c r="AV82" s="321">
        <v>1508560000</v>
      </c>
      <c r="AW82" s="326">
        <f>+AV82-AU82</f>
        <v>-100066712.83999968</v>
      </c>
      <c r="AX82" s="321"/>
      <c r="AY82" s="321"/>
    </row>
    <row r="83" spans="1:51">
      <c r="AH83" s="296" t="s">
        <v>326</v>
      </c>
      <c r="AI83" s="321">
        <f>+AI72+AI73+AI74</f>
        <v>4666666.666666667</v>
      </c>
      <c r="AJ83" s="321">
        <f t="shared" ref="AJ83:AT83" si="47">+AJ72+AJ73+AJ74</f>
        <v>14000000</v>
      </c>
      <c r="AK83" s="321">
        <f t="shared" si="47"/>
        <v>14000000</v>
      </c>
      <c r="AL83" s="321">
        <f t="shared" si="47"/>
        <v>14000000</v>
      </c>
      <c r="AM83" s="321">
        <f t="shared" si="47"/>
        <v>14000000</v>
      </c>
      <c r="AN83" s="321">
        <f t="shared" si="47"/>
        <v>167714285.7142857</v>
      </c>
      <c r="AO83" s="321">
        <f t="shared" si="47"/>
        <v>167714285.7142857</v>
      </c>
      <c r="AP83" s="321">
        <f t="shared" si="47"/>
        <v>167714285.7142857</v>
      </c>
      <c r="AQ83" s="321">
        <f t="shared" si="47"/>
        <v>167714285.7142857</v>
      </c>
      <c r="AR83" s="321">
        <f t="shared" si="47"/>
        <v>167714285.7142857</v>
      </c>
      <c r="AS83" s="321">
        <f t="shared" si="47"/>
        <v>167714285.7142857</v>
      </c>
      <c r="AT83" s="321">
        <f t="shared" si="47"/>
        <v>163047619.04761901</v>
      </c>
      <c r="AU83" s="324">
        <f t="shared" si="45"/>
        <v>1230000000</v>
      </c>
      <c r="AV83" s="321">
        <v>1230000000</v>
      </c>
      <c r="AW83" s="326">
        <f>+AV83-AU83</f>
        <v>0</v>
      </c>
      <c r="AX83" s="321"/>
      <c r="AY83" s="321"/>
    </row>
    <row r="85" spans="1:51">
      <c r="A85" s="392" t="s">
        <v>520</v>
      </c>
      <c r="B85" s="393" t="s">
        <v>521</v>
      </c>
      <c r="C85" s="393" t="s">
        <v>522</v>
      </c>
      <c r="D85" s="393" t="s">
        <v>523</v>
      </c>
      <c r="E85" s="393" t="s">
        <v>524</v>
      </c>
      <c r="F85" s="393" t="s">
        <v>525</v>
      </c>
      <c r="G85" s="393" t="s">
        <v>304</v>
      </c>
      <c r="H85" s="393" t="s">
        <v>305</v>
      </c>
      <c r="I85" s="393" t="s">
        <v>526</v>
      </c>
      <c r="J85" s="393" t="s">
        <v>527</v>
      </c>
      <c r="K85" s="394"/>
    </row>
    <row r="86" spans="1:51">
      <c r="A86" s="395" t="s">
        <v>528</v>
      </c>
      <c r="B86" s="395" t="s">
        <v>529</v>
      </c>
      <c r="C86" s="395" t="s">
        <v>530</v>
      </c>
      <c r="D86" s="395" t="s">
        <v>531</v>
      </c>
      <c r="E86" s="395" t="s">
        <v>532</v>
      </c>
      <c r="F86" s="395" t="s">
        <v>533</v>
      </c>
      <c r="G86" s="395" t="s">
        <v>534</v>
      </c>
      <c r="H86" s="395" t="s">
        <v>535</v>
      </c>
      <c r="I86" s="396">
        <v>73200000</v>
      </c>
      <c r="J86" s="396">
        <v>73200000</v>
      </c>
      <c r="K86" s="394"/>
    </row>
    <row r="87" spans="1:51">
      <c r="A87" s="395" t="s">
        <v>416</v>
      </c>
      <c r="B87" s="395" t="s">
        <v>536</v>
      </c>
      <c r="C87" s="395" t="s">
        <v>530</v>
      </c>
      <c r="D87" s="395" t="s">
        <v>531</v>
      </c>
      <c r="E87" s="395" t="s">
        <v>537</v>
      </c>
      <c r="F87" s="395" t="s">
        <v>533</v>
      </c>
      <c r="G87" s="395" t="s">
        <v>538</v>
      </c>
      <c r="H87" s="395" t="s">
        <v>535</v>
      </c>
      <c r="I87" s="396">
        <v>87226500</v>
      </c>
      <c r="J87" s="396">
        <v>87226500</v>
      </c>
      <c r="K87" s="394"/>
    </row>
    <row r="88" spans="1:51">
      <c r="A88" s="395" t="s">
        <v>539</v>
      </c>
      <c r="B88" s="395" t="s">
        <v>540</v>
      </c>
      <c r="C88" s="395" t="s">
        <v>541</v>
      </c>
      <c r="D88" s="395" t="s">
        <v>541</v>
      </c>
      <c r="E88" s="395" t="s">
        <v>542</v>
      </c>
      <c r="F88" s="395" t="s">
        <v>533</v>
      </c>
      <c r="G88" s="395" t="s">
        <v>543</v>
      </c>
      <c r="H88" s="395" t="s">
        <v>535</v>
      </c>
      <c r="I88" s="396">
        <v>1240568013</v>
      </c>
      <c r="J88" s="396">
        <v>1240568013</v>
      </c>
      <c r="K88" s="394"/>
    </row>
    <row r="89" spans="1:51">
      <c r="A89" s="395" t="s">
        <v>433</v>
      </c>
      <c r="B89" s="395" t="s">
        <v>544</v>
      </c>
      <c r="C89" s="395" t="s">
        <v>312</v>
      </c>
      <c r="D89" s="395" t="s">
        <v>541</v>
      </c>
      <c r="E89" s="395" t="s">
        <v>545</v>
      </c>
      <c r="F89" s="395" t="s">
        <v>533</v>
      </c>
      <c r="G89" s="395" t="s">
        <v>538</v>
      </c>
      <c r="H89" s="395" t="s">
        <v>535</v>
      </c>
      <c r="I89" s="396">
        <v>176753000</v>
      </c>
      <c r="J89" s="396">
        <v>176753000</v>
      </c>
      <c r="K89" s="394"/>
    </row>
    <row r="90" spans="1:51">
      <c r="A90" s="395" t="s">
        <v>546</v>
      </c>
      <c r="B90" s="395" t="s">
        <v>547</v>
      </c>
      <c r="C90" s="395" t="s">
        <v>531</v>
      </c>
      <c r="D90" s="395" t="s">
        <v>541</v>
      </c>
      <c r="E90" s="395" t="s">
        <v>537</v>
      </c>
      <c r="F90" s="395" t="s">
        <v>533</v>
      </c>
      <c r="G90" s="395" t="s">
        <v>543</v>
      </c>
      <c r="H90" s="395" t="s">
        <v>535</v>
      </c>
      <c r="I90" s="396">
        <v>1214626088</v>
      </c>
      <c r="J90" s="396">
        <v>1214626088</v>
      </c>
      <c r="K90" s="394"/>
    </row>
    <row r="91" spans="1:51">
      <c r="A91" s="395" t="s">
        <v>450</v>
      </c>
      <c r="B91" s="395" t="s">
        <v>548</v>
      </c>
      <c r="C91" s="395" t="s">
        <v>530</v>
      </c>
      <c r="D91" s="395" t="s">
        <v>530</v>
      </c>
      <c r="E91" s="395" t="s">
        <v>542</v>
      </c>
      <c r="F91" s="395" t="s">
        <v>533</v>
      </c>
      <c r="G91" s="395" t="s">
        <v>534</v>
      </c>
      <c r="H91" s="395" t="s">
        <v>535</v>
      </c>
      <c r="I91" s="396">
        <v>16072165</v>
      </c>
      <c r="J91" s="396">
        <v>16072165</v>
      </c>
      <c r="K91" s="394"/>
    </row>
    <row r="92" spans="1:51">
      <c r="A92" s="395" t="s">
        <v>549</v>
      </c>
      <c r="B92" s="395" t="s">
        <v>550</v>
      </c>
      <c r="C92" s="395" t="s">
        <v>541</v>
      </c>
      <c r="D92" s="395" t="s">
        <v>541</v>
      </c>
      <c r="E92" s="395" t="s">
        <v>542</v>
      </c>
      <c r="F92" s="395" t="s">
        <v>533</v>
      </c>
      <c r="G92" s="395" t="s">
        <v>538</v>
      </c>
      <c r="H92" s="395" t="s">
        <v>535</v>
      </c>
      <c r="I92" s="396">
        <v>50181055</v>
      </c>
      <c r="J92" s="396">
        <v>50181055</v>
      </c>
      <c r="K92" s="394"/>
    </row>
    <row r="93" spans="1:51">
      <c r="A93" s="395" t="s">
        <v>462</v>
      </c>
      <c r="B93" s="395" t="s">
        <v>551</v>
      </c>
      <c r="C93" s="395" t="s">
        <v>541</v>
      </c>
      <c r="D93" s="395" t="s">
        <v>541</v>
      </c>
      <c r="E93" s="395" t="s">
        <v>542</v>
      </c>
      <c r="F93" s="395" t="s">
        <v>533</v>
      </c>
      <c r="G93" s="395" t="s">
        <v>534</v>
      </c>
      <c r="H93" s="395" t="s">
        <v>535</v>
      </c>
      <c r="I93" s="396">
        <v>1376964398</v>
      </c>
      <c r="J93" s="396">
        <v>1376964398</v>
      </c>
      <c r="K93" s="394"/>
    </row>
    <row r="94" spans="1:51">
      <c r="A94" s="395" t="s">
        <v>469</v>
      </c>
      <c r="B94" s="395" t="s">
        <v>552</v>
      </c>
      <c r="C94" s="395" t="s">
        <v>531</v>
      </c>
      <c r="D94" s="395" t="s">
        <v>312</v>
      </c>
      <c r="E94" s="395" t="s">
        <v>553</v>
      </c>
      <c r="F94" s="395" t="s">
        <v>533</v>
      </c>
      <c r="G94" s="395" t="s">
        <v>538</v>
      </c>
      <c r="H94" s="395" t="s">
        <v>535</v>
      </c>
      <c r="I94" s="396">
        <v>24402000</v>
      </c>
      <c r="J94" s="396">
        <v>24402000</v>
      </c>
      <c r="K94" s="394"/>
    </row>
    <row r="95" spans="1:51">
      <c r="A95" s="395" t="s">
        <v>554</v>
      </c>
      <c r="B95" s="395" t="s">
        <v>555</v>
      </c>
      <c r="C95" s="395" t="s">
        <v>541</v>
      </c>
      <c r="D95" s="395" t="s">
        <v>556</v>
      </c>
      <c r="E95" s="395" t="s">
        <v>537</v>
      </c>
      <c r="F95" s="395" t="s">
        <v>533</v>
      </c>
      <c r="G95" s="395" t="s">
        <v>543</v>
      </c>
      <c r="H95" s="395" t="s">
        <v>535</v>
      </c>
      <c r="I95" s="396">
        <v>490322584</v>
      </c>
      <c r="J95" s="396">
        <v>490322584</v>
      </c>
      <c r="K95" s="394"/>
    </row>
    <row r="96" spans="1:51">
      <c r="A96" s="395" t="s">
        <v>485</v>
      </c>
      <c r="B96" s="395" t="s">
        <v>557</v>
      </c>
      <c r="C96" s="395" t="s">
        <v>530</v>
      </c>
      <c r="D96" s="395" t="s">
        <v>530</v>
      </c>
      <c r="E96" s="395" t="s">
        <v>558</v>
      </c>
      <c r="F96" s="395" t="s">
        <v>533</v>
      </c>
      <c r="G96" s="395" t="s">
        <v>534</v>
      </c>
      <c r="H96" s="395" t="s">
        <v>535</v>
      </c>
      <c r="I96" s="396">
        <v>1002549647</v>
      </c>
      <c r="J96" s="396">
        <v>1002549647</v>
      </c>
      <c r="K96" s="394"/>
    </row>
    <row r="97" spans="1:11">
      <c r="A97" s="395" t="s">
        <v>492</v>
      </c>
      <c r="B97" s="395" t="s">
        <v>559</v>
      </c>
      <c r="C97" s="395" t="s">
        <v>560</v>
      </c>
      <c r="D97" s="395" t="s">
        <v>560</v>
      </c>
      <c r="E97" s="395" t="s">
        <v>542</v>
      </c>
      <c r="F97" s="395" t="s">
        <v>533</v>
      </c>
      <c r="G97" s="395" t="s">
        <v>534</v>
      </c>
      <c r="H97" s="395" t="s">
        <v>535</v>
      </c>
      <c r="I97" s="396">
        <v>111567387</v>
      </c>
      <c r="J97" s="396">
        <v>111567387</v>
      </c>
      <c r="K97" s="394"/>
    </row>
    <row r="98" spans="1:11">
      <c r="A98" s="395" t="s">
        <v>561</v>
      </c>
      <c r="B98" s="395" t="s">
        <v>562</v>
      </c>
      <c r="C98" s="395" t="s">
        <v>531</v>
      </c>
      <c r="D98" s="395" t="s">
        <v>541</v>
      </c>
      <c r="E98" s="395" t="s">
        <v>563</v>
      </c>
      <c r="F98" s="395" t="s">
        <v>533</v>
      </c>
      <c r="G98" s="395" t="s">
        <v>543</v>
      </c>
      <c r="H98" s="395" t="s">
        <v>535</v>
      </c>
      <c r="I98" s="396">
        <v>157760500</v>
      </c>
      <c r="J98" s="396">
        <v>157760500</v>
      </c>
      <c r="K98" s="394"/>
    </row>
    <row r="99" spans="1:11">
      <c r="A99" s="395" t="s">
        <v>564</v>
      </c>
      <c r="B99" s="395" t="s">
        <v>565</v>
      </c>
      <c r="C99" s="395" t="s">
        <v>531</v>
      </c>
      <c r="D99" s="395" t="s">
        <v>541</v>
      </c>
      <c r="E99" s="395" t="s">
        <v>542</v>
      </c>
      <c r="F99" s="395" t="s">
        <v>533</v>
      </c>
      <c r="G99" s="395" t="s">
        <v>538</v>
      </c>
      <c r="H99" s="395" t="s">
        <v>535</v>
      </c>
      <c r="I99" s="396">
        <v>92608376</v>
      </c>
      <c r="J99" s="396">
        <v>92608376</v>
      </c>
      <c r="K99" s="394"/>
    </row>
    <row r="100" spans="1:11">
      <c r="A100" s="395" t="s">
        <v>566</v>
      </c>
      <c r="B100" s="395" t="s">
        <v>567</v>
      </c>
      <c r="C100" s="395" t="s">
        <v>312</v>
      </c>
      <c r="D100" s="395" t="s">
        <v>541</v>
      </c>
      <c r="E100" s="395" t="s">
        <v>553</v>
      </c>
      <c r="F100" s="395" t="s">
        <v>533</v>
      </c>
      <c r="G100" s="395" t="s">
        <v>568</v>
      </c>
      <c r="H100" s="395" t="s">
        <v>535</v>
      </c>
      <c r="I100" s="396">
        <v>184761500</v>
      </c>
      <c r="J100" s="396">
        <v>184761500</v>
      </c>
      <c r="K100" s="394"/>
    </row>
    <row r="101" spans="1:11">
      <c r="A101" s="394"/>
      <c r="B101" s="394"/>
      <c r="C101" s="394"/>
      <c r="D101" s="394"/>
      <c r="E101" s="394"/>
      <c r="F101" s="394"/>
      <c r="G101" s="394"/>
      <c r="H101" s="394"/>
      <c r="I101" s="394"/>
      <c r="J101" s="394"/>
      <c r="K101" s="394"/>
    </row>
    <row r="102" spans="1:11">
      <c r="A102" s="394"/>
      <c r="B102" s="394"/>
      <c r="C102" s="394"/>
      <c r="D102" s="394"/>
      <c r="E102" s="394"/>
      <c r="F102" s="394"/>
      <c r="G102" s="394"/>
      <c r="H102" s="394"/>
      <c r="I102" s="394"/>
      <c r="J102" s="394"/>
      <c r="K102" s="394"/>
    </row>
    <row r="103" spans="1:11">
      <c r="A103" s="394"/>
      <c r="B103" s="394"/>
      <c r="C103" s="394"/>
      <c r="D103" s="394"/>
      <c r="E103" s="394"/>
      <c r="F103" s="394"/>
      <c r="G103" s="394"/>
      <c r="H103" s="394"/>
      <c r="I103" s="394"/>
      <c r="J103" s="394"/>
      <c r="K103" s="394"/>
    </row>
    <row r="104" spans="1:11">
      <c r="A104" s="394"/>
      <c r="B104" s="394"/>
      <c r="C104" s="394"/>
      <c r="D104" s="394"/>
      <c r="E104" s="394"/>
      <c r="F104" s="394"/>
      <c r="G104" s="394"/>
      <c r="H104" s="394"/>
      <c r="I104" s="394"/>
      <c r="J104" s="394"/>
      <c r="K104" s="394"/>
    </row>
  </sheetData>
  <autoFilter ref="A1:BB78" xr:uid="{BD30285D-3F4B-47FA-A11D-96046964CD7B}">
    <filterColumn colId="15">
      <filters>
        <filter val="M3. Diseñar e implementar 1 estrategia para el desarrollo de capacidades socioemocionales y técnicas de las mujeres en toda su diversidad para su emprendimiento y empleabilidad."/>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Meta 1</vt:lpstr>
      <vt:lpstr>Meta 2</vt:lpstr>
      <vt:lpstr>Meta 3</vt:lpstr>
      <vt:lpstr>Meta 4</vt:lpstr>
      <vt:lpstr>Meta 1..n</vt:lpstr>
      <vt:lpstr>Indicadores PA</vt:lpstr>
      <vt:lpstr>Territorialización PA</vt:lpstr>
      <vt:lpstr>Prog.Pptal</vt:lpstr>
      <vt:lpstr>Vigencia</vt:lpstr>
      <vt:lpstr>Reserva</vt:lpstr>
      <vt:lpstr>Avance PDD</vt:lpstr>
      <vt:lpstr>Instructivo</vt:lpstr>
      <vt:lpstr>Generalidades</vt:lpstr>
      <vt:lpstr>Hoja13</vt:lpstr>
      <vt:lpstr>Hoja1</vt:lpstr>
      <vt:lpstr>'Meta 1'!Área_de_impresión</vt:lpstr>
      <vt:lpstr>'Meta 2'!Área_de_impresión</vt:lpstr>
      <vt:lpstr>'Meta 3'!Área_de_impresión</vt:lpstr>
      <vt:lpstr>'Meta 4'!Área_de_impresión</vt:lpstr>
      <vt:lpstr>'Indicadores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Ángela Adriana Ávila Ospina</cp:lastModifiedBy>
  <cp:revision/>
  <cp:lastPrinted>2022-03-10T20:14:02Z</cp:lastPrinted>
  <dcterms:created xsi:type="dcterms:W3CDTF">2011-04-26T22:16:52Z</dcterms:created>
  <dcterms:modified xsi:type="dcterms:W3CDTF">2022-03-10T20:39:40Z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